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0470" yWindow="-90" windowWidth="8430" windowHeight="8670" tabRatio="1000" firstSheet="61" activeTab="66"/>
  </bookViews>
  <sheets>
    <sheet name="BASICO 2006-trim 04" sheetId="58" r:id="rId1"/>
    <sheet name="Consolidado 2006-trim 04" sheetId="59" r:id="rId2"/>
    <sheet name="BASICO 2007-trim 1" sheetId="56" r:id="rId3"/>
    <sheet name="Consolidado 2007-trim 1" sheetId="57" r:id="rId4"/>
    <sheet name="BASICO 2007-trim 2" sheetId="54" r:id="rId5"/>
    <sheet name="Consolidado 2007-trim 2" sheetId="55" r:id="rId6"/>
    <sheet name="BASICO 2007-trim 3" sheetId="53" r:id="rId7"/>
    <sheet name="Consolidado 2007-trim 3" sheetId="48" r:id="rId8"/>
    <sheet name="BASICO 2007-trim 4" sheetId="52" r:id="rId9"/>
    <sheet name="Consolidado 2007-trim 4" sheetId="47" r:id="rId10"/>
    <sheet name="BASICO 2008-trim 1" sheetId="51" r:id="rId11"/>
    <sheet name="Consolidado 2008-trim 1" sheetId="45" r:id="rId12"/>
    <sheet name="BASICO 2008-trim 2" sheetId="49" r:id="rId13"/>
    <sheet name="Consolidado 2008-trim 2" sheetId="43" r:id="rId14"/>
    <sheet name="BASICO 2008-trim 3" sheetId="50" r:id="rId15"/>
    <sheet name="Consolidado 2008-trim 3" sheetId="46" r:id="rId16"/>
    <sheet name="BASICO 2008-trim 4" sheetId="61" r:id="rId17"/>
    <sheet name="Consolidado 2008-trim 4" sheetId="60" r:id="rId18"/>
    <sheet name="BASICO 2009-trim 1" sheetId="63" r:id="rId19"/>
    <sheet name="Consolidado 2009-trim 1 " sheetId="64" r:id="rId20"/>
    <sheet name="BASICO 2009-trim 2" sheetId="66" r:id="rId21"/>
    <sheet name="Consolidado 2009-trim 2" sheetId="67" r:id="rId22"/>
    <sheet name="BASICO 2009-trim 3" sheetId="68" r:id="rId23"/>
    <sheet name="Consolidado 2009-trim 3" sheetId="70" r:id="rId24"/>
    <sheet name="BASICO 2009-trim 4" sheetId="71" r:id="rId25"/>
    <sheet name="Consolidado 2009 trim 4" sheetId="65" r:id="rId26"/>
    <sheet name="BASICO 2010-trim 1 " sheetId="72" r:id="rId27"/>
    <sheet name="Consolidado 2010-trim 1" sheetId="73" r:id="rId28"/>
    <sheet name="BASICO 2010-trim 2 " sheetId="74" r:id="rId29"/>
    <sheet name="Consolidado 2010-trim 2" sheetId="75" r:id="rId30"/>
    <sheet name="BASICO 2010-trim 3 " sheetId="76" r:id="rId31"/>
    <sheet name="Consolidado 2010-trim 3" sheetId="77" r:id="rId32"/>
    <sheet name="BASICO 2010-trim 4" sheetId="78" r:id="rId33"/>
    <sheet name="Consolidado 2010 trim 4 " sheetId="79" r:id="rId34"/>
    <sheet name="BASICO 2011-trim 1" sheetId="83" r:id="rId35"/>
    <sheet name="Consolidado 2011-trim 1" sheetId="84" r:id="rId36"/>
    <sheet name="BASICO 2011-trim 2" sheetId="85" r:id="rId37"/>
    <sheet name="Consolidado 2011-trim 2" sheetId="86" r:id="rId38"/>
    <sheet name="BASICO 2011-trim 3" sheetId="88" r:id="rId39"/>
    <sheet name="Consolidado 2011-trim 3" sheetId="87" r:id="rId40"/>
    <sheet name="BASICO 2011-TRIM 4" sheetId="69" r:id="rId41"/>
    <sheet name="Consolidado 2011-trim 4" sheetId="80" r:id="rId42"/>
    <sheet name="BASICO 2012-trim 1" sheetId="90" r:id="rId43"/>
    <sheet name="Consolidado 2012-trim 1 " sheetId="89" r:id="rId44"/>
    <sheet name="BASICO 2012- trim 2" sheetId="82" r:id="rId45"/>
    <sheet name="Consolidado 2012-trim 2" sheetId="91" r:id="rId46"/>
    <sheet name="BASICO 2012- trim 3" sheetId="92" r:id="rId47"/>
    <sheet name="Consolidado 2012-trim 3" sheetId="93" r:id="rId48"/>
    <sheet name="BASICO 2012-trim 4" sheetId="94" r:id="rId49"/>
    <sheet name="consolidado 2012-trim 4" sheetId="95" r:id="rId50"/>
    <sheet name="BASICO 2013-TRIM 1" sheetId="96" r:id="rId51"/>
    <sheet name="CONSOLIDADO 2013-TRIM 1" sheetId="97" r:id="rId52"/>
    <sheet name="BASICO 2013-TRIM 2" sheetId="100" r:id="rId53"/>
    <sheet name="CONSOLIDADO 2013-TRIM 2" sheetId="99" r:id="rId54"/>
    <sheet name="BASICO 2013-TRIM 3" sheetId="98" r:id="rId55"/>
    <sheet name="CONSOLIDADO 2013-TRIM 3" sheetId="101" r:id="rId56"/>
    <sheet name="BASICO 2013-TRIM 4" sheetId="102" r:id="rId57"/>
    <sheet name="CONSOLIDADO 2013-TRIM 4" sheetId="103" r:id="rId58"/>
    <sheet name="BASICO 2014-TRIM 1 " sheetId="105" r:id="rId59"/>
    <sheet name="CONSOLIDADO 2014-TRIM 1" sheetId="104" r:id="rId60"/>
    <sheet name="BASICO 2014-TRIM 2" sheetId="106" r:id="rId61"/>
    <sheet name="CONSOLIDADO 2014-TRIM 2" sheetId="107" r:id="rId62"/>
    <sheet name="BASICO 2014-TRIM 3" sheetId="108" r:id="rId63"/>
    <sheet name="CONSOLIDADO 2014-TRIM 3" sheetId="109" r:id="rId64"/>
    <sheet name="BASICO 2014-TRIM 4" sheetId="110" r:id="rId65"/>
    <sheet name="CONSOLIDADO 2014-TRIM 4" sheetId="111" r:id="rId66"/>
    <sheet name="CONSOLIDADO 2015- TRIM 1 NIIF" sheetId="112" r:id="rId67"/>
  </sheets>
  <externalReferences>
    <externalReference r:id="rId68"/>
  </externalReferences>
  <definedNames>
    <definedName name="_ac93" localSheetId="8">#REF!</definedName>
    <definedName name="_ac93" localSheetId="10">#REF!</definedName>
    <definedName name="_ac93" localSheetId="12">#REF!</definedName>
    <definedName name="_ac93" localSheetId="14">#REF!</definedName>
    <definedName name="_ac93" localSheetId="16">#REF!</definedName>
    <definedName name="_ac93" localSheetId="18">#REF!</definedName>
    <definedName name="_ac93" localSheetId="20">#REF!</definedName>
    <definedName name="_ac93" localSheetId="22">#REF!</definedName>
    <definedName name="_ac93" localSheetId="24">#REF!</definedName>
    <definedName name="_ac93" localSheetId="26">#REF!</definedName>
    <definedName name="_ac93" localSheetId="28">#REF!</definedName>
    <definedName name="_ac93" localSheetId="30">#REF!</definedName>
    <definedName name="_ac93" localSheetId="32">#REF!</definedName>
    <definedName name="_ac93" localSheetId="34">#REF!</definedName>
    <definedName name="_ac93" localSheetId="36">#REF!</definedName>
    <definedName name="_ac93" localSheetId="38">#REF!</definedName>
    <definedName name="_ac93" localSheetId="54">#REF!</definedName>
    <definedName name="_ac93" localSheetId="56">#REF!</definedName>
    <definedName name="_ac93" localSheetId="58">#REF!</definedName>
    <definedName name="_ac93" localSheetId="60">#REF!</definedName>
    <definedName name="_ac93" localSheetId="62">#REF!</definedName>
    <definedName name="_ac93" localSheetId="64">#REF!</definedName>
    <definedName name="_ac93" localSheetId="7">#REF!</definedName>
    <definedName name="_ac93" localSheetId="9">#REF!</definedName>
    <definedName name="_ac93" localSheetId="11">#REF!</definedName>
    <definedName name="_ac93" localSheetId="15">#REF!</definedName>
    <definedName name="_ac93" localSheetId="17">#REF!</definedName>
    <definedName name="_ac93" localSheetId="19">#REF!</definedName>
    <definedName name="_ac93" localSheetId="21">#REF!</definedName>
    <definedName name="_ac93" localSheetId="23">#REF!</definedName>
    <definedName name="_ac93" localSheetId="27">#REF!</definedName>
    <definedName name="_ac93" localSheetId="29">#REF!</definedName>
    <definedName name="_ac93" localSheetId="31">#REF!</definedName>
    <definedName name="_ac93" localSheetId="35">#REF!</definedName>
    <definedName name="_ac93" localSheetId="37">#REF!</definedName>
    <definedName name="_ac93" localSheetId="39">#REF!</definedName>
    <definedName name="_ac93" localSheetId="43">#REF!</definedName>
    <definedName name="_ac93" localSheetId="53">#REF!</definedName>
    <definedName name="_ac93" localSheetId="55">#REF!</definedName>
    <definedName name="_ac93" localSheetId="57">#REF!</definedName>
    <definedName name="_ac93" localSheetId="59">#REF!</definedName>
    <definedName name="_ac93" localSheetId="61">#REF!</definedName>
    <definedName name="_ac93" localSheetId="63">#REF!</definedName>
    <definedName name="_ac93" localSheetId="65">#REF!</definedName>
    <definedName name="_ac93">#REF!</definedName>
    <definedName name="_ac94" localSheetId="8">#REF!</definedName>
    <definedName name="_ac94" localSheetId="10">#REF!</definedName>
    <definedName name="_ac94" localSheetId="12">#REF!</definedName>
    <definedName name="_ac94" localSheetId="14">#REF!</definedName>
    <definedName name="_ac94" localSheetId="16">#REF!</definedName>
    <definedName name="_ac94" localSheetId="18">#REF!</definedName>
    <definedName name="_ac94" localSheetId="20">#REF!</definedName>
    <definedName name="_ac94" localSheetId="22">#REF!</definedName>
    <definedName name="_ac94" localSheetId="24">#REF!</definedName>
    <definedName name="_ac94" localSheetId="26">#REF!</definedName>
    <definedName name="_ac94" localSheetId="28">#REF!</definedName>
    <definedName name="_ac94" localSheetId="30">#REF!</definedName>
    <definedName name="_ac94" localSheetId="32">#REF!</definedName>
    <definedName name="_ac94" localSheetId="34">#REF!</definedName>
    <definedName name="_ac94" localSheetId="36">#REF!</definedName>
    <definedName name="_ac94" localSheetId="38">#REF!</definedName>
    <definedName name="_ac94" localSheetId="54">#REF!</definedName>
    <definedName name="_ac94" localSheetId="56">#REF!</definedName>
    <definedName name="_ac94" localSheetId="58">#REF!</definedName>
    <definedName name="_ac94" localSheetId="60">#REF!</definedName>
    <definedName name="_ac94" localSheetId="62">#REF!</definedName>
    <definedName name="_ac94" localSheetId="64">#REF!</definedName>
    <definedName name="_ac94" localSheetId="7">#REF!</definedName>
    <definedName name="_ac94" localSheetId="9">#REF!</definedName>
    <definedName name="_ac94" localSheetId="11">#REF!</definedName>
    <definedName name="_ac94" localSheetId="15">#REF!</definedName>
    <definedName name="_ac94" localSheetId="17">#REF!</definedName>
    <definedName name="_ac94" localSheetId="19">#REF!</definedName>
    <definedName name="_ac94" localSheetId="21">#REF!</definedName>
    <definedName name="_ac94" localSheetId="23">#REF!</definedName>
    <definedName name="_ac94" localSheetId="27">#REF!</definedName>
    <definedName name="_ac94" localSheetId="29">#REF!</definedName>
    <definedName name="_ac94" localSheetId="31">#REF!</definedName>
    <definedName name="_ac94" localSheetId="35">#REF!</definedName>
    <definedName name="_ac94" localSheetId="37">#REF!</definedName>
    <definedName name="_ac94" localSheetId="39">#REF!</definedName>
    <definedName name="_ac94" localSheetId="43">#REF!</definedName>
    <definedName name="_ac94" localSheetId="53">#REF!</definedName>
    <definedName name="_ac94" localSheetId="55">#REF!</definedName>
    <definedName name="_ac94" localSheetId="57">#REF!</definedName>
    <definedName name="_ac94" localSheetId="59">#REF!</definedName>
    <definedName name="_ac94" localSheetId="61">#REF!</definedName>
    <definedName name="_ac94" localSheetId="63">#REF!</definedName>
    <definedName name="_ac94" localSheetId="65">#REF!</definedName>
    <definedName name="_ac94">#REF!</definedName>
    <definedName name="_pat93" localSheetId="8">#REF!</definedName>
    <definedName name="_pat93" localSheetId="10">#REF!</definedName>
    <definedName name="_pat93" localSheetId="12">#REF!</definedName>
    <definedName name="_pat93" localSheetId="14">#REF!</definedName>
    <definedName name="_pat93" localSheetId="16">#REF!</definedName>
    <definedName name="_pat93" localSheetId="18">#REF!</definedName>
    <definedName name="_pat93" localSheetId="20">#REF!</definedName>
    <definedName name="_pat93" localSheetId="22">#REF!</definedName>
    <definedName name="_pat93" localSheetId="24">#REF!</definedName>
    <definedName name="_pat93" localSheetId="26">#REF!</definedName>
    <definedName name="_pat93" localSheetId="28">#REF!</definedName>
    <definedName name="_pat93" localSheetId="30">#REF!</definedName>
    <definedName name="_pat93" localSheetId="32">#REF!</definedName>
    <definedName name="_pat93" localSheetId="34">#REF!</definedName>
    <definedName name="_pat93" localSheetId="36">#REF!</definedName>
    <definedName name="_pat93" localSheetId="38">#REF!</definedName>
    <definedName name="_pat93" localSheetId="54">#REF!</definedName>
    <definedName name="_pat93" localSheetId="56">#REF!</definedName>
    <definedName name="_pat93" localSheetId="58">#REF!</definedName>
    <definedName name="_pat93" localSheetId="60">#REF!</definedName>
    <definedName name="_pat93" localSheetId="62">#REF!</definedName>
    <definedName name="_pat93" localSheetId="64">#REF!</definedName>
    <definedName name="_pat93" localSheetId="7">#REF!</definedName>
    <definedName name="_pat93" localSheetId="9">#REF!</definedName>
    <definedName name="_pat93" localSheetId="11">#REF!</definedName>
    <definedName name="_pat93" localSheetId="15">#REF!</definedName>
    <definedName name="_pat93" localSheetId="17">#REF!</definedName>
    <definedName name="_pat93" localSheetId="19">#REF!</definedName>
    <definedName name="_pat93" localSheetId="21">#REF!</definedName>
    <definedName name="_pat93" localSheetId="23">#REF!</definedName>
    <definedName name="_pat93" localSheetId="27">#REF!</definedName>
    <definedName name="_pat93" localSheetId="29">#REF!</definedName>
    <definedName name="_pat93" localSheetId="31">#REF!</definedName>
    <definedName name="_pat93" localSheetId="35">#REF!</definedName>
    <definedName name="_pat93" localSheetId="37">#REF!</definedName>
    <definedName name="_pat93" localSheetId="39">#REF!</definedName>
    <definedName name="_pat93" localSheetId="43">#REF!</definedName>
    <definedName name="_pat93" localSheetId="53">#REF!</definedName>
    <definedName name="_pat93" localSheetId="55">#REF!</definedName>
    <definedName name="_pat93" localSheetId="57">#REF!</definedName>
    <definedName name="_pat93" localSheetId="59">#REF!</definedName>
    <definedName name="_pat93" localSheetId="61">#REF!</definedName>
    <definedName name="_pat93" localSheetId="63">#REF!</definedName>
    <definedName name="_pat93" localSheetId="65">#REF!</definedName>
    <definedName name="_pat93">#REF!</definedName>
    <definedName name="_pat94" localSheetId="8">#REF!</definedName>
    <definedName name="_pat94" localSheetId="10">#REF!</definedName>
    <definedName name="_pat94" localSheetId="12">#REF!</definedName>
    <definedName name="_pat94" localSheetId="14">#REF!</definedName>
    <definedName name="_pat94" localSheetId="16">#REF!</definedName>
    <definedName name="_pat94" localSheetId="18">#REF!</definedName>
    <definedName name="_pat94" localSheetId="20">#REF!</definedName>
    <definedName name="_pat94" localSheetId="22">#REF!</definedName>
    <definedName name="_pat94" localSheetId="24">#REF!</definedName>
    <definedName name="_pat94" localSheetId="26">#REF!</definedName>
    <definedName name="_pat94" localSheetId="28">#REF!</definedName>
    <definedName name="_pat94" localSheetId="30">#REF!</definedName>
    <definedName name="_pat94" localSheetId="32">#REF!</definedName>
    <definedName name="_pat94" localSheetId="34">#REF!</definedName>
    <definedName name="_pat94" localSheetId="36">#REF!</definedName>
    <definedName name="_pat94" localSheetId="38">#REF!</definedName>
    <definedName name="_pat94" localSheetId="54">#REF!</definedName>
    <definedName name="_pat94" localSheetId="56">#REF!</definedName>
    <definedName name="_pat94" localSheetId="58">#REF!</definedName>
    <definedName name="_pat94" localSheetId="60">#REF!</definedName>
    <definedName name="_pat94" localSheetId="62">#REF!</definedName>
    <definedName name="_pat94" localSheetId="64">#REF!</definedName>
    <definedName name="_pat94" localSheetId="7">#REF!</definedName>
    <definedName name="_pat94" localSheetId="9">#REF!</definedName>
    <definedName name="_pat94" localSheetId="11">#REF!</definedName>
    <definedName name="_pat94" localSheetId="15">#REF!</definedName>
    <definedName name="_pat94" localSheetId="17">#REF!</definedName>
    <definedName name="_pat94" localSheetId="19">#REF!</definedName>
    <definedName name="_pat94" localSheetId="21">#REF!</definedName>
    <definedName name="_pat94" localSheetId="23">#REF!</definedName>
    <definedName name="_pat94" localSheetId="27">#REF!</definedName>
    <definedName name="_pat94" localSheetId="29">#REF!</definedName>
    <definedName name="_pat94" localSheetId="31">#REF!</definedName>
    <definedName name="_pat94" localSheetId="35">#REF!</definedName>
    <definedName name="_pat94" localSheetId="37">#REF!</definedName>
    <definedName name="_pat94" localSheetId="39">#REF!</definedName>
    <definedName name="_pat94" localSheetId="43">#REF!</definedName>
    <definedName name="_pat94" localSheetId="53">#REF!</definedName>
    <definedName name="_pat94" localSheetId="55">#REF!</definedName>
    <definedName name="_pat94" localSheetId="57">#REF!</definedName>
    <definedName name="_pat94" localSheetId="59">#REF!</definedName>
    <definedName name="_pat94" localSheetId="61">#REF!</definedName>
    <definedName name="_pat94" localSheetId="63">#REF!</definedName>
    <definedName name="_pat94" localSheetId="65">#REF!</definedName>
    <definedName name="_pat94">#REF!</definedName>
    <definedName name="A" localSheetId="24">#REF!</definedName>
    <definedName name="A" localSheetId="30">#REF!</definedName>
    <definedName name="A" localSheetId="32">#REF!</definedName>
    <definedName name="A" localSheetId="38">#REF!</definedName>
    <definedName name="A" localSheetId="54">#REF!</definedName>
    <definedName name="A" localSheetId="56">#REF!</definedName>
    <definedName name="A" localSheetId="58">#REF!</definedName>
    <definedName name="A" localSheetId="60">#REF!</definedName>
    <definedName name="A" localSheetId="62">#REF!</definedName>
    <definedName name="A" localSheetId="64">#REF!</definedName>
    <definedName name="A" localSheetId="23">#REF!</definedName>
    <definedName name="A" localSheetId="31">#REF!</definedName>
    <definedName name="A" localSheetId="39">#REF!</definedName>
    <definedName name="A" localSheetId="43">#REF!</definedName>
    <definedName name="A" localSheetId="53">#REF!</definedName>
    <definedName name="A" localSheetId="55">#REF!</definedName>
    <definedName name="A" localSheetId="57">#REF!</definedName>
    <definedName name="A" localSheetId="59">#REF!</definedName>
    <definedName name="A" localSheetId="61">#REF!</definedName>
    <definedName name="A" localSheetId="63">#REF!</definedName>
    <definedName name="A" localSheetId="65">#REF!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_xlnm.Print_Area" localSheetId="8">'BASICO 2007-trim 4'!$A$1:$D$42</definedName>
    <definedName name="_xlnm.Print_Area" localSheetId="10">'BASICO 2008-trim 1'!$A$1:$D$42</definedName>
    <definedName name="_xlnm.Print_Area" localSheetId="12">'BASICO 2008-trim 2'!$A$1:$D$43</definedName>
    <definedName name="_xlnm.Print_Area" localSheetId="14">'BASICO 2008-trim 3'!$A$1:$E$43</definedName>
    <definedName name="_xlnm.Print_Area" localSheetId="16">'BASICO 2008-trim 4'!$A$1:$E$42</definedName>
    <definedName name="_xlnm.Print_Area" localSheetId="18">'BASICO 2009-trim 1'!$A$1:$D$42</definedName>
    <definedName name="_xlnm.Print_Area" localSheetId="20">'BASICO 2009-trim 2'!$A$1:$D$43</definedName>
    <definedName name="_xlnm.Print_Area" localSheetId="22">'BASICO 2009-trim 3'!$A$1:$D$44</definedName>
    <definedName name="_xlnm.Print_Area" localSheetId="24">'BASICO 2009-trim 4'!$A$1:$D$44</definedName>
    <definedName name="_xlnm.Print_Area" localSheetId="26">'BASICO 2010-trim 1 '!$A$1:$D$42</definedName>
    <definedName name="_xlnm.Print_Area" localSheetId="28">'BASICO 2010-trim 2 '!$A$1:$D$43</definedName>
    <definedName name="_xlnm.Print_Area" localSheetId="30">'BASICO 2010-trim 3 '!$A$1:$D$44</definedName>
    <definedName name="_xlnm.Print_Area" localSheetId="32">'BASICO 2010-trim 4'!$A$1:$D$44</definedName>
    <definedName name="_xlnm.Print_Area" localSheetId="34">'BASICO 2011-trim 1'!$A$1:$D$42</definedName>
    <definedName name="_xlnm.Print_Area" localSheetId="36">'BASICO 2011-trim 2'!$A$1:$D$43</definedName>
    <definedName name="_xlnm.Print_Area" localSheetId="38">'BASICO 2011-trim 3'!$A$1:$D$43</definedName>
    <definedName name="_xlnm.Print_Area" localSheetId="46">'BASICO 2012- trim 3'!$A$1:$D$49</definedName>
    <definedName name="_xlnm.Print_Area" localSheetId="7">'Consolidado 2007-trim 3'!$A$1:$F$57</definedName>
    <definedName name="_xlnm.Print_Area" localSheetId="9">'Consolidado 2007-trim 4'!$A$44:$C$50</definedName>
    <definedName name="_xlnm.Print_Area" localSheetId="11">'Consolidado 2008-trim 1'!$A$1:$F$57</definedName>
    <definedName name="_xlnm.Print_Area" localSheetId="13">'Consolidado 2008-trim 2'!$A$1:$F$57</definedName>
    <definedName name="_xlnm.Print_Area" localSheetId="15">'Consolidado 2008-trim 3'!$A$1:$F$57</definedName>
    <definedName name="_xlnm.Print_Area" localSheetId="17">'Consolidado 2008-trim 4'!$A$1:$F$57</definedName>
    <definedName name="_xlnm.Print_Area" localSheetId="19">'Consolidado 2009-trim 1 '!$A$1:$F$57</definedName>
    <definedName name="_xlnm.Print_Area" localSheetId="21">'Consolidado 2009-trim 2'!$A$1:$F$57</definedName>
    <definedName name="_xlnm.Print_Area" localSheetId="23">'Consolidado 2009-trim 3'!$A$1:$F$57</definedName>
    <definedName name="_xlnm.Print_Area" localSheetId="27">'Consolidado 2010-trim 1'!$A$1:$F$57</definedName>
    <definedName name="_xlnm.Print_Area" localSheetId="29">'Consolidado 2010-trim 2'!$A$1:$F$57</definedName>
    <definedName name="_xlnm.Print_Area" localSheetId="31">'Consolidado 2010-trim 3'!$A$1:$F$57</definedName>
    <definedName name="_xlnm.Print_Area" localSheetId="35">'Consolidado 2011-trim 1'!$A$1:$F$58</definedName>
    <definedName name="_xlnm.Print_Area" localSheetId="37">'Consolidado 2011-trim 2'!$A$1:$F$58</definedName>
    <definedName name="_xlnm.Print_Area" localSheetId="39">'Consolidado 2011-trim 3'!$A$1:$F$58</definedName>
    <definedName name="_xlnm.Print_Area" localSheetId="43">'Consolidado 2012-trim 1 '!$A$1:$F$58</definedName>
    <definedName name="_xlnm.Print_Area" localSheetId="47">'Consolidado 2012-trim 3'!$A$1:$F$61</definedName>
    <definedName name="Historicos" localSheetId="22">#REF!</definedName>
    <definedName name="Historicos" localSheetId="24">#REF!</definedName>
    <definedName name="Historicos" localSheetId="30">#REF!</definedName>
    <definedName name="Historicos" localSheetId="32">#REF!</definedName>
    <definedName name="Historicos" localSheetId="38">#REF!</definedName>
    <definedName name="Historicos" localSheetId="54">#REF!</definedName>
    <definedName name="Historicos" localSheetId="56">#REF!</definedName>
    <definedName name="Historicos" localSheetId="58">#REF!</definedName>
    <definedName name="Historicos" localSheetId="60">#REF!</definedName>
    <definedName name="Historicos" localSheetId="62">#REF!</definedName>
    <definedName name="Historicos" localSheetId="64">#REF!</definedName>
    <definedName name="Historicos" localSheetId="23">#REF!</definedName>
    <definedName name="Historicos" localSheetId="31">#REF!</definedName>
    <definedName name="Historicos" localSheetId="39">#REF!</definedName>
    <definedName name="Historicos" localSheetId="43">#REF!</definedName>
    <definedName name="Historicos" localSheetId="53">#REF!</definedName>
    <definedName name="Historicos" localSheetId="55">#REF!</definedName>
    <definedName name="Historicos" localSheetId="57">#REF!</definedName>
    <definedName name="Historicos" localSheetId="59">#REF!</definedName>
    <definedName name="Historicos" localSheetId="61">#REF!</definedName>
    <definedName name="Historicos" localSheetId="63">#REF!</definedName>
    <definedName name="Historicos" localSheetId="65">#REF!</definedName>
    <definedName name="Historicos">#REF!</definedName>
    <definedName name="ingresosoperacionales2003">[1]pg032004!$C$16</definedName>
    <definedName name="n" localSheetId="22">#REF!</definedName>
    <definedName name="n" localSheetId="24">#REF!</definedName>
    <definedName name="n" localSheetId="30">#REF!</definedName>
    <definedName name="n" localSheetId="32">#REF!</definedName>
    <definedName name="n" localSheetId="38">#REF!</definedName>
    <definedName name="n" localSheetId="54">#REF!</definedName>
    <definedName name="n" localSheetId="56">#REF!</definedName>
    <definedName name="n" localSheetId="58">#REF!</definedName>
    <definedName name="n" localSheetId="60">#REF!</definedName>
    <definedName name="n" localSheetId="62">#REF!</definedName>
    <definedName name="n" localSheetId="64">#REF!</definedName>
    <definedName name="n" localSheetId="23">#REF!</definedName>
    <definedName name="n" localSheetId="31">#REF!</definedName>
    <definedName name="n" localSheetId="39">#REF!</definedName>
    <definedName name="n" localSheetId="43">#REF!</definedName>
    <definedName name="n" localSheetId="53">#REF!</definedName>
    <definedName name="n" localSheetId="55">#REF!</definedName>
    <definedName name="n" localSheetId="57">#REF!</definedName>
    <definedName name="n" localSheetId="59">#REF!</definedName>
    <definedName name="n" localSheetId="61">#REF!</definedName>
    <definedName name="n" localSheetId="63">#REF!</definedName>
    <definedName name="n" localSheetId="65">#REF!</definedName>
    <definedName name="n">#REF!</definedName>
    <definedName name="P" localSheetId="8">#REF!</definedName>
    <definedName name="P" localSheetId="10">#REF!</definedName>
    <definedName name="P" localSheetId="12">#REF!</definedName>
    <definedName name="P" localSheetId="14">#REF!</definedName>
    <definedName name="P" localSheetId="16">#REF!</definedName>
    <definedName name="P" localSheetId="18">#REF!</definedName>
    <definedName name="P" localSheetId="20">#REF!</definedName>
    <definedName name="P" localSheetId="22">#REF!</definedName>
    <definedName name="P" localSheetId="24">#REF!</definedName>
    <definedName name="P" localSheetId="26">#REF!</definedName>
    <definedName name="P" localSheetId="28">#REF!</definedName>
    <definedName name="P" localSheetId="30">#REF!</definedName>
    <definedName name="P" localSheetId="32">#REF!</definedName>
    <definedName name="P" localSheetId="34">#REF!</definedName>
    <definedName name="P" localSheetId="36">#REF!</definedName>
    <definedName name="P" localSheetId="38">#REF!</definedName>
    <definedName name="P" localSheetId="54">#REF!</definedName>
    <definedName name="P" localSheetId="56">#REF!</definedName>
    <definedName name="P" localSheetId="58">#REF!</definedName>
    <definedName name="P" localSheetId="60">#REF!</definedName>
    <definedName name="P" localSheetId="62">#REF!</definedName>
    <definedName name="P" localSheetId="64">#REF!</definedName>
    <definedName name="P" localSheetId="7">#REF!</definedName>
    <definedName name="P" localSheetId="9">#REF!</definedName>
    <definedName name="P" localSheetId="17">#REF!</definedName>
    <definedName name="P" localSheetId="21">#REF!</definedName>
    <definedName name="P" localSheetId="23">#REF!</definedName>
    <definedName name="P" localSheetId="29">#REF!</definedName>
    <definedName name="P" localSheetId="31">#REF!</definedName>
    <definedName name="P" localSheetId="37">#REF!</definedName>
    <definedName name="P" localSheetId="39">#REF!</definedName>
    <definedName name="P" localSheetId="43">#REF!</definedName>
    <definedName name="P" localSheetId="53">#REF!</definedName>
    <definedName name="P" localSheetId="55">#REF!</definedName>
    <definedName name="P" localSheetId="57">#REF!</definedName>
    <definedName name="P" localSheetId="59">#REF!</definedName>
    <definedName name="P" localSheetId="61">#REF!</definedName>
    <definedName name="P" localSheetId="63">#REF!</definedName>
    <definedName name="P" localSheetId="65">#REF!</definedName>
    <definedName name="P">#REF!</definedName>
    <definedName name="PresentationNormalA4" localSheetId="22">#REF!</definedName>
    <definedName name="PresentationNormalA4" localSheetId="24">#REF!</definedName>
    <definedName name="PresentationNormalA4" localSheetId="30">#REF!</definedName>
    <definedName name="PresentationNormalA4" localSheetId="32">#REF!</definedName>
    <definedName name="PresentationNormalA4" localSheetId="38">#REF!</definedName>
    <definedName name="PresentationNormalA4" localSheetId="54">#REF!</definedName>
    <definedName name="PresentationNormalA4" localSheetId="56">#REF!</definedName>
    <definedName name="PresentationNormalA4" localSheetId="58">#REF!</definedName>
    <definedName name="PresentationNormalA4" localSheetId="60">#REF!</definedName>
    <definedName name="PresentationNormalA4" localSheetId="62">#REF!</definedName>
    <definedName name="PresentationNormalA4" localSheetId="64">#REF!</definedName>
    <definedName name="PresentationNormalA4" localSheetId="23">#REF!</definedName>
    <definedName name="PresentationNormalA4" localSheetId="31">#REF!</definedName>
    <definedName name="PresentationNormalA4" localSheetId="39">#REF!</definedName>
    <definedName name="PresentationNormalA4" localSheetId="43">#REF!</definedName>
    <definedName name="PresentationNormalA4" localSheetId="53">#REF!</definedName>
    <definedName name="PresentationNormalA4" localSheetId="55">#REF!</definedName>
    <definedName name="PresentationNormalA4" localSheetId="57">#REF!</definedName>
    <definedName name="PresentationNormalA4" localSheetId="59">#REF!</definedName>
    <definedName name="PresentationNormalA4" localSheetId="61">#REF!</definedName>
    <definedName name="PresentationNormalA4" localSheetId="63">#REF!</definedName>
    <definedName name="PresentationNormalA4" localSheetId="65">#REF!</definedName>
    <definedName name="PresentationNormalA4">#REF!</definedName>
    <definedName name="rate" localSheetId="22">#REF!</definedName>
    <definedName name="rate" localSheetId="24">#REF!</definedName>
    <definedName name="rate" localSheetId="30">#REF!</definedName>
    <definedName name="rate" localSheetId="32">#REF!</definedName>
    <definedName name="rate" localSheetId="38">#REF!</definedName>
    <definedName name="rate" localSheetId="54">#REF!</definedName>
    <definedName name="rate" localSheetId="56">#REF!</definedName>
    <definedName name="rate" localSheetId="58">#REF!</definedName>
    <definedName name="rate" localSheetId="60">#REF!</definedName>
    <definedName name="rate" localSheetId="62">#REF!</definedName>
    <definedName name="rate" localSheetId="64">#REF!</definedName>
    <definedName name="rate" localSheetId="23">#REF!</definedName>
    <definedName name="rate" localSheetId="31">#REF!</definedName>
    <definedName name="rate" localSheetId="39">#REF!</definedName>
    <definedName name="rate" localSheetId="43">#REF!</definedName>
    <definedName name="rate" localSheetId="53">#REF!</definedName>
    <definedName name="rate" localSheetId="55">#REF!</definedName>
    <definedName name="rate" localSheetId="57">#REF!</definedName>
    <definedName name="rate" localSheetId="59">#REF!</definedName>
    <definedName name="rate" localSheetId="61">#REF!</definedName>
    <definedName name="rate" localSheetId="63">#REF!</definedName>
    <definedName name="rate" localSheetId="65">#REF!</definedName>
    <definedName name="rate">#REF!</definedName>
    <definedName name="TestAdd">"Test RefersTo1"</definedName>
    <definedName name="totalactivo" localSheetId="22">#REF!</definedName>
    <definedName name="totalactivo" localSheetId="24">#REF!</definedName>
    <definedName name="totalactivo" localSheetId="30">#REF!</definedName>
    <definedName name="totalactivo" localSheetId="32">#REF!</definedName>
    <definedName name="totalactivo" localSheetId="38">#REF!</definedName>
    <definedName name="totalactivo" localSheetId="54">#REF!</definedName>
    <definedName name="totalactivo" localSheetId="56">#REF!</definedName>
    <definedName name="totalactivo" localSheetId="58">#REF!</definedName>
    <definedName name="totalactivo" localSheetId="60">#REF!</definedName>
    <definedName name="totalactivo" localSheetId="62">#REF!</definedName>
    <definedName name="totalactivo" localSheetId="64">#REF!</definedName>
    <definedName name="totalactivo" localSheetId="23">#REF!</definedName>
    <definedName name="totalactivo" localSheetId="31">#REF!</definedName>
    <definedName name="totalactivo" localSheetId="39">#REF!</definedName>
    <definedName name="totalactivo" localSheetId="43">#REF!</definedName>
    <definedName name="totalactivo" localSheetId="53">#REF!</definedName>
    <definedName name="totalactivo" localSheetId="55">#REF!</definedName>
    <definedName name="totalactivo" localSheetId="57">#REF!</definedName>
    <definedName name="totalactivo" localSheetId="59">#REF!</definedName>
    <definedName name="totalactivo" localSheetId="61">#REF!</definedName>
    <definedName name="totalactivo" localSheetId="63">#REF!</definedName>
    <definedName name="totalactivo" localSheetId="65">#REF!</definedName>
    <definedName name="totalactivo">#REF!</definedName>
    <definedName name="Totalingresoso" localSheetId="22">#REF!</definedName>
    <definedName name="Totalingresoso" localSheetId="24">#REF!</definedName>
    <definedName name="Totalingresoso" localSheetId="30">#REF!</definedName>
    <definedName name="Totalingresoso" localSheetId="32">#REF!</definedName>
    <definedName name="Totalingresoso" localSheetId="38">#REF!</definedName>
    <definedName name="Totalingresoso" localSheetId="54">#REF!</definedName>
    <definedName name="Totalingresoso" localSheetId="56">#REF!</definedName>
    <definedName name="Totalingresoso" localSheetId="58">#REF!</definedName>
    <definedName name="Totalingresoso" localSheetId="60">#REF!</definedName>
    <definedName name="Totalingresoso" localSheetId="62">#REF!</definedName>
    <definedName name="Totalingresoso" localSheetId="64">#REF!</definedName>
    <definedName name="Totalingresoso" localSheetId="23">#REF!</definedName>
    <definedName name="Totalingresoso" localSheetId="31">#REF!</definedName>
    <definedName name="Totalingresoso" localSheetId="39">#REF!</definedName>
    <definedName name="Totalingresoso" localSheetId="43">#REF!</definedName>
    <definedName name="Totalingresoso" localSheetId="53">#REF!</definedName>
    <definedName name="Totalingresoso" localSheetId="55">#REF!</definedName>
    <definedName name="Totalingresoso" localSheetId="57">#REF!</definedName>
    <definedName name="Totalingresoso" localSheetId="59">#REF!</definedName>
    <definedName name="Totalingresoso" localSheetId="61">#REF!</definedName>
    <definedName name="Totalingresoso" localSheetId="63">#REF!</definedName>
    <definedName name="Totalingresoso" localSheetId="65">#REF!</definedName>
    <definedName name="Totalingresoso">#REF!</definedName>
    <definedName name="totalingresosoperacionales">[1]pg032004!$B$16</definedName>
  </definedNames>
  <calcPr calcId="145621"/>
</workbook>
</file>

<file path=xl/calcChain.xml><?xml version="1.0" encoding="utf-8"?>
<calcChain xmlns="http://schemas.openxmlformats.org/spreadsheetml/2006/main">
  <c r="C37" i="112" l="1"/>
  <c r="F71" i="112"/>
  <c r="F69" i="112"/>
  <c r="F68" i="112"/>
  <c r="F65" i="112"/>
  <c r="F64" i="112"/>
  <c r="F62" i="112"/>
  <c r="F61" i="112"/>
  <c r="F60" i="112"/>
  <c r="F57" i="112"/>
  <c r="F56" i="112"/>
  <c r="F55" i="112"/>
  <c r="F54" i="112"/>
  <c r="F53" i="112"/>
  <c r="F51" i="112"/>
  <c r="F50" i="112"/>
  <c r="D66" i="112"/>
  <c r="D63" i="112"/>
  <c r="E63" i="112" s="1"/>
  <c r="D58" i="112"/>
  <c r="F58" i="112" s="1"/>
  <c r="D52" i="112"/>
  <c r="E71" i="112"/>
  <c r="E69" i="112"/>
  <c r="E68" i="112"/>
  <c r="E65" i="112"/>
  <c r="E64" i="112"/>
  <c r="E62" i="112"/>
  <c r="E61" i="112"/>
  <c r="E60" i="112"/>
  <c r="E57" i="112"/>
  <c r="E56" i="112"/>
  <c r="E55" i="112"/>
  <c r="E54" i="112"/>
  <c r="E53" i="112"/>
  <c r="E51" i="112"/>
  <c r="E50" i="112"/>
  <c r="C71" i="112"/>
  <c r="C69" i="112"/>
  <c r="C68" i="112"/>
  <c r="C65" i="112"/>
  <c r="C64" i="112"/>
  <c r="C62" i="112"/>
  <c r="C61" i="112"/>
  <c r="C60" i="112"/>
  <c r="C57" i="112"/>
  <c r="C56" i="112"/>
  <c r="C55" i="112"/>
  <c r="C54" i="112"/>
  <c r="C53" i="112"/>
  <c r="C51" i="112"/>
  <c r="C50" i="112"/>
  <c r="B66" i="112"/>
  <c r="C66" i="112" s="1"/>
  <c r="B63" i="112"/>
  <c r="C63" i="112" s="1"/>
  <c r="B58" i="112"/>
  <c r="C58" i="112" s="1"/>
  <c r="B52" i="112"/>
  <c r="B59" i="112" s="1"/>
  <c r="C59" i="112" s="1"/>
  <c r="E58" i="112" l="1"/>
  <c r="F52" i="112"/>
  <c r="C52" i="112"/>
  <c r="F66" i="112"/>
  <c r="F63" i="112"/>
  <c r="B67" i="112"/>
  <c r="B70" i="112" s="1"/>
  <c r="C70" i="112" s="1"/>
  <c r="E66" i="112"/>
  <c r="D59" i="112"/>
  <c r="E52" i="112"/>
  <c r="C67" i="112" l="1"/>
  <c r="D67" i="112"/>
  <c r="E59" i="112"/>
  <c r="F59" i="112"/>
  <c r="E67" i="112" l="1"/>
  <c r="D70" i="112"/>
  <c r="F67" i="112"/>
  <c r="E70" i="112" l="1"/>
  <c r="F70" i="112"/>
  <c r="B37" i="112" l="1"/>
  <c r="D36" i="112"/>
  <c r="D35" i="112"/>
  <c r="B33" i="112"/>
  <c r="C33" i="112"/>
  <c r="D32" i="112"/>
  <c r="D31" i="112"/>
  <c r="D30" i="112"/>
  <c r="D29" i="112"/>
  <c r="D28" i="112"/>
  <c r="D27" i="112"/>
  <c r="D25" i="112"/>
  <c r="B25" i="112"/>
  <c r="C25" i="112"/>
  <c r="D24" i="112"/>
  <c r="D23" i="112"/>
  <c r="D22" i="112"/>
  <c r="D21" i="112"/>
  <c r="D20" i="112"/>
  <c r="D19" i="112"/>
  <c r="D18" i="112"/>
  <c r="D17" i="112"/>
  <c r="D16" i="112"/>
  <c r="D15" i="112"/>
  <c r="D14" i="112"/>
  <c r="D33" i="112" l="1"/>
  <c r="D37" i="112"/>
  <c r="B38" i="112"/>
  <c r="C38" i="112"/>
  <c r="D38" i="112" l="1"/>
  <c r="Q51" i="111" l="1"/>
  <c r="Q54" i="111" l="1"/>
  <c r="Q46" i="111"/>
  <c r="Q42" i="111"/>
  <c r="S59" i="111"/>
  <c r="U59" i="111" s="1"/>
  <c r="S57" i="111"/>
  <c r="U57" i="111" s="1"/>
  <c r="S56" i="111"/>
  <c r="U56" i="111" s="1"/>
  <c r="S52" i="111"/>
  <c r="U52" i="111" s="1"/>
  <c r="S51" i="111"/>
  <c r="U51" i="111" s="1"/>
  <c r="S50" i="111"/>
  <c r="U50" i="111" s="1"/>
  <c r="S49" i="111"/>
  <c r="U49" i="111" s="1"/>
  <c r="S48" i="111"/>
  <c r="U48" i="111" s="1"/>
  <c r="S45" i="111"/>
  <c r="U45" i="111" s="1"/>
  <c r="S44" i="111"/>
  <c r="U44" i="111" s="1"/>
  <c r="S43" i="111"/>
  <c r="U43" i="111" s="1"/>
  <c r="S41" i="111"/>
  <c r="U41" i="111" s="1"/>
  <c r="S40" i="111"/>
  <c r="U40" i="111" s="1"/>
  <c r="O54" i="111"/>
  <c r="O46" i="111"/>
  <c r="O42" i="111"/>
  <c r="O47" i="111" s="1"/>
  <c r="O55" i="111" s="1"/>
  <c r="O58" i="111" s="1"/>
  <c r="Q47" i="111" l="1"/>
  <c r="Q55" i="111" s="1"/>
  <c r="Q58" i="111" l="1"/>
  <c r="V38" i="110"/>
  <c r="R48" i="110"/>
  <c r="S48" i="110" s="1"/>
  <c r="R46" i="110"/>
  <c r="R45" i="110"/>
  <c r="R43" i="110"/>
  <c r="R41" i="110"/>
  <c r="R40" i="110"/>
  <c r="S40" i="110" s="1"/>
  <c r="R39" i="110"/>
  <c r="R38" i="110"/>
  <c r="Q48" i="110"/>
  <c r="Q46" i="110"/>
  <c r="Q45" i="110"/>
  <c r="S45" i="110" s="1"/>
  <c r="Q41" i="110"/>
  <c r="Q40" i="110"/>
  <c r="Q39" i="110"/>
  <c r="Q38" i="110"/>
  <c r="S38" i="110" l="1"/>
  <c r="S41" i="110"/>
  <c r="S46" i="110"/>
  <c r="Q42" i="110"/>
  <c r="Z59" i="111" l="1"/>
  <c r="Y59" i="111"/>
  <c r="W59" i="111"/>
  <c r="R59" i="111"/>
  <c r="Y57" i="111"/>
  <c r="W57" i="111"/>
  <c r="R57" i="111"/>
  <c r="Z56" i="111"/>
  <c r="Y56" i="111"/>
  <c r="W56" i="111"/>
  <c r="R56" i="111"/>
  <c r="X54" i="111"/>
  <c r="Y54" i="111" s="1"/>
  <c r="V54" i="111"/>
  <c r="P54" i="111"/>
  <c r="R54" i="111" s="1"/>
  <c r="N54" i="111"/>
  <c r="M54" i="111"/>
  <c r="L54" i="111"/>
  <c r="K54" i="111"/>
  <c r="J54" i="111"/>
  <c r="I54" i="111"/>
  <c r="H54" i="111"/>
  <c r="Z53" i="111"/>
  <c r="Y53" i="111"/>
  <c r="W53" i="111"/>
  <c r="R53" i="111"/>
  <c r="Z52" i="111"/>
  <c r="Y52" i="111"/>
  <c r="W52" i="111"/>
  <c r="R52" i="111"/>
  <c r="Z51" i="111"/>
  <c r="Y51" i="111"/>
  <c r="W51" i="111"/>
  <c r="R51" i="111"/>
  <c r="Z50" i="111"/>
  <c r="Y50" i="111"/>
  <c r="W50" i="111"/>
  <c r="R50" i="111"/>
  <c r="Z49" i="111"/>
  <c r="Y49" i="111"/>
  <c r="W49" i="111"/>
  <c r="R49" i="111"/>
  <c r="Z48" i="111"/>
  <c r="Y48" i="111"/>
  <c r="W48" i="111"/>
  <c r="R48" i="111"/>
  <c r="X46" i="111"/>
  <c r="Y46" i="111" s="1"/>
  <c r="V46" i="111"/>
  <c r="W46" i="111" s="1"/>
  <c r="P46" i="111"/>
  <c r="R46" i="111" s="1"/>
  <c r="N46" i="111"/>
  <c r="M46" i="111"/>
  <c r="L46" i="111"/>
  <c r="K46" i="111"/>
  <c r="J46" i="111"/>
  <c r="I46" i="111"/>
  <c r="H46" i="111"/>
  <c r="Z45" i="111"/>
  <c r="Y45" i="111"/>
  <c r="W45" i="111"/>
  <c r="R45" i="111"/>
  <c r="Z44" i="111"/>
  <c r="Y44" i="111"/>
  <c r="W44" i="111"/>
  <c r="R44" i="111"/>
  <c r="Z43" i="111"/>
  <c r="Y43" i="111"/>
  <c r="W43" i="111"/>
  <c r="R43" i="111"/>
  <c r="X42" i="111"/>
  <c r="Y42" i="111" s="1"/>
  <c r="V42" i="111"/>
  <c r="V47" i="111" s="1"/>
  <c r="P42" i="111"/>
  <c r="R42" i="111" s="1"/>
  <c r="N42" i="111"/>
  <c r="M42" i="111"/>
  <c r="L42" i="111"/>
  <c r="L47" i="111" s="1"/>
  <c r="K42" i="111"/>
  <c r="J42" i="111"/>
  <c r="I42" i="111"/>
  <c r="H42" i="111"/>
  <c r="H47" i="111" s="1"/>
  <c r="Z41" i="111"/>
  <c r="Y41" i="111"/>
  <c r="W41" i="111"/>
  <c r="R41" i="111"/>
  <c r="Z40" i="111"/>
  <c r="N32" i="111"/>
  <c r="K32" i="111"/>
  <c r="M31" i="111"/>
  <c r="L31" i="111"/>
  <c r="J31" i="111"/>
  <c r="I31" i="111"/>
  <c r="H31" i="111"/>
  <c r="H34" i="111" s="1"/>
  <c r="N30" i="111"/>
  <c r="K30" i="111"/>
  <c r="N29" i="111"/>
  <c r="K29" i="111"/>
  <c r="N28" i="111"/>
  <c r="K28" i="111"/>
  <c r="N27" i="111"/>
  <c r="K27" i="111"/>
  <c r="N26" i="111"/>
  <c r="K26" i="111"/>
  <c r="N25" i="111"/>
  <c r="K25" i="111"/>
  <c r="N24" i="111"/>
  <c r="K24" i="111"/>
  <c r="N23" i="111"/>
  <c r="K23" i="111"/>
  <c r="M20" i="111"/>
  <c r="L20" i="111"/>
  <c r="J20" i="111"/>
  <c r="I20" i="111"/>
  <c r="H20" i="111"/>
  <c r="N19" i="111"/>
  <c r="K19" i="111"/>
  <c r="N18" i="111"/>
  <c r="K18" i="111"/>
  <c r="N17" i="111"/>
  <c r="K17" i="111"/>
  <c r="N16" i="111"/>
  <c r="K16" i="111"/>
  <c r="N15" i="111"/>
  <c r="K15" i="111"/>
  <c r="N14" i="111"/>
  <c r="K14" i="111"/>
  <c r="N13" i="111"/>
  <c r="K13" i="111"/>
  <c r="N12" i="111"/>
  <c r="K12" i="111"/>
  <c r="N11" i="111"/>
  <c r="K11" i="111"/>
  <c r="V48" i="110"/>
  <c r="V46" i="110"/>
  <c r="V43" i="110"/>
  <c r="K43" i="110"/>
  <c r="Q43" i="110" s="1"/>
  <c r="S43" i="110" s="1"/>
  <c r="U42" i="110"/>
  <c r="U44" i="110" s="1"/>
  <c r="U47" i="110" s="1"/>
  <c r="U49" i="110" s="1"/>
  <c r="T42" i="110"/>
  <c r="O42" i="110"/>
  <c r="O44" i="110" s="1"/>
  <c r="O47" i="110" s="1"/>
  <c r="O49" i="110" s="1"/>
  <c r="N42" i="110"/>
  <c r="N44" i="110" s="1"/>
  <c r="N47" i="110" s="1"/>
  <c r="N49" i="110" s="1"/>
  <c r="M42" i="110"/>
  <c r="M44" i="110" s="1"/>
  <c r="M47" i="110" s="1"/>
  <c r="M49" i="110" s="1"/>
  <c r="L42" i="110"/>
  <c r="L44" i="110" s="1"/>
  <c r="L47" i="110" s="1"/>
  <c r="L49" i="110" s="1"/>
  <c r="K42" i="110"/>
  <c r="K44" i="110" s="1"/>
  <c r="K47" i="110" s="1"/>
  <c r="K49" i="110" s="1"/>
  <c r="J42" i="110"/>
  <c r="J44" i="110" s="1"/>
  <c r="J47" i="110" s="1"/>
  <c r="J49" i="110" s="1"/>
  <c r="I42" i="110"/>
  <c r="I44" i="110" s="1"/>
  <c r="I47" i="110" s="1"/>
  <c r="I49" i="110" s="1"/>
  <c r="H42" i="110"/>
  <c r="H44" i="110" s="1"/>
  <c r="H47" i="110" s="1"/>
  <c r="H49" i="110" s="1"/>
  <c r="G42" i="110"/>
  <c r="G44" i="110" s="1"/>
  <c r="G47" i="110" s="1"/>
  <c r="G49" i="110" s="1"/>
  <c r="F42" i="110"/>
  <c r="F44" i="110" s="1"/>
  <c r="F47" i="110" s="1"/>
  <c r="F49" i="110" s="1"/>
  <c r="E42" i="110"/>
  <c r="E44" i="110" s="1"/>
  <c r="E47" i="110" s="1"/>
  <c r="E49" i="110" s="1"/>
  <c r="D42" i="110"/>
  <c r="D44" i="110" s="1"/>
  <c r="D47" i="110" s="1"/>
  <c r="D49" i="110" s="1"/>
  <c r="C42" i="110"/>
  <c r="C44" i="110" s="1"/>
  <c r="C47" i="110" s="1"/>
  <c r="C49" i="110" s="1"/>
  <c r="B42" i="110"/>
  <c r="B44" i="110" s="1"/>
  <c r="B47" i="110" s="1"/>
  <c r="B49" i="110" s="1"/>
  <c r="V41" i="110"/>
  <c r="V40" i="110"/>
  <c r="V39" i="110"/>
  <c r="G30" i="110"/>
  <c r="F30" i="110"/>
  <c r="E30" i="110"/>
  <c r="D30" i="110"/>
  <c r="C30" i="110"/>
  <c r="B30" i="110"/>
  <c r="M29" i="110"/>
  <c r="L29" i="110"/>
  <c r="J29" i="110"/>
  <c r="I29" i="110"/>
  <c r="H29" i="110"/>
  <c r="H30" i="110" s="1"/>
  <c r="M26" i="110"/>
  <c r="N26" i="110" s="1"/>
  <c r="J26" i="110"/>
  <c r="I26" i="110"/>
  <c r="H26" i="110"/>
  <c r="H28" i="110" s="1"/>
  <c r="G26" i="110"/>
  <c r="G28" i="110" s="1"/>
  <c r="F26" i="110"/>
  <c r="F28" i="110" s="1"/>
  <c r="E26" i="110"/>
  <c r="E28" i="110" s="1"/>
  <c r="D26" i="110"/>
  <c r="D28" i="110" s="1"/>
  <c r="C26" i="110"/>
  <c r="C28" i="110" s="1"/>
  <c r="B26" i="110"/>
  <c r="B28" i="110" s="1"/>
  <c r="N25" i="110"/>
  <c r="K25" i="110"/>
  <c r="N24" i="110"/>
  <c r="N23" i="110"/>
  <c r="K23" i="110"/>
  <c r="N22" i="110"/>
  <c r="K22" i="110"/>
  <c r="N21" i="110"/>
  <c r="K21" i="110"/>
  <c r="N20" i="110"/>
  <c r="K20" i="110"/>
  <c r="M17" i="110"/>
  <c r="L17" i="110"/>
  <c r="L27" i="110" s="1"/>
  <c r="J17" i="110"/>
  <c r="J27" i="110" s="1"/>
  <c r="J30" i="110" s="1"/>
  <c r="I17" i="110"/>
  <c r="G17" i="110"/>
  <c r="F17" i="110"/>
  <c r="E17" i="110"/>
  <c r="D17" i="110"/>
  <c r="C17" i="110"/>
  <c r="B17" i="110"/>
  <c r="N16" i="110"/>
  <c r="K16" i="110"/>
  <c r="N15" i="110"/>
  <c r="H15" i="110"/>
  <c r="H17" i="110" s="1"/>
  <c r="N14" i="110"/>
  <c r="N13" i="110"/>
  <c r="K13" i="110"/>
  <c r="N12" i="110"/>
  <c r="K12" i="110"/>
  <c r="N11" i="110"/>
  <c r="K11" i="110"/>
  <c r="Q59" i="109"/>
  <c r="Q57" i="109"/>
  <c r="Q56" i="109"/>
  <c r="Q52" i="109"/>
  <c r="Q51" i="109"/>
  <c r="Q50" i="109"/>
  <c r="Q49" i="109"/>
  <c r="Q48" i="109"/>
  <c r="Q45" i="109"/>
  <c r="Q44" i="109"/>
  <c r="Q43" i="109"/>
  <c r="Q41" i="109"/>
  <c r="Q40" i="109"/>
  <c r="N54" i="109"/>
  <c r="N46" i="109"/>
  <c r="N42" i="109"/>
  <c r="N47" i="109" s="1"/>
  <c r="N55" i="109" s="1"/>
  <c r="N58" i="109" s="1"/>
  <c r="Q44" i="110" l="1"/>
  <c r="Q47" i="110" s="1"/>
  <c r="Q49" i="110" s="1"/>
  <c r="N31" i="111"/>
  <c r="Z54" i="111"/>
  <c r="I47" i="111"/>
  <c r="I55" i="111" s="1"/>
  <c r="I58" i="111" s="1"/>
  <c r="M47" i="111"/>
  <c r="M55" i="111" s="1"/>
  <c r="M58" i="111" s="1"/>
  <c r="K47" i="111"/>
  <c r="K55" i="111" s="1"/>
  <c r="K58" i="111" s="1"/>
  <c r="K20" i="111"/>
  <c r="J47" i="111"/>
  <c r="J55" i="111" s="1"/>
  <c r="J58" i="111" s="1"/>
  <c r="N47" i="111"/>
  <c r="N55" i="111" s="1"/>
  <c r="N58" i="111" s="1"/>
  <c r="T45" i="111"/>
  <c r="T49" i="111"/>
  <c r="I33" i="111"/>
  <c r="K31" i="111"/>
  <c r="S46" i="111"/>
  <c r="U46" i="111" s="1"/>
  <c r="P47" i="111"/>
  <c r="R47" i="111" s="1"/>
  <c r="T51" i="111"/>
  <c r="T41" i="111"/>
  <c r="H55" i="111"/>
  <c r="H58" i="111" s="1"/>
  <c r="L55" i="111"/>
  <c r="L58" i="111" s="1"/>
  <c r="T57" i="111"/>
  <c r="L33" i="111"/>
  <c r="L34" i="111" s="1"/>
  <c r="N20" i="111"/>
  <c r="J28" i="110"/>
  <c r="P42" i="110"/>
  <c r="P44" i="110" s="1"/>
  <c r="R42" i="110"/>
  <c r="S42" i="110" s="1"/>
  <c r="K26" i="110"/>
  <c r="I27" i="110"/>
  <c r="V42" i="110"/>
  <c r="M27" i="110"/>
  <c r="M30" i="110" s="1"/>
  <c r="W47" i="111"/>
  <c r="V55" i="111"/>
  <c r="I34" i="111"/>
  <c r="J33" i="111"/>
  <c r="J34" i="111" s="1"/>
  <c r="T44" i="111"/>
  <c r="M33" i="111"/>
  <c r="S42" i="111"/>
  <c r="U42" i="111" s="1"/>
  <c r="W42" i="111"/>
  <c r="X47" i="111"/>
  <c r="Z47" i="111" s="1"/>
  <c r="S54" i="111"/>
  <c r="U54" i="111" s="1"/>
  <c r="W54" i="111"/>
  <c r="Z42" i="111"/>
  <c r="T50" i="111"/>
  <c r="T53" i="111"/>
  <c r="T56" i="111"/>
  <c r="Z46" i="111"/>
  <c r="T48" i="111"/>
  <c r="T52" i="111"/>
  <c r="T59" i="111"/>
  <c r="T43" i="111"/>
  <c r="I30" i="110"/>
  <c r="K27" i="110"/>
  <c r="L30" i="110"/>
  <c r="K28" i="110"/>
  <c r="I28" i="110"/>
  <c r="T44" i="110"/>
  <c r="K17" i="110"/>
  <c r="L28" i="110"/>
  <c r="N17" i="110"/>
  <c r="T42" i="109"/>
  <c r="T46" i="109"/>
  <c r="T47" i="109" s="1"/>
  <c r="T55" i="109" s="1"/>
  <c r="T58" i="109" s="1"/>
  <c r="T54" i="109"/>
  <c r="T46" i="111" l="1"/>
  <c r="K33" i="111"/>
  <c r="P55" i="111"/>
  <c r="R55" i="111" s="1"/>
  <c r="N33" i="111"/>
  <c r="R44" i="110"/>
  <c r="M28" i="110"/>
  <c r="N28" i="110" s="1"/>
  <c r="N27" i="110"/>
  <c r="T54" i="111"/>
  <c r="V58" i="111"/>
  <c r="W58" i="111" s="1"/>
  <c r="W55" i="111"/>
  <c r="S47" i="111"/>
  <c r="T42" i="111"/>
  <c r="X55" i="111"/>
  <c r="Z55" i="111" s="1"/>
  <c r="Y47" i="111"/>
  <c r="K34" i="111"/>
  <c r="M34" i="111"/>
  <c r="N34" i="111" s="1"/>
  <c r="P47" i="110"/>
  <c r="V44" i="110"/>
  <c r="T47" i="110"/>
  <c r="R41" i="109"/>
  <c r="M54" i="109"/>
  <c r="M46" i="109"/>
  <c r="M42" i="109"/>
  <c r="S55" i="111" l="1"/>
  <c r="U55" i="111" s="1"/>
  <c r="U47" i="111"/>
  <c r="R47" i="110"/>
  <c r="S44" i="110"/>
  <c r="P58" i="111"/>
  <c r="R58" i="111" s="1"/>
  <c r="Y55" i="111"/>
  <c r="X58" i="111"/>
  <c r="T47" i="111"/>
  <c r="T49" i="110"/>
  <c r="V49" i="110" s="1"/>
  <c r="V47" i="110"/>
  <c r="P49" i="110"/>
  <c r="M47" i="109"/>
  <c r="M55" i="109" s="1"/>
  <c r="M58" i="109" s="1"/>
  <c r="R49" i="110" l="1"/>
  <c r="S49" i="110" s="1"/>
  <c r="S47" i="110"/>
  <c r="T55" i="111"/>
  <c r="S58" i="111"/>
  <c r="U58" i="111" s="1"/>
  <c r="Z58" i="111"/>
  <c r="Y58" i="111"/>
  <c r="T48" i="108"/>
  <c r="T46" i="108"/>
  <c r="T43" i="108"/>
  <c r="T41" i="108"/>
  <c r="T40" i="108"/>
  <c r="T39" i="108"/>
  <c r="T38" i="108"/>
  <c r="P48" i="108"/>
  <c r="Q48" i="108" s="1"/>
  <c r="P46" i="108"/>
  <c r="Q46" i="108" s="1"/>
  <c r="P45" i="108"/>
  <c r="Q45" i="108" s="1"/>
  <c r="P43" i="108"/>
  <c r="Q43" i="108" s="1"/>
  <c r="P41" i="108"/>
  <c r="Q41" i="108" s="1"/>
  <c r="P40" i="108"/>
  <c r="Q40" i="108" s="1"/>
  <c r="P39" i="108"/>
  <c r="P38" i="108"/>
  <c r="Q38" i="108" s="1"/>
  <c r="O42" i="108"/>
  <c r="O44" i="108" s="1"/>
  <c r="O47" i="108" s="1"/>
  <c r="O49" i="108" s="1"/>
  <c r="R42" i="108"/>
  <c r="R44" i="108" s="1"/>
  <c r="R47" i="108" s="1"/>
  <c r="R49" i="108" s="1"/>
  <c r="T58" i="111" l="1"/>
  <c r="M17" i="106"/>
  <c r="X59" i="109" l="1"/>
  <c r="W59" i="109"/>
  <c r="U59" i="109"/>
  <c r="S59" i="109"/>
  <c r="R59" i="109"/>
  <c r="P59" i="109"/>
  <c r="W57" i="109"/>
  <c r="U57" i="109"/>
  <c r="S57" i="109"/>
  <c r="R57" i="109"/>
  <c r="P57" i="109"/>
  <c r="X56" i="109"/>
  <c r="W56" i="109"/>
  <c r="U56" i="109"/>
  <c r="S56" i="109"/>
  <c r="R56" i="109"/>
  <c r="P56" i="109"/>
  <c r="V54" i="109"/>
  <c r="W54" i="109" s="1"/>
  <c r="Q54" i="109"/>
  <c r="R54" i="109" s="1"/>
  <c r="O54" i="109"/>
  <c r="P54" i="109" s="1"/>
  <c r="L54" i="109"/>
  <c r="K54" i="109"/>
  <c r="J54" i="109"/>
  <c r="I54" i="109"/>
  <c r="H54" i="109"/>
  <c r="X53" i="109"/>
  <c r="W53" i="109"/>
  <c r="U53" i="109"/>
  <c r="R53" i="109"/>
  <c r="P53" i="109"/>
  <c r="X52" i="109"/>
  <c r="W52" i="109"/>
  <c r="U52" i="109"/>
  <c r="S52" i="109"/>
  <c r="R52" i="109"/>
  <c r="P52" i="109"/>
  <c r="X51" i="109"/>
  <c r="W51" i="109"/>
  <c r="U51" i="109"/>
  <c r="S51" i="109"/>
  <c r="R51" i="109"/>
  <c r="P51" i="109"/>
  <c r="X50" i="109"/>
  <c r="W50" i="109"/>
  <c r="U50" i="109"/>
  <c r="S50" i="109"/>
  <c r="R50" i="109"/>
  <c r="P50" i="109"/>
  <c r="X49" i="109"/>
  <c r="W49" i="109"/>
  <c r="U49" i="109"/>
  <c r="S49" i="109"/>
  <c r="R49" i="109"/>
  <c r="P49" i="109"/>
  <c r="X48" i="109"/>
  <c r="W48" i="109"/>
  <c r="U48" i="109"/>
  <c r="S48" i="109"/>
  <c r="R48" i="109"/>
  <c r="P48" i="109"/>
  <c r="O46" i="109"/>
  <c r="P46" i="109" s="1"/>
  <c r="L46" i="109"/>
  <c r="K46" i="109"/>
  <c r="J46" i="109"/>
  <c r="I46" i="109"/>
  <c r="H46" i="109"/>
  <c r="X45" i="109"/>
  <c r="W45" i="109"/>
  <c r="U45" i="109"/>
  <c r="V46" i="109" s="1"/>
  <c r="W46" i="109" s="1"/>
  <c r="S45" i="109"/>
  <c r="R45" i="109"/>
  <c r="P45" i="109"/>
  <c r="Q46" i="109" s="1"/>
  <c r="R46" i="109" s="1"/>
  <c r="X44" i="109"/>
  <c r="W44" i="109"/>
  <c r="U44" i="109"/>
  <c r="S44" i="109"/>
  <c r="R44" i="109"/>
  <c r="P44" i="109"/>
  <c r="X43" i="109"/>
  <c r="W43" i="109"/>
  <c r="U43" i="109"/>
  <c r="S43" i="109"/>
  <c r="R43" i="109"/>
  <c r="P43" i="109"/>
  <c r="V42" i="109"/>
  <c r="U42" i="109"/>
  <c r="Q42" i="109"/>
  <c r="O42" i="109"/>
  <c r="P42" i="109" s="1"/>
  <c r="L42" i="109"/>
  <c r="K42" i="109"/>
  <c r="J42" i="109"/>
  <c r="I42" i="109"/>
  <c r="H42" i="109"/>
  <c r="X41" i="109"/>
  <c r="W41" i="109"/>
  <c r="U41" i="109"/>
  <c r="S41" i="109"/>
  <c r="P41" i="109"/>
  <c r="X40" i="109"/>
  <c r="S40" i="109"/>
  <c r="N32" i="109"/>
  <c r="K32" i="109"/>
  <c r="M31" i="109"/>
  <c r="N31" i="109" s="1"/>
  <c r="L31" i="109"/>
  <c r="J31" i="109"/>
  <c r="I31" i="109"/>
  <c r="H31" i="109"/>
  <c r="H34" i="109" s="1"/>
  <c r="N30" i="109"/>
  <c r="K30" i="109"/>
  <c r="N29" i="109"/>
  <c r="K29" i="109"/>
  <c r="N28" i="109"/>
  <c r="K28" i="109"/>
  <c r="N27" i="109"/>
  <c r="K27" i="109"/>
  <c r="N26" i="109"/>
  <c r="K26" i="109"/>
  <c r="N25" i="109"/>
  <c r="K25" i="109"/>
  <c r="N24" i="109"/>
  <c r="K24" i="109"/>
  <c r="N23" i="109"/>
  <c r="K23" i="109"/>
  <c r="M20" i="109"/>
  <c r="L20" i="109"/>
  <c r="J20" i="109"/>
  <c r="I20" i="109"/>
  <c r="H20" i="109"/>
  <c r="N19" i="109"/>
  <c r="K19" i="109"/>
  <c r="N18" i="109"/>
  <c r="K18" i="109"/>
  <c r="N17" i="109"/>
  <c r="K17" i="109"/>
  <c r="N16" i="109"/>
  <c r="K16" i="109"/>
  <c r="N15" i="109"/>
  <c r="K15" i="109"/>
  <c r="N14" i="109"/>
  <c r="K14" i="109"/>
  <c r="N13" i="109"/>
  <c r="K13" i="109"/>
  <c r="N12" i="109"/>
  <c r="K12" i="109"/>
  <c r="N11" i="109"/>
  <c r="K11" i="109"/>
  <c r="E42" i="108"/>
  <c r="H44" i="108"/>
  <c r="H47" i="108" s="1"/>
  <c r="H49" i="108" s="1"/>
  <c r="D44" i="108"/>
  <c r="D47" i="108" s="1"/>
  <c r="D49" i="108" s="1"/>
  <c r="K43" i="108"/>
  <c r="S42" i="108"/>
  <c r="L42" i="108"/>
  <c r="L44" i="108" s="1"/>
  <c r="L47" i="108" s="1"/>
  <c r="L49" i="108" s="1"/>
  <c r="K42" i="108"/>
  <c r="K44" i="108" s="1"/>
  <c r="K47" i="108" s="1"/>
  <c r="K49" i="108" s="1"/>
  <c r="J42" i="108"/>
  <c r="J44" i="108" s="1"/>
  <c r="J47" i="108" s="1"/>
  <c r="J49" i="108" s="1"/>
  <c r="I42" i="108"/>
  <c r="I44" i="108" s="1"/>
  <c r="I47" i="108" s="1"/>
  <c r="I49" i="108" s="1"/>
  <c r="H42" i="108"/>
  <c r="G42" i="108"/>
  <c r="G44" i="108" s="1"/>
  <c r="G47" i="108" s="1"/>
  <c r="G49" i="108" s="1"/>
  <c r="F42" i="108"/>
  <c r="F44" i="108" s="1"/>
  <c r="F47" i="108" s="1"/>
  <c r="F49" i="108" s="1"/>
  <c r="E44" i="108"/>
  <c r="E47" i="108" s="1"/>
  <c r="E49" i="108" s="1"/>
  <c r="D42" i="108"/>
  <c r="C42" i="108"/>
  <c r="C44" i="108" s="1"/>
  <c r="C47" i="108" s="1"/>
  <c r="C49" i="108" s="1"/>
  <c r="B42" i="108"/>
  <c r="B44" i="108" s="1"/>
  <c r="B47" i="108" s="1"/>
  <c r="B49" i="108" s="1"/>
  <c r="G30" i="108"/>
  <c r="F30" i="108"/>
  <c r="E30" i="108"/>
  <c r="D30" i="108"/>
  <c r="C30" i="108"/>
  <c r="B30" i="108"/>
  <c r="M29" i="108"/>
  <c r="L29" i="108"/>
  <c r="J29" i="108"/>
  <c r="I29" i="108"/>
  <c r="H29" i="108"/>
  <c r="H30" i="108" s="1"/>
  <c r="G28" i="108"/>
  <c r="M26" i="108"/>
  <c r="L26" i="108"/>
  <c r="N26" i="108" s="1"/>
  <c r="J26" i="108"/>
  <c r="K26" i="108" s="1"/>
  <c r="I26" i="108"/>
  <c r="H26" i="108"/>
  <c r="H28" i="108" s="1"/>
  <c r="G26" i="108"/>
  <c r="F26" i="108"/>
  <c r="F28" i="108" s="1"/>
  <c r="E26" i="108"/>
  <c r="E28" i="108" s="1"/>
  <c r="D26" i="108"/>
  <c r="D28" i="108" s="1"/>
  <c r="C26" i="108"/>
  <c r="C28" i="108" s="1"/>
  <c r="B26" i="108"/>
  <c r="B28" i="108" s="1"/>
  <c r="N25" i="108"/>
  <c r="K25" i="108"/>
  <c r="N24" i="108"/>
  <c r="N23" i="108"/>
  <c r="K23" i="108"/>
  <c r="N22" i="108"/>
  <c r="K22" i="108"/>
  <c r="N21" i="108"/>
  <c r="K21" i="108"/>
  <c r="N20" i="108"/>
  <c r="K20" i="108"/>
  <c r="M17" i="108"/>
  <c r="M27" i="108" s="1"/>
  <c r="M30" i="108" s="1"/>
  <c r="L17" i="108"/>
  <c r="L27" i="108" s="1"/>
  <c r="L28" i="108" s="1"/>
  <c r="J17" i="108"/>
  <c r="I17" i="108"/>
  <c r="I27" i="108" s="1"/>
  <c r="I30" i="108" s="1"/>
  <c r="G17" i="108"/>
  <c r="F17" i="108"/>
  <c r="E17" i="108"/>
  <c r="D17" i="108"/>
  <c r="C17" i="108"/>
  <c r="B17" i="108"/>
  <c r="N16" i="108"/>
  <c r="K16" i="108"/>
  <c r="N15" i="108"/>
  <c r="H15" i="108"/>
  <c r="H17" i="108" s="1"/>
  <c r="N14" i="108"/>
  <c r="N13" i="108"/>
  <c r="K13" i="108"/>
  <c r="N12" i="108"/>
  <c r="K12" i="108"/>
  <c r="N11" i="108"/>
  <c r="K11" i="108"/>
  <c r="N48" i="106"/>
  <c r="N46" i="106"/>
  <c r="N45" i="106"/>
  <c r="N43" i="106"/>
  <c r="N41" i="106"/>
  <c r="N40" i="106"/>
  <c r="N39" i="106"/>
  <c r="O39" i="106" s="1"/>
  <c r="N38" i="106"/>
  <c r="M48" i="106"/>
  <c r="M46" i="106"/>
  <c r="M45" i="106"/>
  <c r="M41" i="106"/>
  <c r="O41" i="106" s="1"/>
  <c r="M40" i="106"/>
  <c r="M39" i="106"/>
  <c r="M42" i="106" s="1"/>
  <c r="M38" i="106"/>
  <c r="O46" i="106"/>
  <c r="K43" i="106"/>
  <c r="M43" i="106" s="1"/>
  <c r="O43" i="106" s="1"/>
  <c r="K42" i="106"/>
  <c r="L42" i="106"/>
  <c r="L44" i="106" s="1"/>
  <c r="L47" i="106" s="1"/>
  <c r="L49" i="106" s="1"/>
  <c r="K44" i="106" l="1"/>
  <c r="K47" i="106" s="1"/>
  <c r="K49" i="106" s="1"/>
  <c r="O40" i="106"/>
  <c r="O48" i="106"/>
  <c r="O38" i="106"/>
  <c r="N17" i="108"/>
  <c r="S44" i="108"/>
  <c r="T42" i="108"/>
  <c r="X54" i="109"/>
  <c r="K20" i="109"/>
  <c r="U54" i="109"/>
  <c r="K31" i="109"/>
  <c r="J47" i="109"/>
  <c r="J55" i="109" s="1"/>
  <c r="J58" i="109" s="1"/>
  <c r="X46" i="109"/>
  <c r="U46" i="109"/>
  <c r="V47" i="109"/>
  <c r="V55" i="109" s="1"/>
  <c r="K47" i="109"/>
  <c r="K55" i="109" s="1"/>
  <c r="K58" i="109" s="1"/>
  <c r="Q47" i="109"/>
  <c r="Q55" i="109" s="1"/>
  <c r="Q58" i="109" s="1"/>
  <c r="W42" i="109"/>
  <c r="N20" i="109"/>
  <c r="L33" i="109"/>
  <c r="L34" i="109" s="1"/>
  <c r="I33" i="109"/>
  <c r="I34" i="109" s="1"/>
  <c r="I47" i="109"/>
  <c r="I55" i="109" s="1"/>
  <c r="I58" i="109" s="1"/>
  <c r="O47" i="109"/>
  <c r="O55" i="109" s="1"/>
  <c r="H47" i="109"/>
  <c r="H55" i="109" s="1"/>
  <c r="H58" i="109" s="1"/>
  <c r="L47" i="109"/>
  <c r="L55" i="109" s="1"/>
  <c r="L58" i="109" s="1"/>
  <c r="R42" i="109"/>
  <c r="M33" i="109"/>
  <c r="M34" i="109" s="1"/>
  <c r="M42" i="108"/>
  <c r="M44" i="108" s="1"/>
  <c r="M47" i="108" s="1"/>
  <c r="M49" i="108" s="1"/>
  <c r="K17" i="108"/>
  <c r="N42" i="108"/>
  <c r="N44" i="108" s="1"/>
  <c r="M28" i="108"/>
  <c r="N28" i="108" s="1"/>
  <c r="X42" i="109"/>
  <c r="S46" i="109"/>
  <c r="J33" i="109"/>
  <c r="S42" i="109"/>
  <c r="S54" i="109"/>
  <c r="I28" i="108"/>
  <c r="J27" i="108"/>
  <c r="N27" i="108"/>
  <c r="L30" i="108"/>
  <c r="N42" i="106"/>
  <c r="N44" i="106" s="1"/>
  <c r="N47" i="106" s="1"/>
  <c r="N49" i="106" s="1"/>
  <c r="M44" i="106"/>
  <c r="S47" i="108" l="1"/>
  <c r="T44" i="108"/>
  <c r="R47" i="109"/>
  <c r="S47" i="109"/>
  <c r="W47" i="109"/>
  <c r="P47" i="109"/>
  <c r="K33" i="109"/>
  <c r="N34" i="109"/>
  <c r="N33" i="109"/>
  <c r="P42" i="108"/>
  <c r="Q42" i="108" s="1"/>
  <c r="P55" i="109"/>
  <c r="O58" i="109"/>
  <c r="P58" i="109" s="1"/>
  <c r="S55" i="109"/>
  <c r="R55" i="109"/>
  <c r="U47" i="109"/>
  <c r="X47" i="109"/>
  <c r="W55" i="109"/>
  <c r="V58" i="109"/>
  <c r="J34" i="109"/>
  <c r="K34" i="109" s="1"/>
  <c r="J30" i="108"/>
  <c r="K27" i="108"/>
  <c r="N47" i="108"/>
  <c r="J28" i="108"/>
  <c r="K28" i="108" s="1"/>
  <c r="O42" i="106"/>
  <c r="M47" i="106"/>
  <c r="O44" i="106"/>
  <c r="S49" i="108" l="1"/>
  <c r="T49" i="108" s="1"/>
  <c r="T47" i="108"/>
  <c r="P44" i="108"/>
  <c r="Q44" i="108" s="1"/>
  <c r="R58" i="109"/>
  <c r="S58" i="109"/>
  <c r="W58" i="109"/>
  <c r="U58" i="109"/>
  <c r="X55" i="109"/>
  <c r="U55" i="109"/>
  <c r="N49" i="108"/>
  <c r="M49" i="106"/>
  <c r="O49" i="106" s="1"/>
  <c r="O47" i="106"/>
  <c r="P47" i="108" l="1"/>
  <c r="Q47" i="108" s="1"/>
  <c r="X58" i="109"/>
  <c r="L17" i="106"/>
  <c r="P49" i="108" l="1"/>
  <c r="Q49" i="108" s="1"/>
  <c r="Q41" i="107"/>
  <c r="Q43" i="107"/>
  <c r="Q44" i="107"/>
  <c r="Q45" i="107"/>
  <c r="Q48" i="107"/>
  <c r="Q49" i="107"/>
  <c r="Q50" i="107"/>
  <c r="Q51" i="107"/>
  <c r="Q52" i="107"/>
  <c r="Q53" i="107"/>
  <c r="Q56" i="107"/>
  <c r="Q57" i="107"/>
  <c r="Q59" i="107"/>
  <c r="Q40" i="107"/>
  <c r="P59" i="107"/>
  <c r="P57" i="107"/>
  <c r="P56" i="107"/>
  <c r="P53" i="107"/>
  <c r="P52" i="107"/>
  <c r="P51" i="107"/>
  <c r="P50" i="107"/>
  <c r="P49" i="107"/>
  <c r="P48" i="107"/>
  <c r="P45" i="107"/>
  <c r="P44" i="107"/>
  <c r="P43" i="107"/>
  <c r="P41" i="107"/>
  <c r="N41" i="107"/>
  <c r="N59" i="107"/>
  <c r="N57" i="107"/>
  <c r="N56" i="107"/>
  <c r="N53" i="107"/>
  <c r="N52" i="107"/>
  <c r="N51" i="107"/>
  <c r="N50" i="107"/>
  <c r="N49" i="107"/>
  <c r="N48" i="107"/>
  <c r="N45" i="107"/>
  <c r="N44" i="107"/>
  <c r="N43" i="107"/>
  <c r="M54" i="107"/>
  <c r="N54" i="107" s="1"/>
  <c r="M46" i="107"/>
  <c r="N46" i="107" s="1"/>
  <c r="M42" i="107"/>
  <c r="N42" i="107" s="1"/>
  <c r="L54" i="107"/>
  <c r="L46" i="107"/>
  <c r="L42" i="107"/>
  <c r="K54" i="107"/>
  <c r="K46" i="107"/>
  <c r="K42" i="107"/>
  <c r="J54" i="107"/>
  <c r="J46" i="107"/>
  <c r="J42" i="107"/>
  <c r="O54" i="107"/>
  <c r="P54" i="107" s="1"/>
  <c r="O46" i="107"/>
  <c r="P46" i="107" s="1"/>
  <c r="O42" i="107"/>
  <c r="P42" i="107" s="1"/>
  <c r="Q54" i="107" l="1"/>
  <c r="Q46" i="107"/>
  <c r="Q42" i="107"/>
  <c r="L47" i="107"/>
  <c r="L55" i="107" s="1"/>
  <c r="L58" i="107" s="1"/>
  <c r="M47" i="107"/>
  <c r="J47" i="107"/>
  <c r="J55" i="107" s="1"/>
  <c r="J58" i="107" s="1"/>
  <c r="K47" i="107"/>
  <c r="K55" i="107" s="1"/>
  <c r="K58" i="107" s="1"/>
  <c r="O47" i="107"/>
  <c r="O55" i="107" l="1"/>
  <c r="Q47" i="107"/>
  <c r="P47" i="107"/>
  <c r="M55" i="107"/>
  <c r="N47" i="107"/>
  <c r="O58" i="107" l="1"/>
  <c r="Q55" i="107"/>
  <c r="P55" i="107"/>
  <c r="M58" i="107"/>
  <c r="N58" i="107" s="1"/>
  <c r="N55" i="107"/>
  <c r="Q58" i="107" l="1"/>
  <c r="P58" i="107"/>
  <c r="L34" i="107"/>
  <c r="L31" i="107"/>
  <c r="V59" i="107"/>
  <c r="U59" i="107"/>
  <c r="S59" i="107"/>
  <c r="V57" i="107"/>
  <c r="U57" i="107"/>
  <c r="S57" i="107"/>
  <c r="V56" i="107"/>
  <c r="U56" i="107"/>
  <c r="S56" i="107"/>
  <c r="T54" i="107"/>
  <c r="U54" i="107" s="1"/>
  <c r="R54" i="107"/>
  <c r="I54" i="107"/>
  <c r="H54" i="107"/>
  <c r="V53" i="107"/>
  <c r="U53" i="107"/>
  <c r="S53" i="107"/>
  <c r="V52" i="107"/>
  <c r="U52" i="107"/>
  <c r="S52" i="107"/>
  <c r="V51" i="107"/>
  <c r="U51" i="107"/>
  <c r="S51" i="107"/>
  <c r="V50" i="107"/>
  <c r="U50" i="107"/>
  <c r="S50" i="107"/>
  <c r="V49" i="107"/>
  <c r="U49" i="107"/>
  <c r="S49" i="107"/>
  <c r="V48" i="107"/>
  <c r="U48" i="107"/>
  <c r="S48" i="107"/>
  <c r="T46" i="107"/>
  <c r="U46" i="107" s="1"/>
  <c r="R46" i="107"/>
  <c r="S46" i="107" s="1"/>
  <c r="I46" i="107"/>
  <c r="H46" i="107"/>
  <c r="V45" i="107"/>
  <c r="U45" i="107"/>
  <c r="S45" i="107"/>
  <c r="V44" i="107"/>
  <c r="U44" i="107"/>
  <c r="S44" i="107"/>
  <c r="V43" i="107"/>
  <c r="U43" i="107"/>
  <c r="S43" i="107"/>
  <c r="T42" i="107"/>
  <c r="T47" i="107" s="1"/>
  <c r="R42" i="107"/>
  <c r="I42" i="107"/>
  <c r="H42" i="107"/>
  <c r="V41" i="107"/>
  <c r="U41" i="107"/>
  <c r="S41" i="107"/>
  <c r="V40" i="107"/>
  <c r="N32" i="107"/>
  <c r="K32" i="107"/>
  <c r="M31" i="107"/>
  <c r="J31" i="107"/>
  <c r="I31" i="107"/>
  <c r="H31" i="107"/>
  <c r="H34" i="107" s="1"/>
  <c r="N30" i="107"/>
  <c r="K30" i="107"/>
  <c r="N29" i="107"/>
  <c r="K29" i="107"/>
  <c r="N28" i="107"/>
  <c r="K28" i="107"/>
  <c r="N27" i="107"/>
  <c r="K27" i="107"/>
  <c r="N26" i="107"/>
  <c r="K26" i="107"/>
  <c r="N25" i="107"/>
  <c r="K25" i="107"/>
  <c r="N24" i="107"/>
  <c r="K24" i="107"/>
  <c r="N23" i="107"/>
  <c r="K23" i="107"/>
  <c r="M20" i="107"/>
  <c r="M33" i="107" s="1"/>
  <c r="L20" i="107"/>
  <c r="J20" i="107"/>
  <c r="I20" i="107"/>
  <c r="H20" i="107"/>
  <c r="N19" i="107"/>
  <c r="K19" i="107"/>
  <c r="N18" i="107"/>
  <c r="K18" i="107"/>
  <c r="N17" i="107"/>
  <c r="K17" i="107"/>
  <c r="N16" i="107"/>
  <c r="K16" i="107"/>
  <c r="N15" i="107"/>
  <c r="K15" i="107"/>
  <c r="N14" i="107"/>
  <c r="K14" i="107"/>
  <c r="N13" i="107"/>
  <c r="K13" i="107"/>
  <c r="N12" i="107"/>
  <c r="K12" i="107"/>
  <c r="N11" i="107"/>
  <c r="K11" i="107"/>
  <c r="R48" i="106"/>
  <c r="R46" i="106"/>
  <c r="R43" i="106"/>
  <c r="Q42" i="106"/>
  <c r="Q44" i="106" s="1"/>
  <c r="Q47" i="106" s="1"/>
  <c r="Q49" i="106" s="1"/>
  <c r="P42" i="106"/>
  <c r="J42" i="106"/>
  <c r="J44" i="106" s="1"/>
  <c r="I42" i="106"/>
  <c r="I44" i="106" s="1"/>
  <c r="I47" i="106" s="1"/>
  <c r="I49" i="106" s="1"/>
  <c r="H42" i="106"/>
  <c r="H44" i="106" s="1"/>
  <c r="H47" i="106" s="1"/>
  <c r="H49" i="106" s="1"/>
  <c r="G42" i="106"/>
  <c r="G44" i="106" s="1"/>
  <c r="G47" i="106" s="1"/>
  <c r="G49" i="106" s="1"/>
  <c r="F42" i="106"/>
  <c r="F44" i="106" s="1"/>
  <c r="F47" i="106" s="1"/>
  <c r="F49" i="106" s="1"/>
  <c r="E42" i="106"/>
  <c r="E44" i="106" s="1"/>
  <c r="E47" i="106" s="1"/>
  <c r="E49" i="106" s="1"/>
  <c r="D42" i="106"/>
  <c r="D44" i="106" s="1"/>
  <c r="D47" i="106" s="1"/>
  <c r="D49" i="106" s="1"/>
  <c r="C42" i="106"/>
  <c r="C44" i="106" s="1"/>
  <c r="C47" i="106" s="1"/>
  <c r="C49" i="106" s="1"/>
  <c r="B42" i="106"/>
  <c r="B44" i="106" s="1"/>
  <c r="B47" i="106" s="1"/>
  <c r="B49" i="106" s="1"/>
  <c r="R41" i="106"/>
  <c r="R40" i="106"/>
  <c r="R39" i="106"/>
  <c r="R38" i="106"/>
  <c r="G30" i="106"/>
  <c r="F30" i="106"/>
  <c r="E30" i="106"/>
  <c r="D30" i="106"/>
  <c r="C30" i="106"/>
  <c r="B30" i="106"/>
  <c r="M29" i="106"/>
  <c r="L29" i="106"/>
  <c r="J29" i="106"/>
  <c r="I29" i="106"/>
  <c r="H29" i="106"/>
  <c r="H30" i="106" s="1"/>
  <c r="M26" i="106"/>
  <c r="L26" i="106"/>
  <c r="L27" i="106" s="1"/>
  <c r="L28" i="106" s="1"/>
  <c r="J26" i="106"/>
  <c r="I26" i="106"/>
  <c r="H26" i="106"/>
  <c r="H28" i="106" s="1"/>
  <c r="G26" i="106"/>
  <c r="G28" i="106" s="1"/>
  <c r="F26" i="106"/>
  <c r="F28" i="106" s="1"/>
  <c r="E26" i="106"/>
  <c r="E28" i="106" s="1"/>
  <c r="D26" i="106"/>
  <c r="D28" i="106" s="1"/>
  <c r="C26" i="106"/>
  <c r="C28" i="106" s="1"/>
  <c r="B26" i="106"/>
  <c r="B28" i="106" s="1"/>
  <c r="N25" i="106"/>
  <c r="K25" i="106"/>
  <c r="N24" i="106"/>
  <c r="N23" i="106"/>
  <c r="K23" i="106"/>
  <c r="N22" i="106"/>
  <c r="K22" i="106"/>
  <c r="N21" i="106"/>
  <c r="K21" i="106"/>
  <c r="N20" i="106"/>
  <c r="K20" i="106"/>
  <c r="J17" i="106"/>
  <c r="K17" i="106" s="1"/>
  <c r="I17" i="106"/>
  <c r="G17" i="106"/>
  <c r="F17" i="106"/>
  <c r="E17" i="106"/>
  <c r="D17" i="106"/>
  <c r="C17" i="106"/>
  <c r="B17" i="106"/>
  <c r="N16" i="106"/>
  <c r="K16" i="106"/>
  <c r="N15" i="106"/>
  <c r="H15" i="106"/>
  <c r="H17" i="106" s="1"/>
  <c r="N14" i="106"/>
  <c r="N13" i="106"/>
  <c r="K13" i="106"/>
  <c r="N12" i="106"/>
  <c r="K12" i="106"/>
  <c r="N11" i="106"/>
  <c r="K11" i="106"/>
  <c r="L43" i="105"/>
  <c r="L42" i="105"/>
  <c r="L44" i="105" s="1"/>
  <c r="L47" i="105" s="1"/>
  <c r="L49" i="105" s="1"/>
  <c r="K11" i="105"/>
  <c r="K48" i="105"/>
  <c r="K46" i="105"/>
  <c r="K45" i="105"/>
  <c r="K43" i="105"/>
  <c r="K41" i="105"/>
  <c r="K40" i="105"/>
  <c r="K38" i="105"/>
  <c r="J42" i="105"/>
  <c r="J44" i="105" s="1"/>
  <c r="J47" i="105" s="1"/>
  <c r="J49" i="105" s="1"/>
  <c r="M17" i="105"/>
  <c r="L26" i="105"/>
  <c r="L17" i="105"/>
  <c r="P44" i="106" l="1"/>
  <c r="R44" i="106" s="1"/>
  <c r="I27" i="106"/>
  <c r="I30" i="106" s="1"/>
  <c r="K26" i="106"/>
  <c r="M27" i="106"/>
  <c r="M30" i="106" s="1"/>
  <c r="J27" i="106"/>
  <c r="L27" i="105"/>
  <c r="L28" i="105" s="1"/>
  <c r="N26" i="106"/>
  <c r="N17" i="106"/>
  <c r="R47" i="107"/>
  <c r="R55" i="107" s="1"/>
  <c r="V54" i="107"/>
  <c r="K20" i="107"/>
  <c r="I47" i="107"/>
  <c r="J33" i="107"/>
  <c r="J34" i="107" s="1"/>
  <c r="H47" i="107"/>
  <c r="H55" i="107" s="1"/>
  <c r="H58" i="107" s="1"/>
  <c r="V46" i="107"/>
  <c r="S54" i="107"/>
  <c r="M34" i="107"/>
  <c r="N34" i="107" s="1"/>
  <c r="N31" i="107"/>
  <c r="T55" i="107"/>
  <c r="U47" i="107"/>
  <c r="N20" i="107"/>
  <c r="K31" i="107"/>
  <c r="U42" i="107"/>
  <c r="I33" i="107"/>
  <c r="I34" i="107" s="1"/>
  <c r="S42" i="107"/>
  <c r="V42" i="107"/>
  <c r="J47" i="106"/>
  <c r="J28" i="106"/>
  <c r="R42" i="106"/>
  <c r="L30" i="106"/>
  <c r="K25" i="105"/>
  <c r="K23" i="105"/>
  <c r="K22" i="105"/>
  <c r="K21" i="105"/>
  <c r="K20" i="105"/>
  <c r="K16" i="105"/>
  <c r="K13" i="105"/>
  <c r="K12" i="105"/>
  <c r="N11" i="104"/>
  <c r="J29" i="105"/>
  <c r="J26" i="105"/>
  <c r="J17" i="105"/>
  <c r="Q41" i="104"/>
  <c r="M40" i="104"/>
  <c r="M59" i="104"/>
  <c r="M57" i="104"/>
  <c r="M56" i="104"/>
  <c r="M53" i="104"/>
  <c r="M52" i="104"/>
  <c r="M51" i="104"/>
  <c r="M50" i="104"/>
  <c r="M49" i="104"/>
  <c r="M48" i="104"/>
  <c r="M45" i="104"/>
  <c r="M44" i="104"/>
  <c r="M43" i="104"/>
  <c r="M41" i="104"/>
  <c r="K54" i="104"/>
  <c r="K46" i="104"/>
  <c r="K42" i="104"/>
  <c r="J59" i="104"/>
  <c r="J57" i="104"/>
  <c r="J56" i="104"/>
  <c r="J53" i="104"/>
  <c r="J52" i="104"/>
  <c r="J51" i="104"/>
  <c r="J50" i="104"/>
  <c r="J49" i="104"/>
  <c r="J48" i="104"/>
  <c r="J45" i="104"/>
  <c r="J44" i="104"/>
  <c r="J43" i="104"/>
  <c r="J41" i="104"/>
  <c r="I54" i="104"/>
  <c r="J54" i="104" s="1"/>
  <c r="I46" i="104"/>
  <c r="J46" i="104" s="1"/>
  <c r="I42" i="104"/>
  <c r="M42" i="104" s="1"/>
  <c r="K47" i="104" l="1"/>
  <c r="K55" i="104" s="1"/>
  <c r="K58" i="104" s="1"/>
  <c r="M46" i="104"/>
  <c r="M54" i="104"/>
  <c r="J27" i="105"/>
  <c r="N27" i="106"/>
  <c r="P47" i="106"/>
  <c r="P49" i="106" s="1"/>
  <c r="R49" i="106" s="1"/>
  <c r="K27" i="106"/>
  <c r="I28" i="106"/>
  <c r="K28" i="106" s="1"/>
  <c r="J30" i="106"/>
  <c r="M28" i="106"/>
  <c r="N28" i="106" s="1"/>
  <c r="S47" i="107"/>
  <c r="V47" i="107"/>
  <c r="K33" i="107"/>
  <c r="I55" i="107"/>
  <c r="N33" i="107"/>
  <c r="R58" i="107"/>
  <c r="S58" i="107" s="1"/>
  <c r="S55" i="107"/>
  <c r="V55" i="107"/>
  <c r="U55" i="107"/>
  <c r="T58" i="107"/>
  <c r="K34" i="107"/>
  <c r="J49" i="106"/>
  <c r="I47" i="104"/>
  <c r="M47" i="104" s="1"/>
  <c r="J42" i="104"/>
  <c r="J30" i="105" l="1"/>
  <c r="J28" i="105"/>
  <c r="R47" i="106"/>
  <c r="I58" i="107"/>
  <c r="U58" i="107"/>
  <c r="V58" i="107"/>
  <c r="I55" i="104"/>
  <c r="M55" i="104" s="1"/>
  <c r="J47" i="104"/>
  <c r="I58" i="104" l="1"/>
  <c r="J55" i="104"/>
  <c r="J58" i="104" l="1"/>
  <c r="M58" i="104"/>
  <c r="K11" i="104"/>
  <c r="K32" i="104"/>
  <c r="K30" i="104"/>
  <c r="K29" i="104"/>
  <c r="K28" i="104"/>
  <c r="K27" i="104"/>
  <c r="K26" i="104"/>
  <c r="K25" i="104"/>
  <c r="K24" i="104"/>
  <c r="K23" i="104"/>
  <c r="K19" i="104"/>
  <c r="K18" i="104"/>
  <c r="K17" i="104"/>
  <c r="K16" i="104"/>
  <c r="K15" i="104"/>
  <c r="K14" i="104"/>
  <c r="K13" i="104"/>
  <c r="K12" i="104"/>
  <c r="J31" i="104"/>
  <c r="J20" i="104"/>
  <c r="J33" i="104" l="1"/>
  <c r="J34" i="104" l="1"/>
  <c r="N48" i="105" l="1"/>
  <c r="N46" i="105"/>
  <c r="N45" i="105"/>
  <c r="N43" i="105"/>
  <c r="M42" i="105"/>
  <c r="M44" i="105" s="1"/>
  <c r="M47" i="105" s="1"/>
  <c r="M49" i="105" s="1"/>
  <c r="I42" i="105"/>
  <c r="H42" i="105"/>
  <c r="H44" i="105" s="1"/>
  <c r="G42" i="105"/>
  <c r="G44" i="105" s="1"/>
  <c r="G47" i="105" s="1"/>
  <c r="G49" i="105" s="1"/>
  <c r="F42" i="105"/>
  <c r="F44" i="105" s="1"/>
  <c r="F47" i="105" s="1"/>
  <c r="F49" i="105" s="1"/>
  <c r="E42" i="105"/>
  <c r="E44" i="105" s="1"/>
  <c r="E47" i="105" s="1"/>
  <c r="E49" i="105" s="1"/>
  <c r="D42" i="105"/>
  <c r="D44" i="105" s="1"/>
  <c r="D47" i="105" s="1"/>
  <c r="D49" i="105" s="1"/>
  <c r="C42" i="105"/>
  <c r="C44" i="105" s="1"/>
  <c r="C47" i="105" s="1"/>
  <c r="C49" i="105" s="1"/>
  <c r="B42" i="105"/>
  <c r="B44" i="105" s="1"/>
  <c r="B47" i="105" s="1"/>
  <c r="B49" i="105" s="1"/>
  <c r="N41" i="105"/>
  <c r="N40" i="105"/>
  <c r="N39" i="105"/>
  <c r="N38" i="105"/>
  <c r="G30" i="105"/>
  <c r="F30" i="105"/>
  <c r="E30" i="105"/>
  <c r="D30" i="105"/>
  <c r="C30" i="105"/>
  <c r="B30" i="105"/>
  <c r="M29" i="105"/>
  <c r="L29" i="105"/>
  <c r="L30" i="105" s="1"/>
  <c r="I29" i="105"/>
  <c r="H29" i="105"/>
  <c r="H30" i="105" s="1"/>
  <c r="M26" i="105"/>
  <c r="I26" i="105"/>
  <c r="H26" i="105"/>
  <c r="H28" i="105" s="1"/>
  <c r="G26" i="105"/>
  <c r="G28" i="105" s="1"/>
  <c r="F26" i="105"/>
  <c r="F28" i="105" s="1"/>
  <c r="E26" i="105"/>
  <c r="E28" i="105" s="1"/>
  <c r="D26" i="105"/>
  <c r="D28" i="105" s="1"/>
  <c r="C26" i="105"/>
  <c r="C28" i="105" s="1"/>
  <c r="B26" i="105"/>
  <c r="B28" i="105" s="1"/>
  <c r="N25" i="105"/>
  <c r="N24" i="105"/>
  <c r="N23" i="105"/>
  <c r="N22" i="105"/>
  <c r="N21" i="105"/>
  <c r="N20" i="105"/>
  <c r="N17" i="105"/>
  <c r="I17" i="105"/>
  <c r="G17" i="105"/>
  <c r="F17" i="105"/>
  <c r="E17" i="105"/>
  <c r="D17" i="105"/>
  <c r="C17" i="105"/>
  <c r="B17" i="105"/>
  <c r="N16" i="105"/>
  <c r="N15" i="105"/>
  <c r="H15" i="105"/>
  <c r="H17" i="105" s="1"/>
  <c r="N14" i="105"/>
  <c r="N13" i="105"/>
  <c r="N12" i="105"/>
  <c r="N11" i="105"/>
  <c r="R59" i="104"/>
  <c r="Q59" i="104"/>
  <c r="O59" i="104"/>
  <c r="L59" i="104"/>
  <c r="R57" i="104"/>
  <c r="Q57" i="104"/>
  <c r="O57" i="104"/>
  <c r="L57" i="104"/>
  <c r="R56" i="104"/>
  <c r="Q56" i="104"/>
  <c r="O56" i="104"/>
  <c r="L56" i="104"/>
  <c r="P54" i="104"/>
  <c r="Q54" i="104" s="1"/>
  <c r="N54" i="104"/>
  <c r="L54" i="104"/>
  <c r="H54" i="104"/>
  <c r="R53" i="104"/>
  <c r="Q53" i="104"/>
  <c r="O53" i="104"/>
  <c r="L53" i="104"/>
  <c r="R52" i="104"/>
  <c r="Q52" i="104"/>
  <c r="O52" i="104"/>
  <c r="L52" i="104"/>
  <c r="R51" i="104"/>
  <c r="Q51" i="104"/>
  <c r="O51" i="104"/>
  <c r="L51" i="104"/>
  <c r="R50" i="104"/>
  <c r="Q50" i="104"/>
  <c r="O50" i="104"/>
  <c r="L50" i="104"/>
  <c r="R49" i="104"/>
  <c r="Q49" i="104"/>
  <c r="O49" i="104"/>
  <c r="L49" i="104"/>
  <c r="R48" i="104"/>
  <c r="Q48" i="104"/>
  <c r="O48" i="104"/>
  <c r="L48" i="104"/>
  <c r="P46" i="104"/>
  <c r="Q46" i="104" s="1"/>
  <c r="N46" i="104"/>
  <c r="L46" i="104"/>
  <c r="H46" i="104"/>
  <c r="R45" i="104"/>
  <c r="Q45" i="104"/>
  <c r="O45" i="104"/>
  <c r="L45" i="104"/>
  <c r="R44" i="104"/>
  <c r="Q44" i="104"/>
  <c r="O44" i="104"/>
  <c r="L44" i="104"/>
  <c r="R43" i="104"/>
  <c r="Q43" i="104"/>
  <c r="O43" i="104"/>
  <c r="L43" i="104"/>
  <c r="P42" i="104"/>
  <c r="Q42" i="104" s="1"/>
  <c r="N42" i="104"/>
  <c r="H42" i="104"/>
  <c r="R41" i="104"/>
  <c r="O41" i="104"/>
  <c r="L41" i="104"/>
  <c r="R40" i="104"/>
  <c r="N32" i="104"/>
  <c r="M31" i="104"/>
  <c r="L31" i="104"/>
  <c r="I31" i="104"/>
  <c r="K31" i="104" s="1"/>
  <c r="H31" i="104"/>
  <c r="H34" i="104" s="1"/>
  <c r="N30" i="104"/>
  <c r="N29" i="104"/>
  <c r="N28" i="104"/>
  <c r="N27" i="104"/>
  <c r="N26" i="104"/>
  <c r="N25" i="104"/>
  <c r="N24" i="104"/>
  <c r="N23" i="104"/>
  <c r="M20" i="104"/>
  <c r="M33" i="104" s="1"/>
  <c r="L20" i="104"/>
  <c r="I20" i="104"/>
  <c r="H20" i="104"/>
  <c r="N19" i="104"/>
  <c r="N18" i="104"/>
  <c r="N17" i="104"/>
  <c r="N16" i="104"/>
  <c r="N15" i="104"/>
  <c r="N14" i="104"/>
  <c r="N13" i="104"/>
  <c r="N12" i="104"/>
  <c r="U38" i="102"/>
  <c r="L11" i="102"/>
  <c r="X59" i="103"/>
  <c r="X57" i="103"/>
  <c r="X52" i="103"/>
  <c r="X51" i="103"/>
  <c r="X50" i="103"/>
  <c r="X49" i="103"/>
  <c r="X48" i="103"/>
  <c r="X45" i="103"/>
  <c r="X44" i="103"/>
  <c r="X43" i="103"/>
  <c r="X41" i="103"/>
  <c r="X40" i="103"/>
  <c r="R59" i="103"/>
  <c r="R57" i="103"/>
  <c r="R56" i="103"/>
  <c r="R53" i="103"/>
  <c r="R52" i="103"/>
  <c r="R51" i="103"/>
  <c r="R50" i="103"/>
  <c r="R49" i="103"/>
  <c r="R48" i="103"/>
  <c r="R45" i="103"/>
  <c r="R44" i="103"/>
  <c r="R43" i="103"/>
  <c r="R41" i="103"/>
  <c r="P59" i="103"/>
  <c r="P45" i="103"/>
  <c r="P44" i="103"/>
  <c r="P43" i="103"/>
  <c r="P41" i="103"/>
  <c r="L16" i="103"/>
  <c r="L15" i="103"/>
  <c r="L14" i="103"/>
  <c r="L13" i="103"/>
  <c r="L12" i="103"/>
  <c r="L11" i="103"/>
  <c r="U48" i="102"/>
  <c r="U46" i="102"/>
  <c r="U45" i="102"/>
  <c r="U43" i="102"/>
  <c r="U41" i="102"/>
  <c r="U40" i="102"/>
  <c r="U39" i="102"/>
  <c r="R39" i="102"/>
  <c r="K17" i="105" l="1"/>
  <c r="I27" i="105"/>
  <c r="K27" i="105" s="1"/>
  <c r="R42" i="104"/>
  <c r="I30" i="105"/>
  <c r="I44" i="105"/>
  <c r="K42" i="105"/>
  <c r="N42" i="105"/>
  <c r="I28" i="105"/>
  <c r="K28" i="105" s="1"/>
  <c r="K26" i="105"/>
  <c r="M28" i="105"/>
  <c r="N28" i="105" s="1"/>
  <c r="M27" i="105"/>
  <c r="N27" i="105" s="1"/>
  <c r="N20" i="104"/>
  <c r="L33" i="104"/>
  <c r="L34" i="104" s="1"/>
  <c r="N34" i="104" s="1"/>
  <c r="I33" i="104"/>
  <c r="K33" i="104" s="1"/>
  <c r="K20" i="104"/>
  <c r="M34" i="104"/>
  <c r="R54" i="104"/>
  <c r="R46" i="104"/>
  <c r="N47" i="104"/>
  <c r="O47" i="104" s="1"/>
  <c r="L42" i="104"/>
  <c r="H47" i="104"/>
  <c r="H47" i="105"/>
  <c r="N44" i="105"/>
  <c r="N26" i="105"/>
  <c r="L47" i="104"/>
  <c r="O42" i="104"/>
  <c r="O46" i="104"/>
  <c r="O54" i="104"/>
  <c r="N31" i="104"/>
  <c r="P47" i="104"/>
  <c r="R47" i="104" s="1"/>
  <c r="M30" i="105" l="1"/>
  <c r="I47" i="105"/>
  <c r="K44" i="105"/>
  <c r="N33" i="104"/>
  <c r="N55" i="104"/>
  <c r="N58" i="104" s="1"/>
  <c r="O58" i="104" s="1"/>
  <c r="I34" i="104"/>
  <c r="K34" i="104" s="1"/>
  <c r="H55" i="104"/>
  <c r="H49" i="105"/>
  <c r="N49" i="105"/>
  <c r="N47" i="105"/>
  <c r="P55" i="104"/>
  <c r="Q47" i="104"/>
  <c r="L55" i="104"/>
  <c r="I49" i="105" l="1"/>
  <c r="K49" i="105" s="1"/>
  <c r="K47" i="105"/>
  <c r="O55" i="104"/>
  <c r="R55" i="104"/>
  <c r="H58" i="104"/>
  <c r="L58" i="104"/>
  <c r="Q55" i="104"/>
  <c r="P58" i="104"/>
  <c r="P57" i="103"/>
  <c r="P56" i="103"/>
  <c r="P53" i="103"/>
  <c r="P52" i="103"/>
  <c r="P51" i="103"/>
  <c r="P50" i="103"/>
  <c r="P49" i="103"/>
  <c r="P48" i="103"/>
  <c r="S56" i="103"/>
  <c r="S53" i="103"/>
  <c r="S52" i="103"/>
  <c r="S51" i="103"/>
  <c r="S50" i="103"/>
  <c r="S49" i="103"/>
  <c r="S48" i="103"/>
  <c r="S45" i="103"/>
  <c r="S44" i="103"/>
  <c r="S43" i="103"/>
  <c r="S41" i="103"/>
  <c r="S40" i="103"/>
  <c r="X56" i="103"/>
  <c r="Q58" i="104" l="1"/>
  <c r="R58" i="104"/>
  <c r="S59" i="103"/>
  <c r="S57" i="103"/>
  <c r="O54" i="103"/>
  <c r="O46" i="103"/>
  <c r="O42" i="103"/>
  <c r="P42" i="103" l="1"/>
  <c r="P46" i="103"/>
  <c r="P54" i="103"/>
  <c r="O47" i="103"/>
  <c r="O55" i="103" l="1"/>
  <c r="P47" i="103"/>
  <c r="W59" i="103"/>
  <c r="U59" i="103"/>
  <c r="W57" i="103"/>
  <c r="U57" i="103"/>
  <c r="W56" i="103"/>
  <c r="U56" i="103"/>
  <c r="V54" i="103"/>
  <c r="W54" i="103" s="1"/>
  <c r="T54" i="103"/>
  <c r="Q54" i="103"/>
  <c r="N54" i="103"/>
  <c r="M54" i="103"/>
  <c r="L54" i="103"/>
  <c r="K54" i="103"/>
  <c r="J54" i="103"/>
  <c r="I54" i="103"/>
  <c r="H54" i="103"/>
  <c r="W53" i="103"/>
  <c r="U53" i="103"/>
  <c r="W52" i="103"/>
  <c r="U52" i="103"/>
  <c r="W51" i="103"/>
  <c r="U51" i="103"/>
  <c r="W50" i="103"/>
  <c r="U50" i="103"/>
  <c r="W49" i="103"/>
  <c r="U49" i="103"/>
  <c r="W48" i="103"/>
  <c r="U48" i="103"/>
  <c r="V46" i="103"/>
  <c r="W46" i="103" s="1"/>
  <c r="T46" i="103"/>
  <c r="Q46" i="103"/>
  <c r="N46" i="103"/>
  <c r="M46" i="103"/>
  <c r="L46" i="103"/>
  <c r="K46" i="103"/>
  <c r="J46" i="103"/>
  <c r="I46" i="103"/>
  <c r="H46" i="103"/>
  <c r="W45" i="103"/>
  <c r="U45" i="103"/>
  <c r="W44" i="103"/>
  <c r="U44" i="103"/>
  <c r="W43" i="103"/>
  <c r="U43" i="103"/>
  <c r="V42" i="103"/>
  <c r="W42" i="103" s="1"/>
  <c r="T42" i="103"/>
  <c r="X42" i="103" s="1"/>
  <c r="Q42" i="103"/>
  <c r="N42" i="103"/>
  <c r="M42" i="103"/>
  <c r="M47" i="103" s="1"/>
  <c r="M55" i="103" s="1"/>
  <c r="M58" i="103" s="1"/>
  <c r="L42" i="103"/>
  <c r="L47" i="103" s="1"/>
  <c r="L55" i="103" s="1"/>
  <c r="L58" i="103" s="1"/>
  <c r="K42" i="103"/>
  <c r="K47" i="103" s="1"/>
  <c r="K55" i="103" s="1"/>
  <c r="K58" i="103" s="1"/>
  <c r="J42" i="103"/>
  <c r="J47" i="103" s="1"/>
  <c r="J55" i="103" s="1"/>
  <c r="J58" i="103" s="1"/>
  <c r="I42" i="103"/>
  <c r="I47" i="103" s="1"/>
  <c r="I55" i="103" s="1"/>
  <c r="I58" i="103" s="1"/>
  <c r="H42" i="103"/>
  <c r="H47" i="103" s="1"/>
  <c r="H55" i="103" s="1"/>
  <c r="H58" i="103" s="1"/>
  <c r="W41" i="103"/>
  <c r="U41" i="103"/>
  <c r="L33" i="103"/>
  <c r="L32" i="103"/>
  <c r="K31" i="103"/>
  <c r="K34" i="103" s="1"/>
  <c r="J31" i="103"/>
  <c r="J34" i="103" s="1"/>
  <c r="I31" i="103"/>
  <c r="I34" i="103" s="1"/>
  <c r="H31" i="103"/>
  <c r="H34" i="103" s="1"/>
  <c r="L30" i="103"/>
  <c r="L29" i="103"/>
  <c r="L28" i="103"/>
  <c r="L27" i="103"/>
  <c r="L26" i="103"/>
  <c r="L25" i="103"/>
  <c r="L24" i="103"/>
  <c r="L23" i="103"/>
  <c r="K20" i="103"/>
  <c r="J20" i="103"/>
  <c r="I20" i="103"/>
  <c r="H20" i="103"/>
  <c r="L19" i="103"/>
  <c r="L18" i="103"/>
  <c r="L17" i="103"/>
  <c r="M48" i="102"/>
  <c r="Q48" i="102" s="1"/>
  <c r="L48" i="102"/>
  <c r="P48" i="102" s="1"/>
  <c r="M46" i="102"/>
  <c r="Q46" i="102" s="1"/>
  <c r="L46" i="102"/>
  <c r="P46" i="102" s="1"/>
  <c r="M45" i="102"/>
  <c r="Q45" i="102" s="1"/>
  <c r="L45" i="102"/>
  <c r="P45" i="102" s="1"/>
  <c r="L43" i="102"/>
  <c r="P43" i="102" s="1"/>
  <c r="K43" i="102"/>
  <c r="T42" i="102"/>
  <c r="T44" i="102" s="1"/>
  <c r="S42" i="102"/>
  <c r="K42" i="102"/>
  <c r="J42" i="102"/>
  <c r="J44" i="102" s="1"/>
  <c r="J47" i="102" s="1"/>
  <c r="J49" i="102" s="1"/>
  <c r="I42" i="102"/>
  <c r="I44" i="102" s="1"/>
  <c r="I47" i="102" s="1"/>
  <c r="I49" i="102" s="1"/>
  <c r="H42" i="102"/>
  <c r="H44" i="102" s="1"/>
  <c r="H47" i="102" s="1"/>
  <c r="H49" i="102" s="1"/>
  <c r="G42" i="102"/>
  <c r="G44" i="102" s="1"/>
  <c r="G47" i="102" s="1"/>
  <c r="G49" i="102" s="1"/>
  <c r="F42" i="102"/>
  <c r="F44" i="102" s="1"/>
  <c r="F47" i="102" s="1"/>
  <c r="F49" i="102" s="1"/>
  <c r="E42" i="102"/>
  <c r="E44" i="102" s="1"/>
  <c r="E47" i="102" s="1"/>
  <c r="E49" i="102" s="1"/>
  <c r="D42" i="102"/>
  <c r="D44" i="102" s="1"/>
  <c r="D47" i="102" s="1"/>
  <c r="D49" i="102" s="1"/>
  <c r="C42" i="102"/>
  <c r="C44" i="102" s="1"/>
  <c r="C47" i="102" s="1"/>
  <c r="C49" i="102" s="1"/>
  <c r="B42" i="102"/>
  <c r="B44" i="102" s="1"/>
  <c r="B47" i="102" s="1"/>
  <c r="B49" i="102" s="1"/>
  <c r="M41" i="102"/>
  <c r="Q41" i="102" s="1"/>
  <c r="L41" i="102"/>
  <c r="P41" i="102" s="1"/>
  <c r="R41" i="102" s="1"/>
  <c r="M40" i="102"/>
  <c r="Q40" i="102" s="1"/>
  <c r="L40" i="102"/>
  <c r="P40" i="102" s="1"/>
  <c r="R40" i="102" s="1"/>
  <c r="M38" i="102"/>
  <c r="L38" i="102"/>
  <c r="G30" i="102"/>
  <c r="F30" i="102"/>
  <c r="E30" i="102"/>
  <c r="D30" i="102"/>
  <c r="C30" i="102"/>
  <c r="B30" i="102"/>
  <c r="K29" i="102"/>
  <c r="K30" i="102" s="1"/>
  <c r="J29" i="102"/>
  <c r="J30" i="102" s="1"/>
  <c r="I29" i="102"/>
  <c r="I30" i="102" s="1"/>
  <c r="H29" i="102"/>
  <c r="H30" i="102" s="1"/>
  <c r="L27" i="102"/>
  <c r="K26" i="102"/>
  <c r="K28" i="102" s="1"/>
  <c r="J26" i="102"/>
  <c r="J28" i="102" s="1"/>
  <c r="I26" i="102"/>
  <c r="I28" i="102" s="1"/>
  <c r="H26" i="102"/>
  <c r="H28" i="102" s="1"/>
  <c r="G26" i="102"/>
  <c r="G28" i="102" s="1"/>
  <c r="F26" i="102"/>
  <c r="F28" i="102" s="1"/>
  <c r="E26" i="102"/>
  <c r="E28" i="102" s="1"/>
  <c r="D26" i="102"/>
  <c r="D28" i="102" s="1"/>
  <c r="C26" i="102"/>
  <c r="C28" i="102" s="1"/>
  <c r="B26" i="102"/>
  <c r="B28" i="102" s="1"/>
  <c r="L25" i="102"/>
  <c r="L24" i="102"/>
  <c r="L23" i="102"/>
  <c r="L22" i="102"/>
  <c r="L21" i="102"/>
  <c r="L20" i="102"/>
  <c r="K17" i="102"/>
  <c r="J17" i="102"/>
  <c r="I17" i="102"/>
  <c r="G17" i="102"/>
  <c r="F17" i="102"/>
  <c r="E17" i="102"/>
  <c r="D17" i="102"/>
  <c r="C17" i="102"/>
  <c r="B17" i="102"/>
  <c r="L16" i="102"/>
  <c r="H15" i="102"/>
  <c r="H17" i="102" s="1"/>
  <c r="L14" i="102"/>
  <c r="L13" i="102"/>
  <c r="L12" i="102"/>
  <c r="W59" i="101"/>
  <c r="W57" i="101"/>
  <c r="W56" i="101"/>
  <c r="W52" i="101"/>
  <c r="W51" i="101"/>
  <c r="W50" i="101"/>
  <c r="W49" i="101"/>
  <c r="W48" i="101"/>
  <c r="W45" i="101"/>
  <c r="W44" i="101"/>
  <c r="W43" i="101"/>
  <c r="W41" i="101"/>
  <c r="W40" i="101"/>
  <c r="V59" i="101"/>
  <c r="V57" i="101"/>
  <c r="V56" i="101"/>
  <c r="V53" i="101"/>
  <c r="V52" i="101"/>
  <c r="V51" i="101"/>
  <c r="V50" i="101"/>
  <c r="V49" i="101"/>
  <c r="V48" i="101"/>
  <c r="V45" i="101"/>
  <c r="V44" i="101"/>
  <c r="V43" i="101"/>
  <c r="V41" i="101"/>
  <c r="T59" i="101"/>
  <c r="T57" i="101"/>
  <c r="T56" i="101"/>
  <c r="T53" i="101"/>
  <c r="T52" i="101"/>
  <c r="T51" i="101"/>
  <c r="T50" i="101"/>
  <c r="T49" i="101"/>
  <c r="T48" i="101"/>
  <c r="T45" i="101"/>
  <c r="T44" i="101"/>
  <c r="T43" i="101"/>
  <c r="T41" i="101"/>
  <c r="R59" i="101"/>
  <c r="R57" i="101"/>
  <c r="R56" i="101"/>
  <c r="R53" i="101"/>
  <c r="R52" i="101"/>
  <c r="R51" i="101"/>
  <c r="R50" i="101"/>
  <c r="R49" i="101"/>
  <c r="R48" i="101"/>
  <c r="R45" i="101"/>
  <c r="R44" i="101"/>
  <c r="R43" i="101"/>
  <c r="R41" i="101"/>
  <c r="R40" i="101"/>
  <c r="S48" i="98"/>
  <c r="S46" i="98"/>
  <c r="S45" i="98"/>
  <c r="S43" i="98"/>
  <c r="S41" i="98"/>
  <c r="S40" i="98"/>
  <c r="S39" i="98"/>
  <c r="S38" i="98"/>
  <c r="L27" i="98"/>
  <c r="L25" i="98"/>
  <c r="L24" i="98"/>
  <c r="L23" i="98"/>
  <c r="L22" i="98"/>
  <c r="L21" i="98"/>
  <c r="L20" i="98"/>
  <c r="L16" i="98"/>
  <c r="L15" i="98"/>
  <c r="L14" i="98"/>
  <c r="L13" i="98"/>
  <c r="L12" i="98"/>
  <c r="L11" i="98"/>
  <c r="U44" i="99"/>
  <c r="U43" i="99"/>
  <c r="U41" i="99"/>
  <c r="U40" i="99"/>
  <c r="T57" i="99"/>
  <c r="T56" i="99"/>
  <c r="T53" i="99"/>
  <c r="T52" i="99"/>
  <c r="T51" i="99"/>
  <c r="T50" i="99"/>
  <c r="T49" i="99"/>
  <c r="T48" i="99"/>
  <c r="T45" i="99"/>
  <c r="T44" i="99"/>
  <c r="T43" i="99"/>
  <c r="T41" i="99"/>
  <c r="T59" i="99"/>
  <c r="R59" i="99"/>
  <c r="R57" i="99"/>
  <c r="R56" i="99"/>
  <c r="R53" i="99"/>
  <c r="R52" i="99"/>
  <c r="R51" i="99"/>
  <c r="R50" i="99"/>
  <c r="R49" i="99"/>
  <c r="R48" i="99"/>
  <c r="R45" i="99"/>
  <c r="R44" i="99"/>
  <c r="R43" i="99"/>
  <c r="R41" i="99"/>
  <c r="P59" i="99"/>
  <c r="P57" i="99"/>
  <c r="P56" i="99"/>
  <c r="P53" i="99"/>
  <c r="P52" i="99"/>
  <c r="P51" i="99"/>
  <c r="P50" i="99"/>
  <c r="P49" i="99"/>
  <c r="P48" i="99"/>
  <c r="P45" i="99"/>
  <c r="P44" i="99"/>
  <c r="P43" i="99"/>
  <c r="P41" i="99"/>
  <c r="P40" i="99"/>
  <c r="O59" i="99"/>
  <c r="O57" i="99"/>
  <c r="O56" i="99"/>
  <c r="O53" i="99"/>
  <c r="O52" i="99"/>
  <c r="O51" i="99"/>
  <c r="O50" i="99"/>
  <c r="O49" i="99"/>
  <c r="O48" i="99"/>
  <c r="O45" i="99"/>
  <c r="O44" i="99"/>
  <c r="O43" i="99"/>
  <c r="O41" i="99"/>
  <c r="M59" i="99"/>
  <c r="M48" i="99"/>
  <c r="M45" i="99"/>
  <c r="M44" i="99"/>
  <c r="M43" i="99"/>
  <c r="M41" i="99"/>
  <c r="M57" i="99"/>
  <c r="M56" i="99"/>
  <c r="M53" i="99"/>
  <c r="M52" i="99"/>
  <c r="M51" i="99"/>
  <c r="M50" i="99"/>
  <c r="M49" i="99"/>
  <c r="Q41" i="101"/>
  <c r="O58" i="101"/>
  <c r="O57" i="101"/>
  <c r="O56" i="101"/>
  <c r="O53" i="101"/>
  <c r="O52" i="101"/>
  <c r="O51" i="101"/>
  <c r="O50" i="101"/>
  <c r="O49" i="101"/>
  <c r="O48" i="101"/>
  <c r="O45" i="101"/>
  <c r="O44" i="101"/>
  <c r="O43" i="101"/>
  <c r="O41" i="101"/>
  <c r="O59" i="101"/>
  <c r="Q44" i="101"/>
  <c r="Q43" i="101"/>
  <c r="Q59" i="101"/>
  <c r="Q57" i="101"/>
  <c r="Q56" i="101"/>
  <c r="Q53" i="101"/>
  <c r="Q52" i="101"/>
  <c r="Q51" i="101"/>
  <c r="Q50" i="101"/>
  <c r="Q49" i="101"/>
  <c r="Q48" i="101"/>
  <c r="Q45" i="101"/>
  <c r="N54" i="101"/>
  <c r="N46" i="101"/>
  <c r="N42" i="101"/>
  <c r="O42" i="101" l="1"/>
  <c r="O46" i="101"/>
  <c r="O54" i="101"/>
  <c r="L42" i="102"/>
  <c r="L44" i="102" s="1"/>
  <c r="L47" i="102" s="1"/>
  <c r="L49" i="102" s="1"/>
  <c r="P38" i="102"/>
  <c r="U42" i="102"/>
  <c r="R45" i="102"/>
  <c r="R54" i="103"/>
  <c r="S54" i="103"/>
  <c r="N47" i="101"/>
  <c r="M42" i="102"/>
  <c r="Q38" i="102"/>
  <c r="Q42" i="102" s="1"/>
  <c r="U54" i="103"/>
  <c r="X54" i="103"/>
  <c r="K44" i="102"/>
  <c r="K47" i="102" s="1"/>
  <c r="K49" i="102" s="1"/>
  <c r="Q43" i="102"/>
  <c r="R46" i="102"/>
  <c r="R48" i="102"/>
  <c r="Q47" i="103"/>
  <c r="R42" i="103"/>
  <c r="S42" i="103"/>
  <c r="R46" i="103"/>
  <c r="S46" i="103"/>
  <c r="R43" i="102"/>
  <c r="U46" i="103"/>
  <c r="X46" i="103"/>
  <c r="O58" i="103"/>
  <c r="S55" i="103"/>
  <c r="P55" i="103"/>
  <c r="S44" i="102"/>
  <c r="L17" i="102"/>
  <c r="L28" i="102"/>
  <c r="L20" i="103"/>
  <c r="L34" i="103"/>
  <c r="Q55" i="103"/>
  <c r="R55" i="103" s="1"/>
  <c r="T47" i="103"/>
  <c r="L31" i="103"/>
  <c r="U42" i="103"/>
  <c r="N47" i="103"/>
  <c r="V47" i="103"/>
  <c r="T47" i="102"/>
  <c r="T49" i="102" s="1"/>
  <c r="O42" i="102"/>
  <c r="M43" i="102"/>
  <c r="M44" i="102" s="1"/>
  <c r="M47" i="102" s="1"/>
  <c r="M49" i="102" s="1"/>
  <c r="L26" i="102"/>
  <c r="M54" i="101"/>
  <c r="M46" i="101"/>
  <c r="M42" i="101"/>
  <c r="J34" i="101"/>
  <c r="K31" i="101"/>
  <c r="K34" i="101" s="1"/>
  <c r="J31" i="101"/>
  <c r="O39" i="98"/>
  <c r="N39" i="98"/>
  <c r="P39" i="98" s="1"/>
  <c r="P48" i="100"/>
  <c r="O48" i="100"/>
  <c r="Q48" i="100" s="1"/>
  <c r="M48" i="100"/>
  <c r="L48" i="100"/>
  <c r="N48" i="100" s="1"/>
  <c r="P46" i="100"/>
  <c r="O46" i="100"/>
  <c r="Q46" i="100" s="1"/>
  <c r="M46" i="100"/>
  <c r="L46" i="100"/>
  <c r="N46" i="100" s="1"/>
  <c r="P45" i="100"/>
  <c r="O45" i="100"/>
  <c r="Q45" i="100" s="1"/>
  <c r="M45" i="100"/>
  <c r="L45" i="100"/>
  <c r="N45" i="100" s="1"/>
  <c r="P43" i="100"/>
  <c r="Q43" i="100" s="1"/>
  <c r="L43" i="100"/>
  <c r="K43" i="100"/>
  <c r="M43" i="100" s="1"/>
  <c r="K42" i="100"/>
  <c r="J42" i="100"/>
  <c r="J44" i="100" s="1"/>
  <c r="J47" i="100" s="1"/>
  <c r="J49" i="100" s="1"/>
  <c r="I42" i="100"/>
  <c r="I44" i="100" s="1"/>
  <c r="I47" i="100" s="1"/>
  <c r="I49" i="100" s="1"/>
  <c r="H42" i="100"/>
  <c r="H44" i="100" s="1"/>
  <c r="H47" i="100" s="1"/>
  <c r="H49" i="100" s="1"/>
  <c r="G42" i="100"/>
  <c r="G44" i="100" s="1"/>
  <c r="G47" i="100" s="1"/>
  <c r="G49" i="100" s="1"/>
  <c r="F42" i="100"/>
  <c r="F44" i="100" s="1"/>
  <c r="F47" i="100" s="1"/>
  <c r="F49" i="100" s="1"/>
  <c r="E42" i="100"/>
  <c r="E44" i="100" s="1"/>
  <c r="E47" i="100" s="1"/>
  <c r="E49" i="100" s="1"/>
  <c r="D42" i="100"/>
  <c r="D44" i="100" s="1"/>
  <c r="D47" i="100" s="1"/>
  <c r="D49" i="100" s="1"/>
  <c r="C42" i="100"/>
  <c r="C44" i="100" s="1"/>
  <c r="C47" i="100" s="1"/>
  <c r="C49" i="100" s="1"/>
  <c r="B42" i="100"/>
  <c r="B44" i="100" s="1"/>
  <c r="B47" i="100" s="1"/>
  <c r="B49" i="100" s="1"/>
  <c r="P41" i="100"/>
  <c r="O41" i="100"/>
  <c r="Q41" i="100" s="1"/>
  <c r="M41" i="100"/>
  <c r="L41" i="100"/>
  <c r="N41" i="100" s="1"/>
  <c r="P40" i="100"/>
  <c r="O40" i="100"/>
  <c r="Q40" i="100" s="1"/>
  <c r="M40" i="100"/>
  <c r="L40" i="100"/>
  <c r="Q39" i="100"/>
  <c r="N39" i="100"/>
  <c r="Q38" i="100"/>
  <c r="P38" i="100"/>
  <c r="O38" i="100"/>
  <c r="O42" i="100" s="1"/>
  <c r="M38" i="100"/>
  <c r="L38" i="100"/>
  <c r="L42" i="100" s="1"/>
  <c r="G30" i="100"/>
  <c r="F30" i="100"/>
  <c r="E30" i="100"/>
  <c r="D30" i="100"/>
  <c r="C30" i="100"/>
  <c r="B30" i="100"/>
  <c r="K29" i="100"/>
  <c r="K30" i="100" s="1"/>
  <c r="J29" i="100"/>
  <c r="J30" i="100" s="1"/>
  <c r="I29" i="100"/>
  <c r="I30" i="100" s="1"/>
  <c r="H29" i="100"/>
  <c r="H30" i="100" s="1"/>
  <c r="L27" i="100"/>
  <c r="K26" i="100"/>
  <c r="K28" i="100" s="1"/>
  <c r="J26" i="100"/>
  <c r="I26" i="100"/>
  <c r="I28" i="100" s="1"/>
  <c r="H26" i="100"/>
  <c r="H28" i="100" s="1"/>
  <c r="G26" i="100"/>
  <c r="G28" i="100" s="1"/>
  <c r="F26" i="100"/>
  <c r="F28" i="100" s="1"/>
  <c r="E26" i="100"/>
  <c r="E28" i="100" s="1"/>
  <c r="D26" i="100"/>
  <c r="D28" i="100" s="1"/>
  <c r="C26" i="100"/>
  <c r="C28" i="100" s="1"/>
  <c r="B26" i="100"/>
  <c r="B28" i="100" s="1"/>
  <c r="L25" i="100"/>
  <c r="L24" i="100"/>
  <c r="L23" i="100"/>
  <c r="L22" i="100"/>
  <c r="L21" i="100"/>
  <c r="L20" i="100"/>
  <c r="K17" i="100"/>
  <c r="J17" i="100"/>
  <c r="I17" i="100"/>
  <c r="G17" i="100"/>
  <c r="F17" i="100"/>
  <c r="E17" i="100"/>
  <c r="D17" i="100"/>
  <c r="C17" i="100"/>
  <c r="B17" i="100"/>
  <c r="L16" i="100"/>
  <c r="L15" i="100"/>
  <c r="H15" i="100"/>
  <c r="H17" i="100" s="1"/>
  <c r="L14" i="100"/>
  <c r="L13" i="100"/>
  <c r="L12" i="100"/>
  <c r="L11" i="100"/>
  <c r="L17" i="100" l="1"/>
  <c r="L26" i="100"/>
  <c r="P42" i="100"/>
  <c r="P44" i="100" s="1"/>
  <c r="P47" i="100" s="1"/>
  <c r="P49" i="100" s="1"/>
  <c r="N40" i="100"/>
  <c r="R38" i="102"/>
  <c r="P42" i="102"/>
  <c r="X47" i="103"/>
  <c r="Q44" i="102"/>
  <c r="Q47" i="102" s="1"/>
  <c r="Q49" i="102" s="1"/>
  <c r="N38" i="100"/>
  <c r="K44" i="100"/>
  <c r="K47" i="100" s="1"/>
  <c r="K49" i="100" s="1"/>
  <c r="M47" i="101"/>
  <c r="M55" i="101" s="1"/>
  <c r="M58" i="101" s="1"/>
  <c r="P58" i="103"/>
  <c r="R47" i="103"/>
  <c r="S47" i="103"/>
  <c r="S47" i="102"/>
  <c r="U44" i="102"/>
  <c r="N55" i="101"/>
  <c r="O47" i="101"/>
  <c r="Q58" i="103"/>
  <c r="R58" i="103" s="1"/>
  <c r="N55" i="103"/>
  <c r="V55" i="103"/>
  <c r="W47" i="103"/>
  <c r="U47" i="103"/>
  <c r="T55" i="103"/>
  <c r="X55" i="103" s="1"/>
  <c r="N42" i="102"/>
  <c r="O44" i="102"/>
  <c r="O47" i="102" s="1"/>
  <c r="O49" i="102" s="1"/>
  <c r="L44" i="100"/>
  <c r="N43" i="100"/>
  <c r="O44" i="100"/>
  <c r="Q42" i="100"/>
  <c r="J28" i="100"/>
  <c r="L28" i="100" s="1"/>
  <c r="M42" i="100"/>
  <c r="M44" i="100" s="1"/>
  <c r="M47" i="100" s="1"/>
  <c r="M49" i="100" s="1"/>
  <c r="S49" i="102" l="1"/>
  <c r="U49" i="102" s="1"/>
  <c r="U47" i="102"/>
  <c r="O55" i="101"/>
  <c r="P44" i="102"/>
  <c r="R42" i="102"/>
  <c r="S58" i="103"/>
  <c r="T58" i="103"/>
  <c r="U58" i="103" s="1"/>
  <c r="U55" i="103"/>
  <c r="W55" i="103"/>
  <c r="V58" i="103"/>
  <c r="X58" i="103" s="1"/>
  <c r="N44" i="102"/>
  <c r="Q44" i="100"/>
  <c r="O47" i="100"/>
  <c r="L47" i="100"/>
  <c r="N44" i="100"/>
  <c r="N42" i="100"/>
  <c r="P47" i="102" l="1"/>
  <c r="R44" i="102"/>
  <c r="W58" i="103"/>
  <c r="N47" i="102"/>
  <c r="O49" i="100"/>
  <c r="Q49" i="100" s="1"/>
  <c r="Q47" i="100"/>
  <c r="L49" i="100"/>
  <c r="N49" i="100" s="1"/>
  <c r="N47" i="100"/>
  <c r="P49" i="102" l="1"/>
  <c r="R49" i="102" s="1"/>
  <c r="R47" i="102"/>
  <c r="N49" i="102"/>
  <c r="U54" i="101"/>
  <c r="V54" i="101" s="1"/>
  <c r="S54" i="101"/>
  <c r="P54" i="101"/>
  <c r="L54" i="101"/>
  <c r="K54" i="101"/>
  <c r="J54" i="101"/>
  <c r="I54" i="101"/>
  <c r="H54" i="101"/>
  <c r="U46" i="101"/>
  <c r="V46" i="101" s="1"/>
  <c r="S46" i="101"/>
  <c r="P46" i="101"/>
  <c r="L46" i="101"/>
  <c r="K46" i="101"/>
  <c r="J46" i="101"/>
  <c r="I46" i="101"/>
  <c r="H46" i="101"/>
  <c r="U42" i="101"/>
  <c r="V42" i="101" s="1"/>
  <c r="S42" i="101"/>
  <c r="P42" i="101"/>
  <c r="L42" i="101"/>
  <c r="K42" i="101"/>
  <c r="K47" i="101" s="1"/>
  <c r="K55" i="101" s="1"/>
  <c r="K58" i="101" s="1"/>
  <c r="J42" i="101"/>
  <c r="J47" i="101" s="1"/>
  <c r="J55" i="101" s="1"/>
  <c r="J58" i="101" s="1"/>
  <c r="I42" i="101"/>
  <c r="I47" i="101" s="1"/>
  <c r="I55" i="101" s="1"/>
  <c r="I58" i="101" s="1"/>
  <c r="H42" i="101"/>
  <c r="H47" i="101" s="1"/>
  <c r="H55" i="101" s="1"/>
  <c r="H58" i="101" s="1"/>
  <c r="L33" i="101"/>
  <c r="L32" i="101"/>
  <c r="L31" i="101"/>
  <c r="I31" i="101"/>
  <c r="I34" i="101" s="1"/>
  <c r="H31" i="101"/>
  <c r="H34" i="101" s="1"/>
  <c r="L30" i="101"/>
  <c r="L29" i="101"/>
  <c r="L28" i="101"/>
  <c r="L27" i="101"/>
  <c r="L26" i="101"/>
  <c r="L25" i="101"/>
  <c r="L24" i="101"/>
  <c r="L23" i="101"/>
  <c r="K20" i="101"/>
  <c r="J20" i="101"/>
  <c r="I20" i="101"/>
  <c r="H20" i="101"/>
  <c r="L19" i="101"/>
  <c r="L18" i="101"/>
  <c r="L17" i="101"/>
  <c r="L16" i="101"/>
  <c r="L15" i="101"/>
  <c r="L14" i="101"/>
  <c r="L13" i="101"/>
  <c r="L12" i="101"/>
  <c r="L11" i="101"/>
  <c r="W42" i="101" l="1"/>
  <c r="T42" i="101"/>
  <c r="W46" i="101"/>
  <c r="T46" i="101"/>
  <c r="W54" i="101"/>
  <c r="T54" i="101"/>
  <c r="L20" i="101"/>
  <c r="P47" i="101"/>
  <c r="Q42" i="101"/>
  <c r="R42" i="101"/>
  <c r="Q46" i="101"/>
  <c r="R46" i="101"/>
  <c r="Q54" i="101"/>
  <c r="R54" i="101"/>
  <c r="P55" i="101"/>
  <c r="S47" i="101"/>
  <c r="L34" i="101"/>
  <c r="L47" i="101"/>
  <c r="U47" i="101"/>
  <c r="V47" i="101" s="1"/>
  <c r="T47" i="101" l="1"/>
  <c r="W47" i="101"/>
  <c r="Q47" i="101"/>
  <c r="R47" i="101"/>
  <c r="Q55" i="101"/>
  <c r="R55" i="101"/>
  <c r="U55" i="101"/>
  <c r="V55" i="101" s="1"/>
  <c r="P58" i="101"/>
  <c r="L55" i="101"/>
  <c r="S55" i="101"/>
  <c r="R58" i="101" l="1"/>
  <c r="Q58" i="101"/>
  <c r="W55" i="101"/>
  <c r="T55" i="101"/>
  <c r="S58" i="101"/>
  <c r="T58" i="101" s="1"/>
  <c r="L58" i="101"/>
  <c r="U58" i="101"/>
  <c r="V58" i="101" l="1"/>
  <c r="W58" i="101"/>
  <c r="U59" i="99"/>
  <c r="U57" i="99"/>
  <c r="U56" i="99"/>
  <c r="S54" i="99"/>
  <c r="T54" i="99" s="1"/>
  <c r="Q54" i="99"/>
  <c r="R54" i="99" s="1"/>
  <c r="U53" i="99"/>
  <c r="U52" i="99"/>
  <c r="U51" i="99"/>
  <c r="U50" i="99"/>
  <c r="U49" i="99"/>
  <c r="U48" i="99"/>
  <c r="S46" i="99"/>
  <c r="T46" i="99" s="1"/>
  <c r="Q46" i="99"/>
  <c r="R46" i="99" s="1"/>
  <c r="U45" i="99"/>
  <c r="S42" i="99"/>
  <c r="T42" i="99" s="1"/>
  <c r="Q42" i="99"/>
  <c r="Q47" i="99" l="1"/>
  <c r="R47" i="99" s="1"/>
  <c r="R42" i="99"/>
  <c r="U42" i="99"/>
  <c r="U54" i="99"/>
  <c r="U46" i="99"/>
  <c r="S47" i="99"/>
  <c r="T47" i="99" s="1"/>
  <c r="Q55" i="99" l="1"/>
  <c r="R55" i="99" s="1"/>
  <c r="S55" i="99"/>
  <c r="T55" i="99" s="1"/>
  <c r="U47" i="99"/>
  <c r="U55" i="99"/>
  <c r="S58" i="99"/>
  <c r="T58" i="99" s="1"/>
  <c r="Q58" i="99" l="1"/>
  <c r="R58" i="99" s="1"/>
  <c r="U58" i="99" l="1"/>
  <c r="R42" i="98"/>
  <c r="R44" i="98" s="1"/>
  <c r="R47" i="98" s="1"/>
  <c r="R49" i="98" s="1"/>
  <c r="Q42" i="98"/>
  <c r="S42" i="98" s="1"/>
  <c r="Q44" i="98" l="1"/>
  <c r="S44" i="98" s="1"/>
  <c r="Q47" i="98" l="1"/>
  <c r="S47" i="98" s="1"/>
  <c r="Q49" i="98" l="1"/>
  <c r="S49" i="98" s="1"/>
  <c r="L12" i="99" l="1"/>
  <c r="L11" i="99"/>
  <c r="M45" i="98"/>
  <c r="O45" i="98" s="1"/>
  <c r="N54" i="99"/>
  <c r="O54" i="99" s="1"/>
  <c r="L54" i="99"/>
  <c r="N46" i="99"/>
  <c r="O46" i="99" s="1"/>
  <c r="L46" i="99"/>
  <c r="N42" i="99"/>
  <c r="O42" i="99" s="1"/>
  <c r="L42" i="99"/>
  <c r="J20" i="99"/>
  <c r="J31" i="99"/>
  <c r="J34" i="99" s="1"/>
  <c r="M46" i="99" l="1"/>
  <c r="P46" i="99"/>
  <c r="P42" i="99"/>
  <c r="M42" i="99"/>
  <c r="P54" i="99"/>
  <c r="M54" i="99"/>
  <c r="L47" i="99"/>
  <c r="L55" i="99" s="1"/>
  <c r="N47" i="99"/>
  <c r="O47" i="99" s="1"/>
  <c r="M41" i="98"/>
  <c r="O41" i="98" s="1"/>
  <c r="M48" i="98"/>
  <c r="O48" i="98" s="1"/>
  <c r="M46" i="98"/>
  <c r="O46" i="98" s="1"/>
  <c r="M40" i="98"/>
  <c r="O40" i="98" s="1"/>
  <c r="M38" i="98"/>
  <c r="O38" i="98" s="1"/>
  <c r="O42" i="98" s="1"/>
  <c r="L48" i="98"/>
  <c r="N48" i="98" s="1"/>
  <c r="L46" i="98"/>
  <c r="N46" i="98" s="1"/>
  <c r="P46" i="98" s="1"/>
  <c r="L45" i="98"/>
  <c r="N45" i="98" s="1"/>
  <c r="P45" i="98" s="1"/>
  <c r="L43" i="98"/>
  <c r="N43" i="98" s="1"/>
  <c r="L41" i="98"/>
  <c r="N41" i="98" s="1"/>
  <c r="P41" i="98" s="1"/>
  <c r="L40" i="98"/>
  <c r="N40" i="98" s="1"/>
  <c r="P40" i="98" s="1"/>
  <c r="L38" i="98"/>
  <c r="N38" i="98" s="1"/>
  <c r="L42" i="98"/>
  <c r="L44" i="98" s="1"/>
  <c r="L47" i="98" s="1"/>
  <c r="L49" i="98" s="1"/>
  <c r="M55" i="99" l="1"/>
  <c r="P48" i="98"/>
  <c r="P47" i="99"/>
  <c r="M47" i="99"/>
  <c r="N42" i="98"/>
  <c r="P38" i="98"/>
  <c r="N55" i="99"/>
  <c r="O55" i="99" s="1"/>
  <c r="L58" i="99"/>
  <c r="M58" i="99" s="1"/>
  <c r="N44" i="98" l="1"/>
  <c r="P42" i="98"/>
  <c r="P55" i="99"/>
  <c r="N58" i="99"/>
  <c r="P58" i="99" l="1"/>
  <c r="O58" i="99"/>
  <c r="N47" i="98"/>
  <c r="M42" i="98"/>
  <c r="N49" i="98" l="1"/>
  <c r="K17" i="98"/>
  <c r="J17" i="98" l="1"/>
  <c r="L17" i="98" s="1"/>
  <c r="J30" i="98"/>
  <c r="K29" i="98"/>
  <c r="K30" i="98" s="1"/>
  <c r="J29" i="98"/>
  <c r="K26" i="98"/>
  <c r="K28" i="98" s="1"/>
  <c r="J26" i="98"/>
  <c r="K54" i="99"/>
  <c r="J54" i="99"/>
  <c r="I54" i="99"/>
  <c r="H54" i="99"/>
  <c r="K46" i="99"/>
  <c r="J46" i="99"/>
  <c r="I46" i="99"/>
  <c r="H46" i="99"/>
  <c r="K42" i="99"/>
  <c r="J42" i="99"/>
  <c r="I42" i="99"/>
  <c r="I47" i="99" s="1"/>
  <c r="H42" i="99"/>
  <c r="L33" i="99"/>
  <c r="L32" i="99"/>
  <c r="K31" i="99"/>
  <c r="K34" i="99" s="1"/>
  <c r="I31" i="99"/>
  <c r="H31" i="99"/>
  <c r="H34" i="99" s="1"/>
  <c r="L30" i="99"/>
  <c r="L29" i="99"/>
  <c r="L28" i="99"/>
  <c r="L27" i="99"/>
  <c r="L26" i="99"/>
  <c r="L25" i="99"/>
  <c r="L24" i="99"/>
  <c r="L23" i="99"/>
  <c r="K20" i="99"/>
  <c r="I20" i="99"/>
  <c r="H20" i="99"/>
  <c r="L19" i="99"/>
  <c r="L18" i="99"/>
  <c r="L17" i="99"/>
  <c r="L16" i="99"/>
  <c r="L15" i="99"/>
  <c r="L14" i="99"/>
  <c r="L13" i="99"/>
  <c r="K43" i="98"/>
  <c r="K42" i="98"/>
  <c r="J42" i="98"/>
  <c r="J44" i="98" s="1"/>
  <c r="I42" i="98"/>
  <c r="I44" i="98" s="1"/>
  <c r="I47" i="98" s="1"/>
  <c r="I49" i="98" s="1"/>
  <c r="H42" i="98"/>
  <c r="H44" i="98" s="1"/>
  <c r="G42" i="98"/>
  <c r="G44" i="98" s="1"/>
  <c r="G47" i="98" s="1"/>
  <c r="G49" i="98" s="1"/>
  <c r="F42" i="98"/>
  <c r="F44" i="98" s="1"/>
  <c r="F47" i="98" s="1"/>
  <c r="F49" i="98" s="1"/>
  <c r="E42" i="98"/>
  <c r="E44" i="98" s="1"/>
  <c r="E47" i="98" s="1"/>
  <c r="E49" i="98" s="1"/>
  <c r="D42" i="98"/>
  <c r="D44" i="98" s="1"/>
  <c r="D47" i="98" s="1"/>
  <c r="D49" i="98" s="1"/>
  <c r="C42" i="98"/>
  <c r="C44" i="98" s="1"/>
  <c r="C47" i="98" s="1"/>
  <c r="C49" i="98" s="1"/>
  <c r="B42" i="98"/>
  <c r="B44" i="98" s="1"/>
  <c r="B47" i="98" s="1"/>
  <c r="B49" i="98" s="1"/>
  <c r="G30" i="98"/>
  <c r="F30" i="98"/>
  <c r="E30" i="98"/>
  <c r="D30" i="98"/>
  <c r="C30" i="98"/>
  <c r="B30" i="98"/>
  <c r="I29" i="98"/>
  <c r="I30" i="98" s="1"/>
  <c r="H29" i="98"/>
  <c r="H30" i="98" s="1"/>
  <c r="I26" i="98"/>
  <c r="I28" i="98" s="1"/>
  <c r="H26" i="98"/>
  <c r="H28" i="98" s="1"/>
  <c r="G26" i="98"/>
  <c r="G28" i="98" s="1"/>
  <c r="F26" i="98"/>
  <c r="F28" i="98" s="1"/>
  <c r="E26" i="98"/>
  <c r="E28" i="98" s="1"/>
  <c r="D26" i="98"/>
  <c r="D28" i="98" s="1"/>
  <c r="C26" i="98"/>
  <c r="C28" i="98" s="1"/>
  <c r="B26" i="98"/>
  <c r="B28" i="98" s="1"/>
  <c r="I17" i="98"/>
  <c r="G17" i="98"/>
  <c r="F17" i="98"/>
  <c r="E17" i="98"/>
  <c r="D17" i="98"/>
  <c r="C17" i="98"/>
  <c r="B17" i="98"/>
  <c r="H15" i="98"/>
  <c r="H17" i="98" s="1"/>
  <c r="L43" i="96"/>
  <c r="L44" i="96" s="1"/>
  <c r="L47" i="96" s="1"/>
  <c r="L49" i="96" s="1"/>
  <c r="L42" i="96"/>
  <c r="M43" i="98" l="1"/>
  <c r="M44" i="98" s="1"/>
  <c r="M47" i="98" s="1"/>
  <c r="L26" i="98"/>
  <c r="K44" i="98"/>
  <c r="K47" i="98" s="1"/>
  <c r="K49" i="98" s="1"/>
  <c r="L34" i="99"/>
  <c r="L31" i="99"/>
  <c r="L20" i="99"/>
  <c r="M49" i="98"/>
  <c r="J28" i="98"/>
  <c r="L28" i="98" s="1"/>
  <c r="I55" i="99"/>
  <c r="I34" i="99"/>
  <c r="J47" i="99"/>
  <c r="H47" i="99"/>
  <c r="K47" i="99"/>
  <c r="H47" i="98"/>
  <c r="J47" i="98"/>
  <c r="K44" i="96"/>
  <c r="K47" i="96" s="1"/>
  <c r="K49" i="96" s="1"/>
  <c r="K42" i="96"/>
  <c r="L26" i="96"/>
  <c r="L28" i="96" s="1"/>
  <c r="L17" i="96"/>
  <c r="M11" i="96"/>
  <c r="O43" i="98" l="1"/>
  <c r="J55" i="99"/>
  <c r="I58" i="99"/>
  <c r="K55" i="99"/>
  <c r="H55" i="99"/>
  <c r="H49" i="98"/>
  <c r="J49" i="98"/>
  <c r="M49" i="96"/>
  <c r="M48" i="96"/>
  <c r="M47" i="96"/>
  <c r="M46" i="96"/>
  <c r="M45" i="96"/>
  <c r="M44" i="96"/>
  <c r="M43" i="96"/>
  <c r="M42" i="96"/>
  <c r="M41" i="96"/>
  <c r="M40" i="96"/>
  <c r="M39" i="96"/>
  <c r="M38" i="96"/>
  <c r="J48" i="96"/>
  <c r="J46" i="96"/>
  <c r="J45" i="96"/>
  <c r="J43" i="96"/>
  <c r="J41" i="96"/>
  <c r="J40" i="96"/>
  <c r="J39" i="96"/>
  <c r="J38" i="96"/>
  <c r="L29" i="96"/>
  <c r="L30" i="96" s="1"/>
  <c r="K29" i="96"/>
  <c r="K30" i="96" s="1"/>
  <c r="K26" i="96"/>
  <c r="K28" i="96" s="1"/>
  <c r="M28" i="96" s="1"/>
  <c r="K17" i="96"/>
  <c r="M17" i="96" s="1"/>
  <c r="M27" i="96"/>
  <c r="M25" i="96"/>
  <c r="M24" i="96"/>
  <c r="M23" i="96"/>
  <c r="M22" i="96"/>
  <c r="M21" i="96"/>
  <c r="M20" i="96"/>
  <c r="M16" i="96"/>
  <c r="M15" i="96"/>
  <c r="M14" i="96"/>
  <c r="M13" i="96"/>
  <c r="M12" i="96"/>
  <c r="J11" i="96"/>
  <c r="J27" i="96"/>
  <c r="J25" i="96"/>
  <c r="J24" i="96"/>
  <c r="J23" i="96"/>
  <c r="J22" i="96"/>
  <c r="J21" i="96"/>
  <c r="J20" i="96"/>
  <c r="J16" i="96"/>
  <c r="J14" i="96"/>
  <c r="J13" i="96"/>
  <c r="J12" i="96"/>
  <c r="J11" i="97"/>
  <c r="M11" i="97"/>
  <c r="Q41" i="97"/>
  <c r="Q40" i="97"/>
  <c r="O54" i="97"/>
  <c r="P54" i="97" s="1"/>
  <c r="O46" i="97"/>
  <c r="P46" i="97" s="1"/>
  <c r="O42" i="97"/>
  <c r="P42" i="97" s="1"/>
  <c r="P59" i="97"/>
  <c r="P57" i="97"/>
  <c r="P56" i="97"/>
  <c r="P53" i="97"/>
  <c r="P52" i="97"/>
  <c r="P51" i="97"/>
  <c r="P50" i="97"/>
  <c r="P49" i="97"/>
  <c r="P48" i="97"/>
  <c r="P45" i="97"/>
  <c r="P44" i="97"/>
  <c r="P43" i="97"/>
  <c r="P41" i="97"/>
  <c r="P43" i="98" l="1"/>
  <c r="O44" i="98"/>
  <c r="K58" i="99"/>
  <c r="J58" i="99"/>
  <c r="H58" i="99"/>
  <c r="M26" i="96"/>
  <c r="O47" i="97"/>
  <c r="O47" i="98" l="1"/>
  <c r="P44" i="98"/>
  <c r="P47" i="97"/>
  <c r="O55" i="97"/>
  <c r="P55" i="97" l="1"/>
  <c r="O58" i="97"/>
  <c r="P58" i="97" s="1"/>
  <c r="O49" i="98"/>
  <c r="P49" i="98" s="1"/>
  <c r="P47" i="98"/>
  <c r="N59" i="97"/>
  <c r="N57" i="97"/>
  <c r="N56" i="97"/>
  <c r="N53" i="97"/>
  <c r="N52" i="97"/>
  <c r="N51" i="97"/>
  <c r="N50" i="97"/>
  <c r="N49" i="97"/>
  <c r="N48" i="97"/>
  <c r="N45" i="97"/>
  <c r="N44" i="97"/>
  <c r="N43" i="97"/>
  <c r="N41" i="97"/>
  <c r="M54" i="97"/>
  <c r="N54" i="97" s="1"/>
  <c r="M46" i="97"/>
  <c r="Q46" i="97" s="1"/>
  <c r="M42" i="97"/>
  <c r="M47" i="97" s="1"/>
  <c r="M55" i="97" s="1"/>
  <c r="M58" i="97" s="1"/>
  <c r="Q59" i="97"/>
  <c r="Q57" i="97"/>
  <c r="Q56" i="97"/>
  <c r="Q55" i="97"/>
  <c r="Q53" i="97"/>
  <c r="Q52" i="97"/>
  <c r="Q51" i="97"/>
  <c r="Q50" i="97"/>
  <c r="Q49" i="97"/>
  <c r="Q48" i="97"/>
  <c r="Q45" i="97"/>
  <c r="Q44" i="97"/>
  <c r="Q43" i="97"/>
  <c r="Q58" i="97" l="1"/>
  <c r="N58" i="97"/>
  <c r="N47" i="97"/>
  <c r="N55" i="97"/>
  <c r="Q54" i="97"/>
  <c r="Q42" i="97"/>
  <c r="N42" i="97"/>
  <c r="N46" i="97"/>
  <c r="Q47" i="97"/>
  <c r="M23" i="97" l="1"/>
  <c r="M19" i="97"/>
  <c r="M18" i="97"/>
  <c r="M17" i="97"/>
  <c r="M16" i="97"/>
  <c r="M15" i="97"/>
  <c r="M14" i="97"/>
  <c r="M13" i="97"/>
  <c r="M12" i="97"/>
  <c r="M33" i="97"/>
  <c r="M32" i="97"/>
  <c r="M30" i="97"/>
  <c r="M29" i="97"/>
  <c r="M28" i="97"/>
  <c r="M27" i="97"/>
  <c r="M26" i="97"/>
  <c r="M25" i="97"/>
  <c r="M24" i="97"/>
  <c r="L31" i="97"/>
  <c r="L34" i="97" s="1"/>
  <c r="K31" i="97"/>
  <c r="K34" i="97" s="1"/>
  <c r="L20" i="97"/>
  <c r="K20" i="97"/>
  <c r="L40" i="97"/>
  <c r="M34" i="97" l="1"/>
  <c r="M20" i="97"/>
  <c r="M31" i="97"/>
  <c r="L59" i="97"/>
  <c r="K59" i="97"/>
  <c r="I59" i="97"/>
  <c r="L57" i="97"/>
  <c r="K57" i="97"/>
  <c r="I57" i="97"/>
  <c r="L56" i="97"/>
  <c r="K56" i="97"/>
  <c r="I56" i="97"/>
  <c r="J54" i="97"/>
  <c r="K54" i="97" s="1"/>
  <c r="H54" i="97"/>
  <c r="L53" i="97"/>
  <c r="K53" i="97"/>
  <c r="I53" i="97"/>
  <c r="L52" i="97"/>
  <c r="K52" i="97"/>
  <c r="I52" i="97"/>
  <c r="L51" i="97"/>
  <c r="K51" i="97"/>
  <c r="I51" i="97"/>
  <c r="L50" i="97"/>
  <c r="K50" i="97"/>
  <c r="I50" i="97"/>
  <c r="L49" i="97"/>
  <c r="K49" i="97"/>
  <c r="I49" i="97"/>
  <c r="L48" i="97"/>
  <c r="K48" i="97"/>
  <c r="I48" i="97"/>
  <c r="J46" i="97"/>
  <c r="K46" i="97" s="1"/>
  <c r="H46" i="97"/>
  <c r="L45" i="97"/>
  <c r="K45" i="97"/>
  <c r="I45" i="97"/>
  <c r="L44" i="97"/>
  <c r="K44" i="97"/>
  <c r="I44" i="97"/>
  <c r="L43" i="97"/>
  <c r="K43" i="97"/>
  <c r="I43" i="97"/>
  <c r="J42" i="97"/>
  <c r="K42" i="97" s="1"/>
  <c r="H42" i="97"/>
  <c r="L41" i="97"/>
  <c r="K41" i="97"/>
  <c r="I41" i="97"/>
  <c r="J33" i="97"/>
  <c r="J32" i="97"/>
  <c r="I31" i="97"/>
  <c r="I34" i="97" s="1"/>
  <c r="H31" i="97"/>
  <c r="H34" i="97" s="1"/>
  <c r="J30" i="97"/>
  <c r="J29" i="97"/>
  <c r="J28" i="97"/>
  <c r="J27" i="97"/>
  <c r="J26" i="97"/>
  <c r="J25" i="97"/>
  <c r="J24" i="97"/>
  <c r="J23" i="97"/>
  <c r="I20" i="97"/>
  <c r="H20" i="97"/>
  <c r="J19" i="97"/>
  <c r="J18" i="97"/>
  <c r="J17" i="97"/>
  <c r="J16" i="97"/>
  <c r="J15" i="97"/>
  <c r="J14" i="97"/>
  <c r="J13" i="97"/>
  <c r="J12" i="97"/>
  <c r="I42" i="96"/>
  <c r="I44" i="96" s="1"/>
  <c r="I47" i="96" s="1"/>
  <c r="I49" i="96" s="1"/>
  <c r="H42" i="96"/>
  <c r="G42" i="96"/>
  <c r="G44" i="96" s="1"/>
  <c r="G47" i="96" s="1"/>
  <c r="G49" i="96" s="1"/>
  <c r="F42" i="96"/>
  <c r="F44" i="96" s="1"/>
  <c r="F47" i="96" s="1"/>
  <c r="F49" i="96" s="1"/>
  <c r="E42" i="96"/>
  <c r="D42" i="96"/>
  <c r="D44" i="96" s="1"/>
  <c r="D47" i="96" s="1"/>
  <c r="D49" i="96" s="1"/>
  <c r="C42" i="96"/>
  <c r="C44" i="96" s="1"/>
  <c r="C47" i="96" s="1"/>
  <c r="C49" i="96" s="1"/>
  <c r="B42" i="96"/>
  <c r="B44" i="96" s="1"/>
  <c r="B47" i="96" s="1"/>
  <c r="B49" i="96" s="1"/>
  <c r="G30" i="96"/>
  <c r="F30" i="96"/>
  <c r="E30" i="96"/>
  <c r="D30" i="96"/>
  <c r="C30" i="96"/>
  <c r="B30" i="96"/>
  <c r="I29" i="96"/>
  <c r="I30" i="96" s="1"/>
  <c r="H29" i="96"/>
  <c r="H30" i="96" s="1"/>
  <c r="I26" i="96"/>
  <c r="I28" i="96" s="1"/>
  <c r="H26" i="96"/>
  <c r="G26" i="96"/>
  <c r="G28" i="96" s="1"/>
  <c r="F26" i="96"/>
  <c r="F28" i="96" s="1"/>
  <c r="E26" i="96"/>
  <c r="D26" i="96"/>
  <c r="D28" i="96" s="1"/>
  <c r="C26" i="96"/>
  <c r="C28" i="96" s="1"/>
  <c r="B26" i="96"/>
  <c r="B28" i="96" s="1"/>
  <c r="I17" i="96"/>
  <c r="G17" i="96"/>
  <c r="F17" i="96"/>
  <c r="E17" i="96"/>
  <c r="D17" i="96"/>
  <c r="C17" i="96"/>
  <c r="B17" i="96"/>
  <c r="H15" i="96"/>
  <c r="J15" i="96" s="1"/>
  <c r="L11" i="95"/>
  <c r="L38" i="94"/>
  <c r="N40" i="95"/>
  <c r="H44" i="96" l="1"/>
  <c r="J44" i="96" s="1"/>
  <c r="J42" i="96"/>
  <c r="E44" i="96"/>
  <c r="H28" i="96"/>
  <c r="J28" i="96" s="1"/>
  <c r="J26" i="96"/>
  <c r="H17" i="96"/>
  <c r="J17" i="96" s="1"/>
  <c r="E28" i="96"/>
  <c r="J20" i="97"/>
  <c r="H47" i="97"/>
  <c r="I47" i="97" s="1"/>
  <c r="J34" i="97"/>
  <c r="L46" i="97"/>
  <c r="L54" i="97"/>
  <c r="H55" i="97"/>
  <c r="I42" i="97"/>
  <c r="J47" i="97"/>
  <c r="L47" i="97" s="1"/>
  <c r="L42" i="97"/>
  <c r="I46" i="97"/>
  <c r="I54" i="97"/>
  <c r="J31" i="97"/>
  <c r="H47" i="96"/>
  <c r="J47" i="96" s="1"/>
  <c r="L48" i="94"/>
  <c r="L46" i="94"/>
  <c r="L45" i="94"/>
  <c r="L43" i="94"/>
  <c r="I42" i="94"/>
  <c r="I44" i="94" s="1"/>
  <c r="I47" i="94" s="1"/>
  <c r="I49" i="94" s="1"/>
  <c r="H42" i="94"/>
  <c r="H44" i="94" s="1"/>
  <c r="G42" i="94"/>
  <c r="G44" i="94" s="1"/>
  <c r="G47" i="94" s="1"/>
  <c r="G49" i="94" s="1"/>
  <c r="F42" i="94"/>
  <c r="F44" i="94" s="1"/>
  <c r="F47" i="94" s="1"/>
  <c r="F49" i="94" s="1"/>
  <c r="E42" i="94"/>
  <c r="E44" i="94" s="1"/>
  <c r="E47" i="94" s="1"/>
  <c r="E49" i="94" s="1"/>
  <c r="D42" i="94"/>
  <c r="D44" i="94" s="1"/>
  <c r="D47" i="94" s="1"/>
  <c r="D49" i="94" s="1"/>
  <c r="C42" i="94"/>
  <c r="C44" i="94" s="1"/>
  <c r="C47" i="94" s="1"/>
  <c r="C49" i="94" s="1"/>
  <c r="B42" i="94"/>
  <c r="B44" i="94" s="1"/>
  <c r="B47" i="94" s="1"/>
  <c r="B49" i="94" s="1"/>
  <c r="L41" i="94"/>
  <c r="L40" i="94"/>
  <c r="L39" i="94"/>
  <c r="G30" i="94"/>
  <c r="F30" i="94"/>
  <c r="E30" i="94"/>
  <c r="D30" i="94"/>
  <c r="C30" i="94"/>
  <c r="B30" i="94"/>
  <c r="I29" i="94"/>
  <c r="I30" i="94" s="1"/>
  <c r="H29" i="94"/>
  <c r="H30" i="94" s="1"/>
  <c r="L27" i="94"/>
  <c r="I26" i="94"/>
  <c r="I28" i="94" s="1"/>
  <c r="H26" i="94"/>
  <c r="H28" i="94" s="1"/>
  <c r="L28" i="94" s="1"/>
  <c r="G26" i="94"/>
  <c r="G28" i="94" s="1"/>
  <c r="F26" i="94"/>
  <c r="F28" i="94" s="1"/>
  <c r="E26" i="94"/>
  <c r="E28" i="94" s="1"/>
  <c r="D26" i="94"/>
  <c r="D28" i="94" s="1"/>
  <c r="C26" i="94"/>
  <c r="C28" i="94" s="1"/>
  <c r="B26" i="94"/>
  <c r="B28" i="94" s="1"/>
  <c r="L25" i="94"/>
  <c r="L24" i="94"/>
  <c r="L23" i="94"/>
  <c r="L22" i="94"/>
  <c r="L21" i="94"/>
  <c r="L20" i="94"/>
  <c r="I17" i="94"/>
  <c r="G17" i="94"/>
  <c r="F17" i="94"/>
  <c r="E17" i="94"/>
  <c r="D17" i="94"/>
  <c r="C17" i="94"/>
  <c r="B17" i="94"/>
  <c r="L16" i="94"/>
  <c r="H15" i="94"/>
  <c r="H17" i="94" s="1"/>
  <c r="L17" i="94" s="1"/>
  <c r="L14" i="94"/>
  <c r="L13" i="94"/>
  <c r="L12" i="94"/>
  <c r="L11" i="94"/>
  <c r="L15" i="94" l="1"/>
  <c r="E47" i="96"/>
  <c r="H58" i="97"/>
  <c r="I58" i="97" s="1"/>
  <c r="I55" i="97"/>
  <c r="K47" i="97"/>
  <c r="J55" i="97"/>
  <c r="L55" i="97" s="1"/>
  <c r="H49" i="96"/>
  <c r="J49" i="96" s="1"/>
  <c r="L44" i="94"/>
  <c r="H47" i="94"/>
  <c r="L26" i="94"/>
  <c r="L42" i="94"/>
  <c r="I41" i="95"/>
  <c r="E49" i="96" l="1"/>
  <c r="K55" i="97"/>
  <c r="J58" i="97"/>
  <c r="L47" i="94"/>
  <c r="H49" i="94"/>
  <c r="L49" i="94" s="1"/>
  <c r="L58" i="97" l="1"/>
  <c r="K58" i="97"/>
  <c r="N59" i="95"/>
  <c r="M59" i="95"/>
  <c r="I59" i="95"/>
  <c r="N57" i="95"/>
  <c r="M57" i="95"/>
  <c r="I57" i="95"/>
  <c r="N56" i="95"/>
  <c r="M56" i="95"/>
  <c r="I56" i="95"/>
  <c r="L54" i="95"/>
  <c r="M54" i="95" s="1"/>
  <c r="H54" i="95"/>
  <c r="N53" i="95"/>
  <c r="M53" i="95"/>
  <c r="I53" i="95"/>
  <c r="N52" i="95"/>
  <c r="M52" i="95"/>
  <c r="I52" i="95"/>
  <c r="N51" i="95"/>
  <c r="M51" i="95"/>
  <c r="I51" i="95"/>
  <c r="N50" i="95"/>
  <c r="M50" i="95"/>
  <c r="I50" i="95"/>
  <c r="N49" i="95"/>
  <c r="M49" i="95"/>
  <c r="I49" i="95"/>
  <c r="N48" i="95"/>
  <c r="M48" i="95"/>
  <c r="I48" i="95"/>
  <c r="L46" i="95"/>
  <c r="M46" i="95" s="1"/>
  <c r="H46" i="95"/>
  <c r="N45" i="95"/>
  <c r="M45" i="95"/>
  <c r="I45" i="95"/>
  <c r="N44" i="95"/>
  <c r="M44" i="95"/>
  <c r="I44" i="95"/>
  <c r="N43" i="95"/>
  <c r="M43" i="95"/>
  <c r="I43" i="95"/>
  <c r="L42" i="95"/>
  <c r="M42" i="95" s="1"/>
  <c r="H42" i="95"/>
  <c r="N41" i="95"/>
  <c r="M41" i="95"/>
  <c r="L33" i="95"/>
  <c r="L32" i="95"/>
  <c r="I31" i="95"/>
  <c r="I34" i="95" s="1"/>
  <c r="H31" i="95"/>
  <c r="H34" i="95" s="1"/>
  <c r="L30" i="95"/>
  <c r="L29" i="95"/>
  <c r="L28" i="95"/>
  <c r="L27" i="95"/>
  <c r="L26" i="95"/>
  <c r="L25" i="95"/>
  <c r="L24" i="95"/>
  <c r="L23" i="95"/>
  <c r="I20" i="95"/>
  <c r="H20" i="95"/>
  <c r="L19" i="95"/>
  <c r="L18" i="95"/>
  <c r="L17" i="95"/>
  <c r="L16" i="95"/>
  <c r="L15" i="95"/>
  <c r="L14" i="95"/>
  <c r="L13" i="95"/>
  <c r="L12" i="95"/>
  <c r="B54" i="93"/>
  <c r="B46" i="93"/>
  <c r="B42" i="93"/>
  <c r="B31" i="93"/>
  <c r="B34" i="93" s="1"/>
  <c r="B20" i="93"/>
  <c r="F59" i="93"/>
  <c r="E59" i="93"/>
  <c r="C59" i="93"/>
  <c r="F57" i="93"/>
  <c r="E57" i="93"/>
  <c r="C57" i="93"/>
  <c r="F56" i="93"/>
  <c r="E56" i="93"/>
  <c r="C56" i="93"/>
  <c r="D54" i="93"/>
  <c r="E54" i="93" s="1"/>
  <c r="F53" i="93"/>
  <c r="E53" i="93"/>
  <c r="C53" i="93"/>
  <c r="F52" i="93"/>
  <c r="E52" i="93"/>
  <c r="C52" i="93"/>
  <c r="F51" i="93"/>
  <c r="E51" i="93"/>
  <c r="C51" i="93"/>
  <c r="F50" i="93"/>
  <c r="E50" i="93"/>
  <c r="C50" i="93"/>
  <c r="F49" i="93"/>
  <c r="E49" i="93"/>
  <c r="C49" i="93"/>
  <c r="F48" i="93"/>
  <c r="E48" i="93"/>
  <c r="C48" i="93"/>
  <c r="D46" i="93"/>
  <c r="E46" i="93" s="1"/>
  <c r="F45" i="93"/>
  <c r="E45" i="93"/>
  <c r="C45" i="93"/>
  <c r="F44" i="93"/>
  <c r="E44" i="93"/>
  <c r="C44" i="93"/>
  <c r="F43" i="93"/>
  <c r="E43" i="93"/>
  <c r="C43" i="93"/>
  <c r="D42" i="93"/>
  <c r="E42" i="93" s="1"/>
  <c r="F41" i="93"/>
  <c r="E41" i="93"/>
  <c r="C41" i="93"/>
  <c r="F40" i="93"/>
  <c r="D33" i="93"/>
  <c r="D32" i="93"/>
  <c r="C31" i="93"/>
  <c r="C34" i="93" s="1"/>
  <c r="D30" i="93"/>
  <c r="D29" i="93"/>
  <c r="D28" i="93"/>
  <c r="D27" i="93"/>
  <c r="D26" i="93"/>
  <c r="D25" i="93"/>
  <c r="D24" i="93"/>
  <c r="D23" i="93"/>
  <c r="C20" i="93"/>
  <c r="D19" i="93"/>
  <c r="D18" i="93"/>
  <c r="D17" i="93"/>
  <c r="D16" i="93"/>
  <c r="D15" i="93"/>
  <c r="D14" i="93"/>
  <c r="D13" i="93"/>
  <c r="D12" i="93"/>
  <c r="D11" i="93"/>
  <c r="B41" i="92"/>
  <c r="B42" i="92" s="1"/>
  <c r="B44" i="92" s="1"/>
  <c r="B47" i="92" s="1"/>
  <c r="B49" i="92" s="1"/>
  <c r="H47" i="95" l="1"/>
  <c r="H55" i="95" s="1"/>
  <c r="N54" i="95"/>
  <c r="N46" i="95"/>
  <c r="L34" i="95"/>
  <c r="L20" i="95"/>
  <c r="I42" i="95"/>
  <c r="L47" i="95"/>
  <c r="N42" i="95"/>
  <c r="I46" i="95"/>
  <c r="I54" i="95"/>
  <c r="L31" i="95"/>
  <c r="B47" i="93"/>
  <c r="B55" i="93" s="1"/>
  <c r="B58" i="93" s="1"/>
  <c r="D20" i="93"/>
  <c r="F54" i="93"/>
  <c r="F46" i="93"/>
  <c r="D34" i="93"/>
  <c r="C42" i="93"/>
  <c r="D47" i="93"/>
  <c r="F42" i="93"/>
  <c r="C46" i="93"/>
  <c r="C54" i="93"/>
  <c r="D31" i="93"/>
  <c r="I47" i="95" l="1"/>
  <c r="N47" i="95"/>
  <c r="M47" i="95"/>
  <c r="L55" i="95"/>
  <c r="H58" i="95"/>
  <c r="I58" i="95" s="1"/>
  <c r="I55" i="95"/>
  <c r="C47" i="93"/>
  <c r="E47" i="93"/>
  <c r="D55" i="93"/>
  <c r="C58" i="93"/>
  <c r="C55" i="93"/>
  <c r="F47" i="93"/>
  <c r="M55" i="95" l="1"/>
  <c r="L58" i="95"/>
  <c r="N55" i="95"/>
  <c r="E55" i="93"/>
  <c r="D58" i="93"/>
  <c r="F55" i="93"/>
  <c r="N58" i="95" l="1"/>
  <c r="M58" i="95"/>
  <c r="F58" i="93"/>
  <c r="E58" i="93"/>
  <c r="B29" i="92" l="1"/>
  <c r="B30" i="92" s="1"/>
  <c r="B26" i="92"/>
  <c r="B28" i="92" s="1"/>
  <c r="B15" i="92"/>
  <c r="D15" i="92" s="1"/>
  <c r="D48" i="92"/>
  <c r="D46" i="92"/>
  <c r="D45" i="92"/>
  <c r="D43" i="92"/>
  <c r="C42" i="92"/>
  <c r="C44" i="92" s="1"/>
  <c r="C47" i="92" s="1"/>
  <c r="C49" i="92" s="1"/>
  <c r="D40" i="92"/>
  <c r="D39" i="92"/>
  <c r="D38" i="92"/>
  <c r="C29" i="92"/>
  <c r="C30" i="92" s="1"/>
  <c r="D27" i="92"/>
  <c r="C26" i="92"/>
  <c r="C28" i="92" s="1"/>
  <c r="D25" i="92"/>
  <c r="D24" i="92"/>
  <c r="D23" i="92"/>
  <c r="D22" i="92"/>
  <c r="D21" i="92"/>
  <c r="D20" i="92"/>
  <c r="D16" i="92"/>
  <c r="C17" i="92"/>
  <c r="D14" i="92"/>
  <c r="D13" i="92"/>
  <c r="D12" i="92"/>
  <c r="D11" i="92"/>
  <c r="C13" i="82"/>
  <c r="C12" i="82"/>
  <c r="C15" i="91"/>
  <c r="D15" i="91" s="1"/>
  <c r="C25" i="82"/>
  <c r="B38" i="82"/>
  <c r="B41" i="82" s="1"/>
  <c r="B43" i="82" s="1"/>
  <c r="B36" i="82"/>
  <c r="B21" i="82"/>
  <c r="D21" i="82" s="1"/>
  <c r="B20" i="82"/>
  <c r="B51" i="91"/>
  <c r="B43" i="91"/>
  <c r="B39" i="91"/>
  <c r="F56" i="91"/>
  <c r="E56" i="91"/>
  <c r="C56" i="91"/>
  <c r="F54" i="91"/>
  <c r="E54" i="91"/>
  <c r="C54" i="91"/>
  <c r="F53" i="91"/>
  <c r="E53" i="91"/>
  <c r="C53" i="91"/>
  <c r="D51" i="91"/>
  <c r="E51" i="91" s="1"/>
  <c r="F50" i="91"/>
  <c r="E50" i="91"/>
  <c r="C50" i="91"/>
  <c r="F49" i="91"/>
  <c r="E49" i="91"/>
  <c r="C49" i="91"/>
  <c r="F48" i="91"/>
  <c r="E48" i="91"/>
  <c r="C48" i="91"/>
  <c r="F47" i="91"/>
  <c r="E47" i="91"/>
  <c r="C47" i="91"/>
  <c r="F46" i="91"/>
  <c r="E46" i="91"/>
  <c r="C46" i="91"/>
  <c r="F45" i="91"/>
  <c r="E45" i="91"/>
  <c r="C45" i="91"/>
  <c r="D43" i="91"/>
  <c r="E43" i="91" s="1"/>
  <c r="F42" i="91"/>
  <c r="E42" i="91"/>
  <c r="C42" i="91"/>
  <c r="F41" i="91"/>
  <c r="E41" i="91"/>
  <c r="C41" i="91"/>
  <c r="F40" i="91"/>
  <c r="E40" i="91"/>
  <c r="C40" i="91"/>
  <c r="D39" i="91"/>
  <c r="E39" i="91" s="1"/>
  <c r="C39" i="91"/>
  <c r="F38" i="91"/>
  <c r="E38" i="91"/>
  <c r="C38" i="91"/>
  <c r="F37" i="91"/>
  <c r="D29" i="91"/>
  <c r="D28" i="91"/>
  <c r="C27" i="91"/>
  <c r="C30" i="91" s="1"/>
  <c r="B27" i="91"/>
  <c r="B30" i="91" s="1"/>
  <c r="D26" i="91"/>
  <c r="D25" i="91"/>
  <c r="D24" i="91"/>
  <c r="D23" i="91"/>
  <c r="D22" i="91"/>
  <c r="D21" i="91"/>
  <c r="D20" i="91"/>
  <c r="D19" i="91"/>
  <c r="C16" i="91"/>
  <c r="D14" i="91"/>
  <c r="D13" i="91"/>
  <c r="D12" i="91"/>
  <c r="D11" i="91"/>
  <c r="D10" i="91"/>
  <c r="D9" i="91"/>
  <c r="D8" i="91"/>
  <c r="D7" i="91"/>
  <c r="D42" i="82"/>
  <c r="D40" i="82"/>
  <c r="D39" i="82"/>
  <c r="D37" i="82"/>
  <c r="C36" i="82"/>
  <c r="C38" i="82" s="1"/>
  <c r="C41" i="82" s="1"/>
  <c r="C43" i="82" s="1"/>
  <c r="D35" i="82"/>
  <c r="D34" i="82"/>
  <c r="D33" i="82"/>
  <c r="D32" i="82"/>
  <c r="C26" i="82"/>
  <c r="B26" i="82"/>
  <c r="D23" i="82"/>
  <c r="C22" i="82"/>
  <c r="C24" i="82" s="1"/>
  <c r="D19" i="82"/>
  <c r="D18" i="82"/>
  <c r="D17" i="82"/>
  <c r="D16" i="82"/>
  <c r="B13" i="82"/>
  <c r="D12" i="82"/>
  <c r="D11" i="82"/>
  <c r="D10" i="82"/>
  <c r="D9" i="82"/>
  <c r="D8" i="82"/>
  <c r="D7" i="82"/>
  <c r="B22" i="82" l="1"/>
  <c r="B24" i="82" s="1"/>
  <c r="B44" i="91"/>
  <c r="B52" i="91" s="1"/>
  <c r="B55" i="91" s="1"/>
  <c r="D28" i="92"/>
  <c r="D42" i="92"/>
  <c r="B17" i="92"/>
  <c r="D17" i="92" s="1"/>
  <c r="D41" i="92"/>
  <c r="D26" i="92"/>
  <c r="D13" i="82"/>
  <c r="F51" i="91"/>
  <c r="F43" i="91"/>
  <c r="D30" i="91"/>
  <c r="D44" i="91"/>
  <c r="F39" i="91"/>
  <c r="B16" i="91"/>
  <c r="D16" i="91" s="1"/>
  <c r="C43" i="91"/>
  <c r="C51" i="91"/>
  <c r="D27" i="91"/>
  <c r="D38" i="82"/>
  <c r="D22" i="82"/>
  <c r="D24" i="82"/>
  <c r="D36" i="82"/>
  <c r="D20" i="82"/>
  <c r="C44" i="91" l="1"/>
  <c r="D44" i="92"/>
  <c r="E44" i="91"/>
  <c r="D52" i="91"/>
  <c r="C55" i="91"/>
  <c r="C52" i="91"/>
  <c r="F44" i="91"/>
  <c r="D43" i="82"/>
  <c r="D41" i="82"/>
  <c r="D49" i="92" l="1"/>
  <c r="D47" i="92"/>
  <c r="E52" i="91"/>
  <c r="D55" i="91"/>
  <c r="F52" i="91"/>
  <c r="F55" i="91" l="1"/>
  <c r="E55" i="91"/>
  <c r="F54" i="89" l="1"/>
  <c r="F53" i="89"/>
  <c r="F50" i="89"/>
  <c r="F49" i="89"/>
  <c r="F48" i="89"/>
  <c r="F47" i="89"/>
  <c r="F46" i="89"/>
  <c r="F45" i="89"/>
  <c r="C24" i="90" l="1"/>
  <c r="C25" i="90" s="1"/>
  <c r="B35" i="90"/>
  <c r="B37" i="90" s="1"/>
  <c r="B40" i="90" s="1"/>
  <c r="B21" i="90"/>
  <c r="B10" i="90"/>
  <c r="B12" i="90" s="1"/>
  <c r="D41" i="90"/>
  <c r="D39" i="90"/>
  <c r="D38" i="90"/>
  <c r="D36" i="90"/>
  <c r="C35" i="90"/>
  <c r="C37" i="90" s="1"/>
  <c r="C40" i="90" s="1"/>
  <c r="C42" i="90" s="1"/>
  <c r="D34" i="90"/>
  <c r="D33" i="90"/>
  <c r="D32" i="90"/>
  <c r="D31" i="90"/>
  <c r="B25" i="90"/>
  <c r="D22" i="90"/>
  <c r="C21" i="90"/>
  <c r="C23" i="90" s="1"/>
  <c r="D20" i="90"/>
  <c r="D19" i="90"/>
  <c r="D18" i="90"/>
  <c r="D17" i="90"/>
  <c r="D16" i="90"/>
  <c r="D15" i="90"/>
  <c r="D11" i="90"/>
  <c r="C12" i="90"/>
  <c r="D9" i="90"/>
  <c r="D8" i="90"/>
  <c r="D7" i="90"/>
  <c r="B51" i="89"/>
  <c r="B43" i="89"/>
  <c r="B39" i="89"/>
  <c r="B44" i="89" s="1"/>
  <c r="B30" i="89"/>
  <c r="F56" i="89"/>
  <c r="E56" i="89"/>
  <c r="C56" i="89"/>
  <c r="E54" i="89"/>
  <c r="C54" i="89"/>
  <c r="E53" i="89"/>
  <c r="C53" i="89"/>
  <c r="D51" i="89"/>
  <c r="E51" i="89" s="1"/>
  <c r="C51" i="89"/>
  <c r="E50" i="89"/>
  <c r="C50" i="89"/>
  <c r="E49" i="89"/>
  <c r="C49" i="89"/>
  <c r="E48" i="89"/>
  <c r="C48" i="89"/>
  <c r="E47" i="89"/>
  <c r="C47" i="89"/>
  <c r="E46" i="89"/>
  <c r="C46" i="89"/>
  <c r="E45" i="89"/>
  <c r="C45" i="89"/>
  <c r="D43" i="89"/>
  <c r="E43" i="89" s="1"/>
  <c r="C43" i="89"/>
  <c r="F42" i="89"/>
  <c r="E42" i="89"/>
  <c r="C42" i="89"/>
  <c r="F41" i="89"/>
  <c r="E41" i="89"/>
  <c r="C41" i="89"/>
  <c r="F40" i="89"/>
  <c r="E40" i="89"/>
  <c r="C40" i="89"/>
  <c r="D39" i="89"/>
  <c r="C39" i="89"/>
  <c r="F38" i="89"/>
  <c r="E38" i="89"/>
  <c r="C38" i="89"/>
  <c r="F37" i="89"/>
  <c r="D29" i="89"/>
  <c r="D28" i="89"/>
  <c r="C27" i="89"/>
  <c r="D26" i="89"/>
  <c r="D25" i="89"/>
  <c r="D24" i="89"/>
  <c r="D23" i="89"/>
  <c r="D22" i="89"/>
  <c r="D21" i="89"/>
  <c r="D20" i="89"/>
  <c r="D19" i="89"/>
  <c r="C16" i="89"/>
  <c r="B16" i="89"/>
  <c r="D15" i="89"/>
  <c r="D14" i="89"/>
  <c r="D13" i="89"/>
  <c r="D12" i="89"/>
  <c r="D11" i="89"/>
  <c r="D10" i="89"/>
  <c r="D9" i="89"/>
  <c r="D8" i="89"/>
  <c r="D7" i="89"/>
  <c r="C56" i="80"/>
  <c r="D43" i="80"/>
  <c r="D8" i="80"/>
  <c r="D16" i="89" l="1"/>
  <c r="D27" i="89"/>
  <c r="C30" i="89"/>
  <c r="D30" i="89" s="1"/>
  <c r="F51" i="89"/>
  <c r="D35" i="90"/>
  <c r="D21" i="90"/>
  <c r="D12" i="90"/>
  <c r="D44" i="89"/>
  <c r="F44" i="89" s="1"/>
  <c r="F43" i="89"/>
  <c r="F39" i="89"/>
  <c r="E39" i="89"/>
  <c r="D10" i="90"/>
  <c r="B23" i="90"/>
  <c r="D23" i="90" s="1"/>
  <c r="B52" i="89"/>
  <c r="C52" i="89" s="1"/>
  <c r="C44" i="89"/>
  <c r="F56" i="80"/>
  <c r="E56" i="80"/>
  <c r="F54" i="80"/>
  <c r="E54" i="80"/>
  <c r="C54" i="80"/>
  <c r="F53" i="80"/>
  <c r="E53" i="80"/>
  <c r="C53" i="80"/>
  <c r="D51" i="80"/>
  <c r="E51" i="80" s="1"/>
  <c r="B51" i="80"/>
  <c r="F50" i="80"/>
  <c r="E50" i="80"/>
  <c r="C50" i="80"/>
  <c r="F49" i="80"/>
  <c r="E49" i="80"/>
  <c r="C49" i="80"/>
  <c r="F48" i="80"/>
  <c r="E48" i="80"/>
  <c r="C48" i="80"/>
  <c r="F47" i="80"/>
  <c r="E47" i="80"/>
  <c r="C47" i="80"/>
  <c r="F46" i="80"/>
  <c r="E46" i="80"/>
  <c r="C46" i="80"/>
  <c r="F45" i="80"/>
  <c r="E45" i="80"/>
  <c r="C45" i="80"/>
  <c r="E43" i="80"/>
  <c r="B43" i="80"/>
  <c r="F42" i="80"/>
  <c r="E42" i="80"/>
  <c r="C42" i="80"/>
  <c r="F41" i="80"/>
  <c r="E41" i="80"/>
  <c r="C41" i="80"/>
  <c r="F40" i="80"/>
  <c r="E40" i="80"/>
  <c r="C40" i="80"/>
  <c r="D39" i="80"/>
  <c r="B39" i="80"/>
  <c r="F38" i="80"/>
  <c r="E38" i="80"/>
  <c r="C38" i="80"/>
  <c r="F37" i="80"/>
  <c r="D29" i="80"/>
  <c r="D28" i="80"/>
  <c r="C27" i="80"/>
  <c r="C30" i="80" s="1"/>
  <c r="B27" i="80"/>
  <c r="B30" i="80" s="1"/>
  <c r="D26" i="80"/>
  <c r="D25" i="80"/>
  <c r="D24" i="80"/>
  <c r="D23" i="80"/>
  <c r="D22" i="80"/>
  <c r="D21" i="80"/>
  <c r="D20" i="80"/>
  <c r="D19" i="80"/>
  <c r="C16" i="80"/>
  <c r="B16" i="80"/>
  <c r="D15" i="80"/>
  <c r="D14" i="80"/>
  <c r="D13" i="80"/>
  <c r="D12" i="80"/>
  <c r="D11" i="80"/>
  <c r="D10" i="80"/>
  <c r="D9" i="80"/>
  <c r="D7" i="80"/>
  <c r="D42" i="69"/>
  <c r="D40" i="69"/>
  <c r="D39" i="69"/>
  <c r="D37" i="69"/>
  <c r="B36" i="69"/>
  <c r="B38" i="69" s="1"/>
  <c r="D35" i="69"/>
  <c r="C36" i="69"/>
  <c r="C38" i="69" s="1"/>
  <c r="C41" i="69" s="1"/>
  <c r="C43" i="69" s="1"/>
  <c r="D34" i="69"/>
  <c r="D33" i="69"/>
  <c r="D32" i="69"/>
  <c r="B26" i="69"/>
  <c r="C25" i="69"/>
  <c r="C26" i="69" s="1"/>
  <c r="D23" i="69"/>
  <c r="C22" i="69"/>
  <c r="C24" i="69" s="1"/>
  <c r="B22" i="69"/>
  <c r="B24" i="69" s="1"/>
  <c r="D21" i="69"/>
  <c r="D20" i="69"/>
  <c r="D19" i="69"/>
  <c r="D18" i="69"/>
  <c r="D17" i="69"/>
  <c r="D16" i="69"/>
  <c r="D12" i="69"/>
  <c r="C11" i="69"/>
  <c r="C13" i="69" s="1"/>
  <c r="B13" i="69"/>
  <c r="D10" i="69"/>
  <c r="D9" i="69"/>
  <c r="D8" i="69"/>
  <c r="D7" i="69"/>
  <c r="C35" i="88"/>
  <c r="B11" i="88"/>
  <c r="C11" i="88"/>
  <c r="D11" i="69" l="1"/>
  <c r="E44" i="89"/>
  <c r="D52" i="89"/>
  <c r="F52" i="89" s="1"/>
  <c r="B55" i="89"/>
  <c r="C55" i="89" s="1"/>
  <c r="D37" i="90"/>
  <c r="B44" i="80"/>
  <c r="B52" i="80" s="1"/>
  <c r="D22" i="69"/>
  <c r="D13" i="69"/>
  <c r="F51" i="80"/>
  <c r="C51" i="80"/>
  <c r="F43" i="80"/>
  <c r="D44" i="80"/>
  <c r="E44" i="80" s="1"/>
  <c r="C43" i="80"/>
  <c r="E39" i="80"/>
  <c r="D30" i="80"/>
  <c r="D16" i="80"/>
  <c r="C39" i="80"/>
  <c r="F39" i="80"/>
  <c r="D27" i="80"/>
  <c r="B41" i="69"/>
  <c r="D38" i="69"/>
  <c r="D24" i="69"/>
  <c r="D36" i="69"/>
  <c r="B51" i="87"/>
  <c r="B43" i="87"/>
  <c r="B39" i="87"/>
  <c r="B35" i="88"/>
  <c r="D35" i="88" s="1"/>
  <c r="B22" i="88"/>
  <c r="B13" i="88"/>
  <c r="C25" i="88"/>
  <c r="C26" i="88" s="1"/>
  <c r="D42" i="88"/>
  <c r="D40" i="88"/>
  <c r="D39" i="88"/>
  <c r="D37" i="88"/>
  <c r="C36" i="88"/>
  <c r="C38" i="88" s="1"/>
  <c r="C41" i="88" s="1"/>
  <c r="C43" i="88" s="1"/>
  <c r="B36" i="88"/>
  <c r="B38" i="88" s="1"/>
  <c r="D34" i="88"/>
  <c r="D33" i="88"/>
  <c r="D32" i="88"/>
  <c r="B26" i="88"/>
  <c r="D23" i="88"/>
  <c r="B24" i="88"/>
  <c r="D21" i="88"/>
  <c r="D20" i="88"/>
  <c r="C22" i="88"/>
  <c r="C24" i="88" s="1"/>
  <c r="D19" i="88"/>
  <c r="D18" i="88"/>
  <c r="D17" i="88"/>
  <c r="D16" i="88"/>
  <c r="C13" i="88"/>
  <c r="D13" i="88" s="1"/>
  <c r="D12" i="88"/>
  <c r="D11" i="88"/>
  <c r="D10" i="88"/>
  <c r="D9" i="88"/>
  <c r="D8" i="88"/>
  <c r="D7" i="88"/>
  <c r="F56" i="87"/>
  <c r="E56" i="87"/>
  <c r="C56" i="87"/>
  <c r="E54" i="87"/>
  <c r="F53" i="87"/>
  <c r="E53" i="87"/>
  <c r="C53" i="87"/>
  <c r="D51" i="87"/>
  <c r="F50" i="87"/>
  <c r="E50" i="87"/>
  <c r="C50" i="87"/>
  <c r="F49" i="87"/>
  <c r="E49" i="87"/>
  <c r="C49" i="87"/>
  <c r="F48" i="87"/>
  <c r="E48" i="87"/>
  <c r="C48" i="87"/>
  <c r="F47" i="87"/>
  <c r="E47" i="87"/>
  <c r="C47" i="87"/>
  <c r="F46" i="87"/>
  <c r="E46" i="87"/>
  <c r="C46" i="87"/>
  <c r="F45" i="87"/>
  <c r="E45" i="87"/>
  <c r="C45" i="87"/>
  <c r="D43" i="87"/>
  <c r="E43" i="87" s="1"/>
  <c r="F42" i="87"/>
  <c r="E42" i="87"/>
  <c r="C42" i="87"/>
  <c r="F41" i="87"/>
  <c r="E41" i="87"/>
  <c r="C41" i="87"/>
  <c r="F40" i="87"/>
  <c r="E40" i="87"/>
  <c r="C40" i="87"/>
  <c r="D39" i="87"/>
  <c r="F38" i="87"/>
  <c r="E38" i="87"/>
  <c r="C38" i="87"/>
  <c r="F37" i="87"/>
  <c r="D29" i="87"/>
  <c r="D28" i="87"/>
  <c r="C27" i="87"/>
  <c r="C30" i="87" s="1"/>
  <c r="B27" i="87"/>
  <c r="D26" i="87"/>
  <c r="D25" i="87"/>
  <c r="D24" i="87"/>
  <c r="D23" i="87"/>
  <c r="D22" i="87"/>
  <c r="D21" i="87"/>
  <c r="D20" i="87"/>
  <c r="D19" i="87"/>
  <c r="C16" i="87"/>
  <c r="D15" i="87"/>
  <c r="D14" i="87"/>
  <c r="D13" i="87"/>
  <c r="B16" i="87"/>
  <c r="D12" i="87"/>
  <c r="D11" i="87"/>
  <c r="D10" i="87"/>
  <c r="D9" i="87"/>
  <c r="D8" i="87"/>
  <c r="D7" i="87"/>
  <c r="C21" i="85"/>
  <c r="C20" i="85"/>
  <c r="D44" i="87" l="1"/>
  <c r="B44" i="87"/>
  <c r="B52" i="87" s="1"/>
  <c r="B55" i="87" s="1"/>
  <c r="E52" i="89"/>
  <c r="D55" i="89"/>
  <c r="F55" i="89" s="1"/>
  <c r="B42" i="90"/>
  <c r="D42" i="90" s="1"/>
  <c r="D40" i="90"/>
  <c r="C44" i="80"/>
  <c r="F44" i="80"/>
  <c r="D52" i="80"/>
  <c r="D55" i="80" s="1"/>
  <c r="B55" i="80"/>
  <c r="C52" i="80"/>
  <c r="B43" i="69"/>
  <c r="D43" i="69" s="1"/>
  <c r="D41" i="69"/>
  <c r="B30" i="87"/>
  <c r="E51" i="87"/>
  <c r="C43" i="87"/>
  <c r="B41" i="88"/>
  <c r="D38" i="88"/>
  <c r="D24" i="88"/>
  <c r="D36" i="88"/>
  <c r="D22" i="88"/>
  <c r="D52" i="87"/>
  <c r="E44" i="87"/>
  <c r="F44" i="87"/>
  <c r="C44" i="87"/>
  <c r="D30" i="87"/>
  <c r="D16" i="87"/>
  <c r="D27" i="87"/>
  <c r="F39" i="87"/>
  <c r="F43" i="87"/>
  <c r="F51" i="87"/>
  <c r="C39" i="87"/>
  <c r="E39" i="87"/>
  <c r="D43" i="86"/>
  <c r="E43" i="86" s="1"/>
  <c r="B43" i="86"/>
  <c r="C43" i="86" s="1"/>
  <c r="F42" i="86"/>
  <c r="E42" i="86"/>
  <c r="C42" i="86"/>
  <c r="B13" i="86"/>
  <c r="F56" i="86"/>
  <c r="E56" i="86"/>
  <c r="C56" i="86"/>
  <c r="F54" i="86"/>
  <c r="E54" i="86"/>
  <c r="C54" i="86"/>
  <c r="F53" i="86"/>
  <c r="E53" i="86"/>
  <c r="C53" i="86"/>
  <c r="D51" i="86"/>
  <c r="E51" i="86" s="1"/>
  <c r="B51" i="86"/>
  <c r="C51" i="86" s="1"/>
  <c r="F50" i="86"/>
  <c r="E50" i="86"/>
  <c r="C50" i="86"/>
  <c r="F49" i="86"/>
  <c r="E49" i="86"/>
  <c r="C49" i="86"/>
  <c r="F48" i="86"/>
  <c r="E48" i="86"/>
  <c r="C48" i="86"/>
  <c r="F47" i="86"/>
  <c r="E47" i="86"/>
  <c r="C47" i="86"/>
  <c r="F46" i="86"/>
  <c r="E46" i="86"/>
  <c r="C46" i="86"/>
  <c r="F45" i="86"/>
  <c r="E45" i="86"/>
  <c r="C45" i="86"/>
  <c r="F41" i="86"/>
  <c r="E41" i="86"/>
  <c r="C41" i="86"/>
  <c r="F40" i="86"/>
  <c r="E40" i="86"/>
  <c r="C40" i="86"/>
  <c r="D39" i="86"/>
  <c r="B39" i="86"/>
  <c r="F38" i="86"/>
  <c r="E38" i="86"/>
  <c r="C38" i="86"/>
  <c r="F37" i="86"/>
  <c r="D29" i="86"/>
  <c r="D28" i="86"/>
  <c r="C27" i="86"/>
  <c r="C30" i="86" s="1"/>
  <c r="B27" i="86"/>
  <c r="B30" i="86" s="1"/>
  <c r="D26" i="86"/>
  <c r="D25" i="86"/>
  <c r="D24" i="86"/>
  <c r="D23" i="86"/>
  <c r="D22" i="86"/>
  <c r="D21" i="86"/>
  <c r="D20" i="86"/>
  <c r="D19" i="86"/>
  <c r="B16" i="86"/>
  <c r="D15" i="86"/>
  <c r="D14" i="86"/>
  <c r="C16" i="86"/>
  <c r="D12" i="86"/>
  <c r="D11" i="86"/>
  <c r="D10" i="86"/>
  <c r="D9" i="86"/>
  <c r="D8" i="86"/>
  <c r="D7" i="86"/>
  <c r="D42" i="85"/>
  <c r="D40" i="85"/>
  <c r="D39" i="85"/>
  <c r="D37" i="85"/>
  <c r="C36" i="85"/>
  <c r="C38" i="85" s="1"/>
  <c r="C41" i="85" s="1"/>
  <c r="C43" i="85" s="1"/>
  <c r="B36" i="85"/>
  <c r="B38" i="85" s="1"/>
  <c r="D35" i="85"/>
  <c r="D34" i="85"/>
  <c r="D33" i="85"/>
  <c r="D32" i="85"/>
  <c r="C26" i="85"/>
  <c r="B26" i="85"/>
  <c r="D23" i="85"/>
  <c r="C22" i="85"/>
  <c r="C24" i="85" s="1"/>
  <c r="B22" i="85"/>
  <c r="B24" i="85" s="1"/>
  <c r="D21" i="85"/>
  <c r="D20" i="85"/>
  <c r="D19" i="85"/>
  <c r="D18" i="85"/>
  <c r="D17" i="85"/>
  <c r="D16" i="85"/>
  <c r="C13" i="85"/>
  <c r="B13" i="85"/>
  <c r="D12" i="85"/>
  <c r="D11" i="85"/>
  <c r="D10" i="85"/>
  <c r="D9" i="85"/>
  <c r="D8" i="85"/>
  <c r="D7" i="85"/>
  <c r="E55" i="89" l="1"/>
  <c r="C55" i="80"/>
  <c r="F52" i="80"/>
  <c r="E52" i="80"/>
  <c r="F55" i="80"/>
  <c r="E55" i="80"/>
  <c r="C51" i="87"/>
  <c r="B43" i="88"/>
  <c r="D43" i="88" s="1"/>
  <c r="D41" i="88"/>
  <c r="F52" i="87"/>
  <c r="C55" i="87"/>
  <c r="C52" i="87"/>
  <c r="D55" i="87"/>
  <c r="E52" i="87"/>
  <c r="D24" i="85"/>
  <c r="D13" i="85"/>
  <c r="D44" i="86"/>
  <c r="E44" i="86" s="1"/>
  <c r="E39" i="86"/>
  <c r="B44" i="86"/>
  <c r="F44" i="86" s="1"/>
  <c r="C39" i="86"/>
  <c r="D30" i="86"/>
  <c r="D16" i="86"/>
  <c r="B52" i="86"/>
  <c r="B41" i="85"/>
  <c r="D38" i="85"/>
  <c r="D36" i="85"/>
  <c r="F43" i="86"/>
  <c r="F51" i="86"/>
  <c r="D22" i="85"/>
  <c r="D13" i="86"/>
  <c r="D27" i="86"/>
  <c r="F39" i="86"/>
  <c r="D51" i="84"/>
  <c r="F42" i="84"/>
  <c r="E42" i="84"/>
  <c r="D43" i="84"/>
  <c r="C42" i="84"/>
  <c r="B43" i="84"/>
  <c r="C43" i="84" s="1"/>
  <c r="B51" i="84"/>
  <c r="B39" i="84"/>
  <c r="B27" i="84"/>
  <c r="B30" i="84" s="1"/>
  <c r="B16" i="84"/>
  <c r="C10" i="83"/>
  <c r="D52" i="86" l="1"/>
  <c r="B44" i="84"/>
  <c r="B52" i="84" s="1"/>
  <c r="B55" i="84" s="1"/>
  <c r="F54" i="87"/>
  <c r="C54" i="87"/>
  <c r="E55" i="87"/>
  <c r="F55" i="87"/>
  <c r="C44" i="86"/>
  <c r="B55" i="86"/>
  <c r="C55" i="86" s="1"/>
  <c r="F52" i="86"/>
  <c r="C52" i="86"/>
  <c r="B43" i="85"/>
  <c r="D43" i="85" s="1"/>
  <c r="D41" i="85"/>
  <c r="D55" i="86"/>
  <c r="E52" i="86"/>
  <c r="F55" i="86" l="1"/>
  <c r="E55" i="86"/>
  <c r="B39" i="83"/>
  <c r="B35" i="83"/>
  <c r="B37" i="83" s="1"/>
  <c r="B21" i="83"/>
  <c r="B23" i="83" s="1"/>
  <c r="B12" i="83"/>
  <c r="F56" i="84"/>
  <c r="E56" i="84"/>
  <c r="C56" i="84"/>
  <c r="F54" i="84"/>
  <c r="E54" i="84"/>
  <c r="C54" i="84"/>
  <c r="F53" i="84"/>
  <c r="E53" i="84"/>
  <c r="C53" i="84"/>
  <c r="E51" i="84"/>
  <c r="F50" i="84"/>
  <c r="E50" i="84"/>
  <c r="C50" i="84"/>
  <c r="F49" i="84"/>
  <c r="E49" i="84"/>
  <c r="C49" i="84"/>
  <c r="F48" i="84"/>
  <c r="E48" i="84"/>
  <c r="C48" i="84"/>
  <c r="F47" i="84"/>
  <c r="E47" i="84"/>
  <c r="C47" i="84"/>
  <c r="E46" i="84"/>
  <c r="E45" i="84"/>
  <c r="C45" i="84"/>
  <c r="E43" i="84"/>
  <c r="F43" i="84"/>
  <c r="F41" i="84"/>
  <c r="E41" i="84"/>
  <c r="C41" i="84"/>
  <c r="F40" i="84"/>
  <c r="E40" i="84"/>
  <c r="C40" i="84"/>
  <c r="D39" i="84"/>
  <c r="E39" i="84" s="1"/>
  <c r="C39" i="84"/>
  <c r="F38" i="84"/>
  <c r="E38" i="84"/>
  <c r="C38" i="84"/>
  <c r="F37" i="84"/>
  <c r="D29" i="84"/>
  <c r="D28" i="84"/>
  <c r="C27" i="84"/>
  <c r="C30" i="84" s="1"/>
  <c r="D26" i="84"/>
  <c r="D25" i="84"/>
  <c r="D24" i="84"/>
  <c r="D23" i="84"/>
  <c r="D22" i="84"/>
  <c r="D21" i="84"/>
  <c r="D20" i="84"/>
  <c r="D19" i="84"/>
  <c r="C16" i="84"/>
  <c r="D16" i="84" s="1"/>
  <c r="D15" i="84"/>
  <c r="D14" i="84"/>
  <c r="D13" i="84"/>
  <c r="D12" i="84"/>
  <c r="D11" i="84"/>
  <c r="D10" i="84"/>
  <c r="D9" i="84"/>
  <c r="D8" i="84"/>
  <c r="D7" i="84"/>
  <c r="D41" i="83"/>
  <c r="D38" i="83"/>
  <c r="D36" i="83"/>
  <c r="C35" i="83"/>
  <c r="C37" i="83" s="1"/>
  <c r="C40" i="83" s="1"/>
  <c r="C42" i="83" s="1"/>
  <c r="D34" i="83"/>
  <c r="D33" i="83"/>
  <c r="D32" i="83"/>
  <c r="D31" i="83"/>
  <c r="C25" i="83"/>
  <c r="B25" i="83"/>
  <c r="D22" i="83"/>
  <c r="C21" i="83"/>
  <c r="C23" i="83" s="1"/>
  <c r="D20" i="83"/>
  <c r="D19" i="83"/>
  <c r="D18" i="83"/>
  <c r="D17" i="83"/>
  <c r="D16" i="83"/>
  <c r="D15" i="83"/>
  <c r="C12" i="83"/>
  <c r="D11" i="83"/>
  <c r="D10" i="83"/>
  <c r="D9" i="83"/>
  <c r="D8" i="83"/>
  <c r="D7" i="83"/>
  <c r="B14" i="79"/>
  <c r="B13" i="79"/>
  <c r="C14" i="79"/>
  <c r="C8" i="79"/>
  <c r="C24" i="79"/>
  <c r="C23" i="79"/>
  <c r="C21" i="79"/>
  <c r="B40" i="83" l="1"/>
  <c r="B42" i="83" s="1"/>
  <c r="D39" i="83"/>
  <c r="D12" i="83"/>
  <c r="C51" i="84"/>
  <c r="D35" i="83"/>
  <c r="D30" i="84"/>
  <c r="D23" i="83"/>
  <c r="D27" i="84"/>
  <c r="F39" i="84"/>
  <c r="D44" i="84"/>
  <c r="D52" i="84" s="1"/>
  <c r="D21" i="83"/>
  <c r="C46" i="84"/>
  <c r="F46" i="84"/>
  <c r="C19" i="79"/>
  <c r="C13" i="79"/>
  <c r="C9" i="79"/>
  <c r="B52" i="79"/>
  <c r="C52" i="79" s="1"/>
  <c r="B46" i="79"/>
  <c r="C46" i="79" s="1"/>
  <c r="B45" i="79"/>
  <c r="C45" i="79" s="1"/>
  <c r="B21" i="79"/>
  <c r="B19" i="79"/>
  <c r="B9" i="79"/>
  <c r="D40" i="78"/>
  <c r="C18" i="78"/>
  <c r="B18" i="78"/>
  <c r="C23" i="78"/>
  <c r="F55" i="79"/>
  <c r="E55" i="79"/>
  <c r="C55" i="79"/>
  <c r="F53" i="79"/>
  <c r="E53" i="79"/>
  <c r="C53" i="79"/>
  <c r="E52" i="79"/>
  <c r="F49" i="79"/>
  <c r="E49" i="79"/>
  <c r="C49" i="79"/>
  <c r="F48" i="79"/>
  <c r="E48" i="79"/>
  <c r="C48" i="79"/>
  <c r="F47" i="79"/>
  <c r="E47" i="79"/>
  <c r="C47" i="79"/>
  <c r="E46" i="79"/>
  <c r="D50" i="79"/>
  <c r="F44" i="79"/>
  <c r="E44" i="79"/>
  <c r="C44" i="79"/>
  <c r="D42" i="79"/>
  <c r="E42" i="79" s="1"/>
  <c r="B42" i="79"/>
  <c r="C42" i="79" s="1"/>
  <c r="F41" i="79"/>
  <c r="E41" i="79"/>
  <c r="C41" i="79"/>
  <c r="F40" i="79"/>
  <c r="E40" i="79"/>
  <c r="C40" i="79"/>
  <c r="D39" i="79"/>
  <c r="E39" i="79" s="1"/>
  <c r="B39" i="79"/>
  <c r="C39" i="79" s="1"/>
  <c r="F38" i="79"/>
  <c r="E38" i="79"/>
  <c r="C38" i="79"/>
  <c r="F37" i="79"/>
  <c r="E37" i="79"/>
  <c r="C37" i="79"/>
  <c r="D29" i="79"/>
  <c r="D28" i="79"/>
  <c r="D26" i="79"/>
  <c r="D25" i="79"/>
  <c r="D24" i="79"/>
  <c r="D23" i="79"/>
  <c r="D22" i="79"/>
  <c r="D21" i="79"/>
  <c r="D20" i="79"/>
  <c r="D15" i="79"/>
  <c r="D12" i="79"/>
  <c r="D11" i="79"/>
  <c r="D10" i="79"/>
  <c r="B16" i="79"/>
  <c r="D8" i="79"/>
  <c r="D7" i="79"/>
  <c r="D43" i="78"/>
  <c r="D41" i="78"/>
  <c r="D38" i="78"/>
  <c r="C37" i="78"/>
  <c r="C39" i="78" s="1"/>
  <c r="C42" i="78" s="1"/>
  <c r="C44" i="78" s="1"/>
  <c r="B37" i="78"/>
  <c r="B39" i="78" s="1"/>
  <c r="D36" i="78"/>
  <c r="D35" i="78"/>
  <c r="D34" i="78"/>
  <c r="D33" i="78"/>
  <c r="B23" i="78"/>
  <c r="D22" i="78"/>
  <c r="D21" i="78"/>
  <c r="D20" i="78"/>
  <c r="D19" i="78"/>
  <c r="D18" i="78"/>
  <c r="D17" i="78"/>
  <c r="C14" i="78"/>
  <c r="B14" i="78"/>
  <c r="B24" i="78" s="1"/>
  <c r="D13" i="78"/>
  <c r="D12" i="78"/>
  <c r="D11" i="78"/>
  <c r="D10" i="78"/>
  <c r="D9" i="78"/>
  <c r="D8" i="78"/>
  <c r="D7" i="78"/>
  <c r="B50" i="77"/>
  <c r="B42" i="77"/>
  <c r="B39" i="77"/>
  <c r="B43" i="77" s="1"/>
  <c r="C36" i="76"/>
  <c r="C12" i="76"/>
  <c r="C21" i="76"/>
  <c r="B27" i="79" l="1"/>
  <c r="B30" i="79" s="1"/>
  <c r="B50" i="79"/>
  <c r="C50" i="79" s="1"/>
  <c r="B51" i="77"/>
  <c r="B54" i="77" s="1"/>
  <c r="C16" i="79"/>
  <c r="D16" i="79" s="1"/>
  <c r="E44" i="84"/>
  <c r="C44" i="84"/>
  <c r="F44" i="84"/>
  <c r="D37" i="83"/>
  <c r="D14" i="79"/>
  <c r="C27" i="79"/>
  <c r="C30" i="79" s="1"/>
  <c r="F52" i="79"/>
  <c r="E45" i="79"/>
  <c r="F42" i="79"/>
  <c r="D13" i="79"/>
  <c r="C24" i="78"/>
  <c r="C27" i="78" s="1"/>
  <c r="F50" i="79"/>
  <c r="E50" i="79"/>
  <c r="B27" i="78"/>
  <c r="D24" i="78"/>
  <c r="B42" i="78"/>
  <c r="D39" i="78"/>
  <c r="B25" i="78"/>
  <c r="D23" i="78"/>
  <c r="D14" i="78"/>
  <c r="D37" i="78"/>
  <c r="D9" i="79"/>
  <c r="D19" i="79"/>
  <c r="F39" i="79"/>
  <c r="B43" i="79"/>
  <c r="D43" i="79"/>
  <c r="F46" i="79"/>
  <c r="F45" i="79"/>
  <c r="B36" i="76"/>
  <c r="B33" i="76"/>
  <c r="B21" i="77"/>
  <c r="B20" i="77"/>
  <c r="F55" i="77"/>
  <c r="E55" i="77"/>
  <c r="C55" i="77"/>
  <c r="F53" i="77"/>
  <c r="E53" i="77"/>
  <c r="C53" i="77"/>
  <c r="F52" i="77"/>
  <c r="E52" i="77"/>
  <c r="C52" i="77"/>
  <c r="D50" i="77"/>
  <c r="E50" i="77" s="1"/>
  <c r="F49" i="77"/>
  <c r="E49" i="77"/>
  <c r="C49" i="77"/>
  <c r="F48" i="77"/>
  <c r="E48" i="77"/>
  <c r="C48" i="77"/>
  <c r="F47" i="77"/>
  <c r="E47" i="77"/>
  <c r="C47" i="77"/>
  <c r="F46" i="77"/>
  <c r="E46" i="77"/>
  <c r="C46" i="77"/>
  <c r="F45" i="77"/>
  <c r="E45" i="77"/>
  <c r="C45" i="77"/>
  <c r="F44" i="77"/>
  <c r="E44" i="77"/>
  <c r="C44" i="77"/>
  <c r="D42" i="77"/>
  <c r="E42" i="77" s="1"/>
  <c r="F41" i="77"/>
  <c r="E41" i="77"/>
  <c r="C41" i="77"/>
  <c r="F40" i="77"/>
  <c r="E40" i="77"/>
  <c r="C40" i="77"/>
  <c r="D39" i="77"/>
  <c r="E39" i="77" s="1"/>
  <c r="C39" i="77"/>
  <c r="F38" i="77"/>
  <c r="E38" i="77"/>
  <c r="C38" i="77"/>
  <c r="F37" i="77"/>
  <c r="D29" i="77"/>
  <c r="D28" i="77"/>
  <c r="B27" i="77"/>
  <c r="B30" i="77" s="1"/>
  <c r="D26" i="77"/>
  <c r="D25" i="77"/>
  <c r="D24" i="77"/>
  <c r="D23" i="77"/>
  <c r="D22" i="77"/>
  <c r="D21" i="77"/>
  <c r="D20" i="77"/>
  <c r="C27" i="77"/>
  <c r="D19" i="77"/>
  <c r="C16" i="77"/>
  <c r="B16" i="77"/>
  <c r="D15" i="77"/>
  <c r="D14" i="77"/>
  <c r="D13" i="77"/>
  <c r="D12" i="77"/>
  <c r="D11" i="77"/>
  <c r="D10" i="77"/>
  <c r="D9" i="77"/>
  <c r="D8" i="77"/>
  <c r="D7" i="77"/>
  <c r="B12" i="76"/>
  <c r="B14" i="76" s="1"/>
  <c r="D43" i="76"/>
  <c r="D41" i="76"/>
  <c r="D40" i="76"/>
  <c r="D38" i="76"/>
  <c r="C37" i="76"/>
  <c r="C39" i="76" s="1"/>
  <c r="C42" i="76" s="1"/>
  <c r="C44" i="76" s="1"/>
  <c r="D36" i="76"/>
  <c r="D35" i="76"/>
  <c r="D34" i="76"/>
  <c r="D33" i="76"/>
  <c r="C23" i="76"/>
  <c r="B23" i="76"/>
  <c r="D22" i="76"/>
  <c r="D21" i="76"/>
  <c r="D20" i="76"/>
  <c r="D19" i="76"/>
  <c r="D18" i="76"/>
  <c r="D17" i="76"/>
  <c r="D13" i="76"/>
  <c r="D12" i="76"/>
  <c r="D11" i="76"/>
  <c r="D10" i="76"/>
  <c r="D9" i="76"/>
  <c r="D8" i="76"/>
  <c r="D7" i="76"/>
  <c r="C26" i="74"/>
  <c r="C13" i="75"/>
  <c r="D16" i="77" l="1"/>
  <c r="B37" i="76"/>
  <c r="B39" i="76" s="1"/>
  <c r="D30" i="79"/>
  <c r="B24" i="76"/>
  <c r="B25" i="76" s="1"/>
  <c r="C25" i="78"/>
  <c r="D25" i="78" s="1"/>
  <c r="D42" i="83"/>
  <c r="D40" i="83"/>
  <c r="C55" i="84"/>
  <c r="C52" i="84"/>
  <c r="F52" i="84"/>
  <c r="D55" i="84"/>
  <c r="E52" i="84"/>
  <c r="D27" i="79"/>
  <c r="E43" i="79"/>
  <c r="D51" i="79"/>
  <c r="F43" i="79"/>
  <c r="C43" i="79"/>
  <c r="B51" i="79"/>
  <c r="B44" i="78"/>
  <c r="D44" i="78" s="1"/>
  <c r="D42" i="78"/>
  <c r="F50" i="77"/>
  <c r="F42" i="77"/>
  <c r="C50" i="77"/>
  <c r="C42" i="77"/>
  <c r="C30" i="77"/>
  <c r="D30" i="77" s="1"/>
  <c r="D27" i="77"/>
  <c r="F39" i="77"/>
  <c r="D43" i="77"/>
  <c r="D39" i="76"/>
  <c r="B42" i="76"/>
  <c r="D23" i="76"/>
  <c r="C14" i="76"/>
  <c r="C24" i="76" s="1"/>
  <c r="C27" i="76" s="1"/>
  <c r="D37" i="76"/>
  <c r="B50" i="75"/>
  <c r="C50" i="75" s="1"/>
  <c r="B42" i="75"/>
  <c r="C42" i="75" s="1"/>
  <c r="B39" i="75"/>
  <c r="B43" i="75" s="1"/>
  <c r="B51" i="75" s="1"/>
  <c r="B54" i="75" s="1"/>
  <c r="B27" i="75"/>
  <c r="B30" i="75" s="1"/>
  <c r="B16" i="75"/>
  <c r="B36" i="74"/>
  <c r="B38" i="74" s="1"/>
  <c r="B41" i="74" s="1"/>
  <c r="B43" i="74" s="1"/>
  <c r="B26" i="74"/>
  <c r="B22" i="74"/>
  <c r="B24" i="74" s="1"/>
  <c r="B13" i="74"/>
  <c r="F55" i="75"/>
  <c r="E55" i="75"/>
  <c r="C55" i="75"/>
  <c r="F53" i="75"/>
  <c r="E53" i="75"/>
  <c r="C53" i="75"/>
  <c r="F52" i="75"/>
  <c r="E52" i="75"/>
  <c r="C52" i="75"/>
  <c r="D50" i="75"/>
  <c r="E50" i="75" s="1"/>
  <c r="F49" i="75"/>
  <c r="E49" i="75"/>
  <c r="C49" i="75"/>
  <c r="F48" i="75"/>
  <c r="E48" i="75"/>
  <c r="C48" i="75"/>
  <c r="F47" i="75"/>
  <c r="E47" i="75"/>
  <c r="C47" i="75"/>
  <c r="F46" i="75"/>
  <c r="E46" i="75"/>
  <c r="C46" i="75"/>
  <c r="F45" i="75"/>
  <c r="E45" i="75"/>
  <c r="C45" i="75"/>
  <c r="F44" i="75"/>
  <c r="E44" i="75"/>
  <c r="C44" i="75"/>
  <c r="D42" i="75"/>
  <c r="E42" i="75" s="1"/>
  <c r="F41" i="75"/>
  <c r="E41" i="75"/>
  <c r="C41" i="75"/>
  <c r="F40" i="75"/>
  <c r="E40" i="75"/>
  <c r="C40" i="75"/>
  <c r="D39" i="75"/>
  <c r="E39" i="75" s="1"/>
  <c r="F38" i="75"/>
  <c r="E38" i="75"/>
  <c r="C38" i="75"/>
  <c r="F37" i="75"/>
  <c r="D29" i="75"/>
  <c r="D28" i="75"/>
  <c r="C27" i="75"/>
  <c r="C30" i="75" s="1"/>
  <c r="D26" i="75"/>
  <c r="D25" i="75"/>
  <c r="D24" i="75"/>
  <c r="D23" i="75"/>
  <c r="D22" i="75"/>
  <c r="D21" i="75"/>
  <c r="D20" i="75"/>
  <c r="D19" i="75"/>
  <c r="C16" i="75"/>
  <c r="D15" i="75"/>
  <c r="D14" i="75"/>
  <c r="D13" i="75"/>
  <c r="D12" i="75"/>
  <c r="D11" i="75"/>
  <c r="D10" i="75"/>
  <c r="D9" i="75"/>
  <c r="D8" i="75"/>
  <c r="D7" i="75"/>
  <c r="D42" i="74"/>
  <c r="D40" i="74"/>
  <c r="D39" i="74"/>
  <c r="D37" i="74"/>
  <c r="C36" i="74"/>
  <c r="C38" i="74" s="1"/>
  <c r="C41" i="74" s="1"/>
  <c r="C43" i="74" s="1"/>
  <c r="D35" i="74"/>
  <c r="D34" i="74"/>
  <c r="D33" i="74"/>
  <c r="D32" i="74"/>
  <c r="D23" i="74"/>
  <c r="C22" i="74"/>
  <c r="C24" i="74" s="1"/>
  <c r="D21" i="74"/>
  <c r="D20" i="74"/>
  <c r="D19" i="74"/>
  <c r="D18" i="74"/>
  <c r="D17" i="74"/>
  <c r="D16" i="74"/>
  <c r="D12" i="74"/>
  <c r="D11" i="74"/>
  <c r="C13" i="74"/>
  <c r="D10" i="74"/>
  <c r="D9" i="74"/>
  <c r="D8" i="74"/>
  <c r="D7" i="74"/>
  <c r="C39" i="72"/>
  <c r="D16" i="75" l="1"/>
  <c r="C39" i="75"/>
  <c r="B27" i="76"/>
  <c r="F42" i="75"/>
  <c r="F50" i="75"/>
  <c r="F55" i="84"/>
  <c r="E55" i="84"/>
  <c r="B54" i="79"/>
  <c r="C54" i="79" s="1"/>
  <c r="C51" i="79"/>
  <c r="D54" i="79"/>
  <c r="E51" i="79"/>
  <c r="F51" i="79"/>
  <c r="C43" i="77"/>
  <c r="F43" i="77"/>
  <c r="E43" i="77"/>
  <c r="D51" i="77"/>
  <c r="B44" i="76"/>
  <c r="D44" i="76" s="1"/>
  <c r="D42" i="76"/>
  <c r="C25" i="76"/>
  <c r="D25" i="76" s="1"/>
  <c r="D24" i="76"/>
  <c r="D14" i="76"/>
  <c r="D13" i="74"/>
  <c r="D38" i="74"/>
  <c r="D24" i="74"/>
  <c r="D30" i="75"/>
  <c r="D36" i="74"/>
  <c r="D27" i="75"/>
  <c r="F39" i="75"/>
  <c r="D43" i="75"/>
  <c r="D22" i="74"/>
  <c r="B47" i="73"/>
  <c r="C47" i="73" s="1"/>
  <c r="B45" i="73"/>
  <c r="B42" i="73"/>
  <c r="C42" i="73" s="1"/>
  <c r="B39" i="73"/>
  <c r="B27" i="73"/>
  <c r="B30" i="73" s="1"/>
  <c r="B16" i="73"/>
  <c r="B34" i="72"/>
  <c r="B35" i="72" s="1"/>
  <c r="B37" i="72" s="1"/>
  <c r="B40" i="72" s="1"/>
  <c r="B42" i="72" s="1"/>
  <c r="B21" i="72"/>
  <c r="B23" i="72" s="1"/>
  <c r="B10" i="72"/>
  <c r="B12" i="72" s="1"/>
  <c r="F55" i="73"/>
  <c r="E55" i="73"/>
  <c r="C55" i="73"/>
  <c r="F53" i="73"/>
  <c r="E53" i="73"/>
  <c r="C53" i="73"/>
  <c r="F52" i="73"/>
  <c r="E52" i="73"/>
  <c r="C52" i="73"/>
  <c r="F49" i="73"/>
  <c r="E49" i="73"/>
  <c r="C49" i="73"/>
  <c r="F48" i="73"/>
  <c r="E48" i="73"/>
  <c r="C48" i="73"/>
  <c r="E47" i="73"/>
  <c r="F46" i="73"/>
  <c r="E46" i="73"/>
  <c r="C46" i="73"/>
  <c r="D50" i="73"/>
  <c r="E50" i="73" s="1"/>
  <c r="F44" i="73"/>
  <c r="E44" i="73"/>
  <c r="C44" i="73"/>
  <c r="D42" i="73"/>
  <c r="E42" i="73" s="1"/>
  <c r="F41" i="73"/>
  <c r="E41" i="73"/>
  <c r="C41" i="73"/>
  <c r="F40" i="73"/>
  <c r="E40" i="73"/>
  <c r="C40" i="73"/>
  <c r="D39" i="73"/>
  <c r="E39" i="73" s="1"/>
  <c r="C39" i="73"/>
  <c r="F38" i="73"/>
  <c r="E38" i="73"/>
  <c r="C38" i="73"/>
  <c r="F37" i="73"/>
  <c r="D29" i="73"/>
  <c r="D28" i="73"/>
  <c r="C27" i="73"/>
  <c r="C30" i="73" s="1"/>
  <c r="D26" i="73"/>
  <c r="D25" i="73"/>
  <c r="D24" i="73"/>
  <c r="D23" i="73"/>
  <c r="D22" i="73"/>
  <c r="D21" i="73"/>
  <c r="D20" i="73"/>
  <c r="D19" i="73"/>
  <c r="C16" i="73"/>
  <c r="D16" i="73" s="1"/>
  <c r="D15" i="73"/>
  <c r="D14" i="73"/>
  <c r="D13" i="73"/>
  <c r="D12" i="73"/>
  <c r="D11" i="73"/>
  <c r="D10" i="73"/>
  <c r="D9" i="73"/>
  <c r="D8" i="73"/>
  <c r="D7" i="73"/>
  <c r="D41" i="72"/>
  <c r="D39" i="72"/>
  <c r="D38" i="72"/>
  <c r="D36" i="72"/>
  <c r="C35" i="72"/>
  <c r="C37" i="72" s="1"/>
  <c r="C40" i="72" s="1"/>
  <c r="C42" i="72" s="1"/>
  <c r="D34" i="72"/>
  <c r="D33" i="72"/>
  <c r="D32" i="72"/>
  <c r="D31" i="72"/>
  <c r="C25" i="72"/>
  <c r="B25" i="72"/>
  <c r="D22" i="72"/>
  <c r="C21" i="72"/>
  <c r="C23" i="72" s="1"/>
  <c r="D20" i="72"/>
  <c r="D19" i="72"/>
  <c r="D18" i="72"/>
  <c r="D17" i="72"/>
  <c r="D16" i="72"/>
  <c r="D15" i="72"/>
  <c r="D11" i="72"/>
  <c r="D9" i="72"/>
  <c r="D8" i="72"/>
  <c r="C24" i="65"/>
  <c r="C23" i="65"/>
  <c r="C21" i="65"/>
  <c r="C19" i="65"/>
  <c r="C14" i="65"/>
  <c r="C13" i="65"/>
  <c r="C9" i="65"/>
  <c r="B24" i="65"/>
  <c r="B23" i="65"/>
  <c r="B21" i="65"/>
  <c r="B19" i="65"/>
  <c r="B14" i="65"/>
  <c r="B13" i="65"/>
  <c r="B9" i="65"/>
  <c r="E24" i="65"/>
  <c r="E23" i="65"/>
  <c r="E21" i="65"/>
  <c r="E19" i="65"/>
  <c r="E14" i="65"/>
  <c r="E13" i="65"/>
  <c r="E9" i="65"/>
  <c r="D46" i="65"/>
  <c r="F46" i="65" s="1"/>
  <c r="D45" i="65"/>
  <c r="D52" i="65"/>
  <c r="F52" i="65" s="1"/>
  <c r="B39" i="65"/>
  <c r="C39" i="65" s="1"/>
  <c r="B42" i="65"/>
  <c r="B44" i="65"/>
  <c r="B45" i="65"/>
  <c r="B46" i="65"/>
  <c r="B47" i="65"/>
  <c r="C47" i="65" s="1"/>
  <c r="B52" i="65"/>
  <c r="F55" i="65"/>
  <c r="E55" i="65"/>
  <c r="C55" i="65"/>
  <c r="D39" i="65"/>
  <c r="F39" i="65" s="1"/>
  <c r="D42" i="65"/>
  <c r="D43" i="65" s="1"/>
  <c r="E43" i="65" s="1"/>
  <c r="F53" i="65"/>
  <c r="E53" i="65"/>
  <c r="C53" i="65"/>
  <c r="E52" i="65"/>
  <c r="C52" i="65"/>
  <c r="F49" i="65"/>
  <c r="E49" i="65"/>
  <c r="C49" i="65"/>
  <c r="F48" i="65"/>
  <c r="E48" i="65"/>
  <c r="C48" i="65"/>
  <c r="E47" i="65"/>
  <c r="E46" i="65"/>
  <c r="C46" i="65"/>
  <c r="E45" i="65"/>
  <c r="F44" i="65"/>
  <c r="E44" i="65"/>
  <c r="C44" i="65"/>
  <c r="F42" i="65"/>
  <c r="C42" i="65"/>
  <c r="F41" i="65"/>
  <c r="E41" i="65"/>
  <c r="C41" i="65"/>
  <c r="F40" i="65"/>
  <c r="E40" i="65"/>
  <c r="C40" i="65"/>
  <c r="E39" i="65"/>
  <c r="F38" i="65"/>
  <c r="E38" i="65"/>
  <c r="C38" i="65"/>
  <c r="F37" i="65"/>
  <c r="E37" i="65"/>
  <c r="C37" i="65"/>
  <c r="D29" i="65"/>
  <c r="D28" i="65"/>
  <c r="D26" i="65"/>
  <c r="D25" i="65"/>
  <c r="D24" i="65"/>
  <c r="D23" i="65"/>
  <c r="D22" i="65"/>
  <c r="D20" i="65"/>
  <c r="D19" i="65"/>
  <c r="D15" i="65"/>
  <c r="D13" i="65"/>
  <c r="D12" i="65"/>
  <c r="D11" i="65"/>
  <c r="D10" i="65"/>
  <c r="D9" i="65"/>
  <c r="D8" i="65"/>
  <c r="D7" i="65"/>
  <c r="D43" i="71"/>
  <c r="D41" i="71"/>
  <c r="D40" i="71"/>
  <c r="D38" i="71"/>
  <c r="C37" i="71"/>
  <c r="C39" i="71"/>
  <c r="C42" i="71" s="1"/>
  <c r="B37" i="71"/>
  <c r="B39" i="71"/>
  <c r="D39" i="71" s="1"/>
  <c r="D36" i="71"/>
  <c r="D35" i="71"/>
  <c r="D34" i="71"/>
  <c r="D33" i="71"/>
  <c r="C23" i="71"/>
  <c r="B23" i="71"/>
  <c r="D22" i="71"/>
  <c r="D21" i="71"/>
  <c r="D20" i="71"/>
  <c r="D19" i="71"/>
  <c r="D18" i="71"/>
  <c r="D17" i="71"/>
  <c r="B14" i="71"/>
  <c r="B24" i="71"/>
  <c r="D13" i="71"/>
  <c r="C14" i="71"/>
  <c r="C24" i="71" s="1"/>
  <c r="D11" i="71"/>
  <c r="D10" i="71"/>
  <c r="D9" i="71"/>
  <c r="D8" i="71"/>
  <c r="D7" i="71"/>
  <c r="B27" i="71"/>
  <c r="B25" i="71"/>
  <c r="D12" i="71"/>
  <c r="D23" i="71"/>
  <c r="D37" i="71"/>
  <c r="C21" i="70"/>
  <c r="C20" i="70"/>
  <c r="F55" i="67"/>
  <c r="E55" i="67"/>
  <c r="C55" i="67"/>
  <c r="F53" i="67"/>
  <c r="E53" i="67"/>
  <c r="C53" i="67"/>
  <c r="F52" i="67"/>
  <c r="E52" i="67"/>
  <c r="C52" i="67"/>
  <c r="D50" i="67"/>
  <c r="E50" i="67"/>
  <c r="B50" i="67"/>
  <c r="F50" i="67"/>
  <c r="F49" i="67"/>
  <c r="E49" i="67"/>
  <c r="C49" i="67"/>
  <c r="F48" i="67"/>
  <c r="E48" i="67"/>
  <c r="C48" i="67"/>
  <c r="F47" i="67"/>
  <c r="E47" i="67"/>
  <c r="C47" i="67"/>
  <c r="F46" i="67"/>
  <c r="E46" i="67"/>
  <c r="C46" i="67"/>
  <c r="F45" i="67"/>
  <c r="E45" i="67"/>
  <c r="C45" i="67"/>
  <c r="F44" i="67"/>
  <c r="E44" i="67"/>
  <c r="C44" i="67"/>
  <c r="D42" i="67"/>
  <c r="E42" i="67"/>
  <c r="B42" i="67"/>
  <c r="F42" i="67"/>
  <c r="F41" i="67"/>
  <c r="E41" i="67"/>
  <c r="C41" i="67"/>
  <c r="F40" i="67"/>
  <c r="E40" i="67"/>
  <c r="C40" i="67"/>
  <c r="D39" i="67"/>
  <c r="D43" i="67" s="1"/>
  <c r="E39" i="67"/>
  <c r="B39" i="67"/>
  <c r="C39" i="67" s="1"/>
  <c r="B43" i="67"/>
  <c r="B51" i="67" s="1"/>
  <c r="B54" i="67" s="1"/>
  <c r="C54" i="67" s="1"/>
  <c r="F38" i="67"/>
  <c r="E38" i="67"/>
  <c r="C38" i="67"/>
  <c r="F37" i="67"/>
  <c r="D29" i="67"/>
  <c r="D28" i="67"/>
  <c r="C27" i="67"/>
  <c r="C30" i="67"/>
  <c r="B27" i="67"/>
  <c r="B30" i="67"/>
  <c r="D26" i="67"/>
  <c r="D25" i="67"/>
  <c r="D24" i="67"/>
  <c r="D23" i="67"/>
  <c r="D22" i="67"/>
  <c r="D21" i="67"/>
  <c r="D20" i="67"/>
  <c r="D19" i="67"/>
  <c r="C16" i="67"/>
  <c r="B16" i="67"/>
  <c r="D15" i="67"/>
  <c r="D14" i="67"/>
  <c r="D13" i="67"/>
  <c r="D12" i="67"/>
  <c r="D11" i="67"/>
  <c r="D10" i="67"/>
  <c r="D9" i="67"/>
  <c r="D8" i="67"/>
  <c r="D7" i="67"/>
  <c r="D42" i="66"/>
  <c r="D40" i="66"/>
  <c r="D39" i="66"/>
  <c r="D37" i="66"/>
  <c r="C36" i="66"/>
  <c r="C38" i="66" s="1"/>
  <c r="C41" i="66" s="1"/>
  <c r="C43" i="66" s="1"/>
  <c r="B36" i="66"/>
  <c r="B38" i="66" s="1"/>
  <c r="D35" i="66"/>
  <c r="D34" i="66"/>
  <c r="D33" i="66"/>
  <c r="D32" i="66"/>
  <c r="C26" i="66"/>
  <c r="B26" i="66"/>
  <c r="D23" i="66"/>
  <c r="C22" i="66"/>
  <c r="C24" i="66" s="1"/>
  <c r="B22" i="66"/>
  <c r="B24" i="66" s="1"/>
  <c r="D21" i="66"/>
  <c r="D20" i="66"/>
  <c r="D19" i="66"/>
  <c r="D18" i="66"/>
  <c r="D17" i="66"/>
  <c r="D16" i="66"/>
  <c r="B13" i="66"/>
  <c r="D12" i="66"/>
  <c r="C11" i="66"/>
  <c r="D11" i="66" s="1"/>
  <c r="D10" i="66"/>
  <c r="D9" i="66"/>
  <c r="D8" i="66"/>
  <c r="D7" i="66"/>
  <c r="C43" i="67"/>
  <c r="D27" i="67"/>
  <c r="F39" i="67"/>
  <c r="C42" i="67"/>
  <c r="C50" i="67"/>
  <c r="C13" i="66"/>
  <c r="D13" i="66" s="1"/>
  <c r="D36" i="66"/>
  <c r="F55" i="70"/>
  <c r="E55" i="70"/>
  <c r="C55" i="70"/>
  <c r="F53" i="70"/>
  <c r="E53" i="70"/>
  <c r="C53" i="70"/>
  <c r="F52" i="70"/>
  <c r="E52" i="70"/>
  <c r="C52" i="70"/>
  <c r="B50" i="70"/>
  <c r="C50" i="70" s="1"/>
  <c r="F49" i="70"/>
  <c r="E49" i="70"/>
  <c r="C49" i="70"/>
  <c r="F48" i="70"/>
  <c r="E48" i="70"/>
  <c r="C48" i="70"/>
  <c r="C47" i="70"/>
  <c r="F46" i="70"/>
  <c r="E46" i="70"/>
  <c r="C46" i="70"/>
  <c r="E45" i="70"/>
  <c r="C45" i="70"/>
  <c r="F44" i="70"/>
  <c r="E44" i="70"/>
  <c r="C44" i="70"/>
  <c r="D42" i="70"/>
  <c r="E42" i="70" s="1"/>
  <c r="B42" i="70"/>
  <c r="F41" i="70"/>
  <c r="E41" i="70"/>
  <c r="C41" i="70"/>
  <c r="F40" i="70"/>
  <c r="E40" i="70"/>
  <c r="C40" i="70"/>
  <c r="D39" i="70"/>
  <c r="E39" i="70" s="1"/>
  <c r="B39" i="70"/>
  <c r="C39" i="70" s="1"/>
  <c r="F38" i="70"/>
  <c r="E38" i="70"/>
  <c r="C38" i="70"/>
  <c r="F37" i="70"/>
  <c r="D29" i="70"/>
  <c r="D28" i="70"/>
  <c r="C27" i="70"/>
  <c r="C30" i="70" s="1"/>
  <c r="B27" i="70"/>
  <c r="B30" i="70" s="1"/>
  <c r="D26" i="70"/>
  <c r="D25" i="70"/>
  <c r="D24" i="70"/>
  <c r="D23" i="70"/>
  <c r="D22" i="70"/>
  <c r="D21" i="70"/>
  <c r="D20" i="70"/>
  <c r="D19" i="70"/>
  <c r="C16" i="70"/>
  <c r="B16" i="70"/>
  <c r="D15" i="70"/>
  <c r="D14" i="70"/>
  <c r="D13" i="70"/>
  <c r="D12" i="70"/>
  <c r="D11" i="70"/>
  <c r="D10" i="70"/>
  <c r="D9" i="70"/>
  <c r="D8" i="70"/>
  <c r="D7" i="70"/>
  <c r="B37" i="68"/>
  <c r="B39" i="68" s="1"/>
  <c r="D33" i="68"/>
  <c r="C23" i="68"/>
  <c r="B14" i="68"/>
  <c r="D11" i="68"/>
  <c r="D43" i="68"/>
  <c r="D41" i="68"/>
  <c r="D40" i="68"/>
  <c r="D38" i="68"/>
  <c r="C37" i="68"/>
  <c r="C39" i="68" s="1"/>
  <c r="C42" i="68" s="1"/>
  <c r="C44" i="68" s="1"/>
  <c r="D35" i="68"/>
  <c r="D34" i="68"/>
  <c r="B23" i="68"/>
  <c r="B24" i="68" s="1"/>
  <c r="D22" i="68"/>
  <c r="D21" i="68"/>
  <c r="D20" i="68"/>
  <c r="D19" i="68"/>
  <c r="D18" i="68"/>
  <c r="D17" i="68"/>
  <c r="D13" i="68"/>
  <c r="C12" i="68"/>
  <c r="C14" i="68" s="1"/>
  <c r="D10" i="68"/>
  <c r="D9" i="68"/>
  <c r="D8" i="68"/>
  <c r="D7" i="68"/>
  <c r="F53" i="64"/>
  <c r="F52" i="64"/>
  <c r="F49" i="64"/>
  <c r="F48" i="64"/>
  <c r="F46" i="64"/>
  <c r="F44" i="64"/>
  <c r="F41" i="64"/>
  <c r="F40" i="64"/>
  <c r="F38" i="64"/>
  <c r="F37" i="64"/>
  <c r="D47" i="64"/>
  <c r="E47" i="64" s="1"/>
  <c r="B47" i="64"/>
  <c r="D45" i="64"/>
  <c r="E45" i="64" s="1"/>
  <c r="B45" i="64"/>
  <c r="B27" i="64"/>
  <c r="B30" i="64" s="1"/>
  <c r="C27" i="64"/>
  <c r="B42" i="64"/>
  <c r="B39" i="64"/>
  <c r="B43" i="64"/>
  <c r="B16" i="64"/>
  <c r="D41" i="63"/>
  <c r="D39" i="63"/>
  <c r="D38" i="63"/>
  <c r="D36" i="63"/>
  <c r="D33" i="63"/>
  <c r="D32" i="63"/>
  <c r="C34" i="63"/>
  <c r="C10" i="63"/>
  <c r="B34" i="63"/>
  <c r="D34" i="63" s="1"/>
  <c r="B7" i="63"/>
  <c r="B31" i="63"/>
  <c r="D31" i="63" s="1"/>
  <c r="B25" i="63"/>
  <c r="B21" i="63"/>
  <c r="B23" i="63" s="1"/>
  <c r="B12" i="63"/>
  <c r="F55" i="64"/>
  <c r="E55" i="64"/>
  <c r="C55" i="64"/>
  <c r="E53" i="64"/>
  <c r="C53" i="64"/>
  <c r="E52" i="64"/>
  <c r="C52" i="64"/>
  <c r="D50" i="64"/>
  <c r="E49" i="64"/>
  <c r="C49" i="64"/>
  <c r="E48" i="64"/>
  <c r="C48" i="64"/>
  <c r="C47" i="64"/>
  <c r="E46" i="64"/>
  <c r="C46" i="64"/>
  <c r="C45" i="64"/>
  <c r="E44" i="64"/>
  <c r="C44" i="64"/>
  <c r="D42" i="64"/>
  <c r="C42" i="64"/>
  <c r="E41" i="64"/>
  <c r="C41" i="64"/>
  <c r="E40" i="64"/>
  <c r="C40" i="64"/>
  <c r="D39" i="64"/>
  <c r="E39" i="64" s="1"/>
  <c r="C39" i="64"/>
  <c r="E38" i="64"/>
  <c r="C38" i="64"/>
  <c r="C30" i="64"/>
  <c r="D29" i="64"/>
  <c r="D28" i="64"/>
  <c r="D27" i="64"/>
  <c r="D26" i="64"/>
  <c r="D25" i="64"/>
  <c r="D24" i="64"/>
  <c r="D23" i="64"/>
  <c r="D22" i="64"/>
  <c r="D21" i="64"/>
  <c r="D20" i="64"/>
  <c r="D19" i="64"/>
  <c r="C16" i="64"/>
  <c r="D16" i="64"/>
  <c r="D15" i="64"/>
  <c r="D14" i="64"/>
  <c r="D13" i="64"/>
  <c r="D12" i="64"/>
  <c r="D11" i="64"/>
  <c r="D10" i="64"/>
  <c r="D9" i="64"/>
  <c r="D8" i="64"/>
  <c r="D7" i="64"/>
  <c r="C25" i="63"/>
  <c r="D22" i="63"/>
  <c r="C21" i="63"/>
  <c r="C23" i="63" s="1"/>
  <c r="D20" i="63"/>
  <c r="D19" i="63"/>
  <c r="D18" i="63"/>
  <c r="D17" i="63"/>
  <c r="D16" i="63"/>
  <c r="D15" i="63"/>
  <c r="C12" i="63"/>
  <c r="D11" i="63"/>
  <c r="D10" i="63"/>
  <c r="D9" i="63"/>
  <c r="D8" i="63"/>
  <c r="D7" i="63"/>
  <c r="D46" i="60"/>
  <c r="D45" i="60"/>
  <c r="D44" i="60"/>
  <c r="C34" i="61"/>
  <c r="C35" i="61" s="1"/>
  <c r="B34" i="61"/>
  <c r="B35" i="61"/>
  <c r="B37" i="61" s="1"/>
  <c r="C17" i="61"/>
  <c r="B21" i="61"/>
  <c r="B23" i="61" s="1"/>
  <c r="D20" i="61"/>
  <c r="C11" i="61"/>
  <c r="B11" i="61"/>
  <c r="C9" i="61"/>
  <c r="C13" i="61" s="1"/>
  <c r="B9" i="61"/>
  <c r="D52" i="60"/>
  <c r="F52" i="60" s="1"/>
  <c r="D47" i="60"/>
  <c r="B50" i="60"/>
  <c r="C50" i="60" s="1"/>
  <c r="B42" i="60"/>
  <c r="B39" i="60"/>
  <c r="B43" i="60" s="1"/>
  <c r="C23" i="60"/>
  <c r="C24" i="60"/>
  <c r="C21" i="60"/>
  <c r="B27" i="60"/>
  <c r="B30" i="60" s="1"/>
  <c r="C19" i="60"/>
  <c r="C9" i="60"/>
  <c r="B14" i="60"/>
  <c r="C14" i="60"/>
  <c r="C13" i="60"/>
  <c r="B13" i="60"/>
  <c r="B9" i="60"/>
  <c r="B7" i="60"/>
  <c r="D41" i="61"/>
  <c r="D39" i="61"/>
  <c r="D38" i="61"/>
  <c r="D36" i="61"/>
  <c r="D33" i="61"/>
  <c r="D32" i="61"/>
  <c r="C25" i="61"/>
  <c r="B25" i="61"/>
  <c r="D22" i="61"/>
  <c r="C21" i="61"/>
  <c r="C23" i="61"/>
  <c r="D19" i="61"/>
  <c r="D18" i="61"/>
  <c r="D17" i="61"/>
  <c r="D16" i="61"/>
  <c r="D12" i="61"/>
  <c r="B13" i="61"/>
  <c r="D10" i="61"/>
  <c r="D9" i="61"/>
  <c r="D8" i="61"/>
  <c r="D7" i="61"/>
  <c r="F55" i="60"/>
  <c r="E55" i="60"/>
  <c r="C55" i="60"/>
  <c r="F53" i="60"/>
  <c r="E53" i="60"/>
  <c r="C53" i="60"/>
  <c r="E52" i="60"/>
  <c r="C52" i="60"/>
  <c r="D50" i="60"/>
  <c r="F50" i="60" s="1"/>
  <c r="F49" i="60"/>
  <c r="E49" i="60"/>
  <c r="C49" i="60"/>
  <c r="F48" i="60"/>
  <c r="E48" i="60"/>
  <c r="C48" i="60"/>
  <c r="F47" i="60"/>
  <c r="E47" i="60"/>
  <c r="C47" i="60"/>
  <c r="F46" i="60"/>
  <c r="E46" i="60"/>
  <c r="C46" i="60"/>
  <c r="F45" i="60"/>
  <c r="E45" i="60"/>
  <c r="C45" i="60"/>
  <c r="F44" i="60"/>
  <c r="E44" i="60"/>
  <c r="C44" i="60"/>
  <c r="D42" i="60"/>
  <c r="F42" i="60" s="1"/>
  <c r="C42" i="60"/>
  <c r="F41" i="60"/>
  <c r="E41" i="60"/>
  <c r="C41" i="60"/>
  <c r="F40" i="60"/>
  <c r="E40" i="60"/>
  <c r="C40" i="60"/>
  <c r="D39" i="60"/>
  <c r="D43" i="60" s="1"/>
  <c r="F38" i="60"/>
  <c r="E38" i="60"/>
  <c r="C38" i="60"/>
  <c r="F37" i="60"/>
  <c r="E37" i="60"/>
  <c r="C37" i="60"/>
  <c r="D29" i="60"/>
  <c r="D28" i="60"/>
  <c r="D26" i="60"/>
  <c r="D25" i="60"/>
  <c r="D24" i="60"/>
  <c r="D23" i="60"/>
  <c r="D22" i="60"/>
  <c r="D21" i="60"/>
  <c r="D20" i="60"/>
  <c r="C16" i="60"/>
  <c r="B16" i="60"/>
  <c r="D15" i="60"/>
  <c r="D14" i="60"/>
  <c r="D13" i="60"/>
  <c r="D12" i="60"/>
  <c r="D11" i="60"/>
  <c r="D10" i="60"/>
  <c r="D9" i="60"/>
  <c r="D8" i="60"/>
  <c r="D7" i="60"/>
  <c r="B55" i="59"/>
  <c r="D16" i="52"/>
  <c r="B47" i="47"/>
  <c r="C47" i="59"/>
  <c r="C46" i="59"/>
  <c r="C45" i="59"/>
  <c r="D33" i="50"/>
  <c r="D34" i="50"/>
  <c r="D37" i="50"/>
  <c r="D39" i="50"/>
  <c r="D40" i="50"/>
  <c r="D42" i="50"/>
  <c r="D25" i="55"/>
  <c r="D10" i="58"/>
  <c r="C38" i="58"/>
  <c r="C37" i="58"/>
  <c r="B38" i="58"/>
  <c r="B37" i="58"/>
  <c r="D41" i="54"/>
  <c r="D39" i="54"/>
  <c r="D36" i="54"/>
  <c r="D34" i="54"/>
  <c r="D33" i="54"/>
  <c r="D32" i="54"/>
  <c r="D41" i="56"/>
  <c r="D39" i="56"/>
  <c r="D36" i="56"/>
  <c r="D34" i="56"/>
  <c r="D33" i="56"/>
  <c r="D32" i="56"/>
  <c r="D31" i="56"/>
  <c r="D31" i="54"/>
  <c r="D41" i="53"/>
  <c r="D39" i="53"/>
  <c r="D36" i="53"/>
  <c r="D34" i="53"/>
  <c r="D33" i="53"/>
  <c r="D32" i="53"/>
  <c r="D15" i="53"/>
  <c r="D31" i="53"/>
  <c r="C11" i="52"/>
  <c r="B11" i="52"/>
  <c r="C10" i="52"/>
  <c r="D10" i="52" s="1"/>
  <c r="B10" i="52"/>
  <c r="D11" i="52"/>
  <c r="D50" i="47"/>
  <c r="D41" i="51"/>
  <c r="D39" i="51"/>
  <c r="D38" i="51"/>
  <c r="D36" i="51"/>
  <c r="D33" i="51"/>
  <c r="D32" i="51"/>
  <c r="D33" i="49"/>
  <c r="D34" i="49"/>
  <c r="D37" i="49"/>
  <c r="D39" i="49"/>
  <c r="D40" i="49"/>
  <c r="D42" i="49"/>
  <c r="D10" i="49"/>
  <c r="D10" i="50"/>
  <c r="F46" i="46"/>
  <c r="F45" i="46"/>
  <c r="C46" i="46"/>
  <c r="C45" i="46"/>
  <c r="D40" i="58"/>
  <c r="D38" i="58"/>
  <c r="D37" i="58"/>
  <c r="D35" i="58"/>
  <c r="D32" i="58"/>
  <c r="D31" i="58"/>
  <c r="D30" i="58"/>
  <c r="D41" i="52"/>
  <c r="D39" i="52"/>
  <c r="D33" i="52"/>
  <c r="D32" i="52"/>
  <c r="D39" i="59"/>
  <c r="F39" i="59" s="1"/>
  <c r="B39" i="59"/>
  <c r="B43" i="59" s="1"/>
  <c r="D42" i="59"/>
  <c r="F42" i="59" s="1"/>
  <c r="B42" i="59"/>
  <c r="D50" i="59"/>
  <c r="B50" i="59"/>
  <c r="C50" i="59"/>
  <c r="C33" i="58"/>
  <c r="C34" i="58" s="1"/>
  <c r="B33" i="58"/>
  <c r="B34" i="58"/>
  <c r="B16" i="58"/>
  <c r="B20" i="58"/>
  <c r="B22" i="58" s="1"/>
  <c r="B9" i="58"/>
  <c r="C16" i="58"/>
  <c r="C20" i="58" s="1"/>
  <c r="C9" i="58"/>
  <c r="C13" i="58" s="1"/>
  <c r="C24" i="58"/>
  <c r="B24" i="58"/>
  <c r="D21" i="58"/>
  <c r="D19" i="58"/>
  <c r="D18" i="58"/>
  <c r="D17" i="58"/>
  <c r="D12" i="58"/>
  <c r="D11" i="58"/>
  <c r="B13" i="58"/>
  <c r="D8" i="58"/>
  <c r="D7" i="58"/>
  <c r="C27" i="59"/>
  <c r="F55" i="59"/>
  <c r="E55" i="59"/>
  <c r="C55" i="59"/>
  <c r="F53" i="59"/>
  <c r="E53" i="59"/>
  <c r="C53" i="59"/>
  <c r="F52" i="59"/>
  <c r="E52" i="59"/>
  <c r="C52" i="59"/>
  <c r="F49" i="59"/>
  <c r="E49" i="59"/>
  <c r="C49" i="59"/>
  <c r="F48" i="59"/>
  <c r="E48" i="59"/>
  <c r="C48" i="59"/>
  <c r="F46" i="59"/>
  <c r="E46" i="59"/>
  <c r="F45" i="59"/>
  <c r="E45" i="59"/>
  <c r="F44" i="59"/>
  <c r="E44" i="59"/>
  <c r="C44" i="59"/>
  <c r="E42" i="59"/>
  <c r="C42" i="59"/>
  <c r="F41" i="59"/>
  <c r="E41" i="59"/>
  <c r="C41" i="59"/>
  <c r="F40" i="59"/>
  <c r="E40" i="59"/>
  <c r="C40" i="59"/>
  <c r="C39" i="59"/>
  <c r="F38" i="59"/>
  <c r="E38" i="59"/>
  <c r="C38" i="59"/>
  <c r="F37" i="59"/>
  <c r="C30" i="59"/>
  <c r="D29" i="59"/>
  <c r="D28" i="59"/>
  <c r="B27" i="59"/>
  <c r="B30" i="59" s="1"/>
  <c r="D30" i="59" s="1"/>
  <c r="D26" i="59"/>
  <c r="D25" i="59"/>
  <c r="D24" i="59"/>
  <c r="D23" i="59"/>
  <c r="D22" i="59"/>
  <c r="D21" i="59"/>
  <c r="D20" i="59"/>
  <c r="D19" i="59"/>
  <c r="C16" i="59"/>
  <c r="B16" i="59"/>
  <c r="D15" i="59"/>
  <c r="D14" i="59"/>
  <c r="D13" i="59"/>
  <c r="D12" i="59"/>
  <c r="D11" i="59"/>
  <c r="D10" i="59"/>
  <c r="D9" i="59"/>
  <c r="D8" i="59"/>
  <c r="D7" i="59"/>
  <c r="D31" i="52"/>
  <c r="D36" i="52"/>
  <c r="D38" i="52"/>
  <c r="B34" i="52"/>
  <c r="C34" i="52"/>
  <c r="D34" i="52" s="1"/>
  <c r="C25" i="52"/>
  <c r="B25" i="52"/>
  <c r="B17" i="52"/>
  <c r="C17" i="52"/>
  <c r="C21" i="52" s="1"/>
  <c r="B9" i="52"/>
  <c r="C9" i="52"/>
  <c r="C35" i="50"/>
  <c r="D50" i="57"/>
  <c r="D39" i="57"/>
  <c r="B47" i="57"/>
  <c r="F55" i="57"/>
  <c r="E55" i="57"/>
  <c r="C55" i="57"/>
  <c r="F53" i="57"/>
  <c r="E53" i="57"/>
  <c r="C53" i="57"/>
  <c r="F52" i="57"/>
  <c r="E52" i="57"/>
  <c r="C52" i="57"/>
  <c r="F49" i="57"/>
  <c r="E49" i="57"/>
  <c r="C49" i="57"/>
  <c r="F48" i="57"/>
  <c r="E48" i="57"/>
  <c r="C48" i="57"/>
  <c r="E47" i="57"/>
  <c r="B50" i="57"/>
  <c r="C50" i="57" s="1"/>
  <c r="F46" i="57"/>
  <c r="E46" i="57"/>
  <c r="C46" i="57"/>
  <c r="F45" i="57"/>
  <c r="E45" i="57"/>
  <c r="C45" i="57"/>
  <c r="F44" i="57"/>
  <c r="E44" i="57"/>
  <c r="C44" i="57"/>
  <c r="D42" i="57"/>
  <c r="E42" i="57" s="1"/>
  <c r="B42" i="57"/>
  <c r="C42" i="57" s="1"/>
  <c r="F41" i="57"/>
  <c r="E41" i="57"/>
  <c r="C41" i="57"/>
  <c r="F40" i="57"/>
  <c r="E40" i="57"/>
  <c r="C40" i="57"/>
  <c r="B39" i="57"/>
  <c r="B43" i="57" s="1"/>
  <c r="F38" i="57"/>
  <c r="E38" i="57"/>
  <c r="C38" i="57"/>
  <c r="F37" i="57"/>
  <c r="D29" i="57"/>
  <c r="D28" i="57"/>
  <c r="C27" i="57"/>
  <c r="C30" i="57" s="1"/>
  <c r="B27" i="57"/>
  <c r="D26" i="57"/>
  <c r="D25" i="57"/>
  <c r="D24" i="57"/>
  <c r="D23" i="57"/>
  <c r="D22" i="57"/>
  <c r="D21" i="57"/>
  <c r="D20" i="57"/>
  <c r="D19" i="57"/>
  <c r="C16" i="57"/>
  <c r="B16" i="57"/>
  <c r="D15" i="57"/>
  <c r="D14" i="57"/>
  <c r="D13" i="57"/>
  <c r="D12" i="57"/>
  <c r="D11" i="57"/>
  <c r="D10" i="57"/>
  <c r="D9" i="57"/>
  <c r="D8" i="57"/>
  <c r="D7" i="57"/>
  <c r="B38" i="56"/>
  <c r="D38" i="56" s="1"/>
  <c r="C35" i="56"/>
  <c r="C37" i="56" s="1"/>
  <c r="B35" i="56"/>
  <c r="B37" i="56"/>
  <c r="C25" i="56"/>
  <c r="B25" i="56"/>
  <c r="D22" i="56"/>
  <c r="C21" i="56"/>
  <c r="C23" i="56" s="1"/>
  <c r="B21" i="56"/>
  <c r="B23" i="56" s="1"/>
  <c r="D20" i="56"/>
  <c r="D19" i="56"/>
  <c r="D18" i="56"/>
  <c r="D17" i="56"/>
  <c r="D16" i="56"/>
  <c r="D15" i="56"/>
  <c r="C12" i="56"/>
  <c r="B12" i="56"/>
  <c r="D11" i="56"/>
  <c r="D10" i="56"/>
  <c r="D9" i="56"/>
  <c r="D8" i="56"/>
  <c r="D7" i="56"/>
  <c r="B47" i="55"/>
  <c r="B50" i="55"/>
  <c r="C50" i="55" s="1"/>
  <c r="F55" i="55"/>
  <c r="E55" i="55"/>
  <c r="C55" i="55"/>
  <c r="F53" i="55"/>
  <c r="E53" i="55"/>
  <c r="C53" i="55"/>
  <c r="F52" i="55"/>
  <c r="E52" i="55"/>
  <c r="C52" i="55"/>
  <c r="D50" i="55"/>
  <c r="E50" i="55" s="1"/>
  <c r="F49" i="55"/>
  <c r="E49" i="55"/>
  <c r="C49" i="55"/>
  <c r="F48" i="55"/>
  <c r="E48" i="55"/>
  <c r="C48" i="55"/>
  <c r="F47" i="55"/>
  <c r="E47" i="55"/>
  <c r="C47" i="55"/>
  <c r="F46" i="55"/>
  <c r="E46" i="55"/>
  <c r="C46" i="55"/>
  <c r="F45" i="55"/>
  <c r="E45" i="55"/>
  <c r="C45" i="55"/>
  <c r="F44" i="55"/>
  <c r="E44" i="55"/>
  <c r="C44" i="55"/>
  <c r="D42" i="55"/>
  <c r="E42" i="55" s="1"/>
  <c r="B42" i="55"/>
  <c r="C42" i="55" s="1"/>
  <c r="F41" i="55"/>
  <c r="E41" i="55"/>
  <c r="C41" i="55"/>
  <c r="F40" i="55"/>
  <c r="E40" i="55"/>
  <c r="C40" i="55"/>
  <c r="D39" i="55"/>
  <c r="D43" i="55" s="1"/>
  <c r="B39" i="55"/>
  <c r="B43" i="55" s="1"/>
  <c r="F38" i="55"/>
  <c r="E38" i="55"/>
  <c r="C38" i="55"/>
  <c r="F37" i="55"/>
  <c r="D29" i="55"/>
  <c r="D28" i="55"/>
  <c r="C27" i="55"/>
  <c r="C30" i="55" s="1"/>
  <c r="B27" i="55"/>
  <c r="B30" i="55" s="1"/>
  <c r="D26" i="55"/>
  <c r="D24" i="55"/>
  <c r="D23" i="55"/>
  <c r="D22" i="55"/>
  <c r="D21" i="55"/>
  <c r="D20" i="55"/>
  <c r="D19" i="55"/>
  <c r="C16" i="55"/>
  <c r="B16" i="55"/>
  <c r="D15" i="55"/>
  <c r="D14" i="55"/>
  <c r="D13" i="55"/>
  <c r="D12" i="55"/>
  <c r="D11" i="55"/>
  <c r="D10" i="55"/>
  <c r="D9" i="55"/>
  <c r="D8" i="55"/>
  <c r="D7" i="55"/>
  <c r="B38" i="54"/>
  <c r="D38" i="54" s="1"/>
  <c r="C35" i="54"/>
  <c r="C37" i="54" s="1"/>
  <c r="B35" i="54"/>
  <c r="C25" i="54"/>
  <c r="B25" i="54"/>
  <c r="D22" i="54"/>
  <c r="C21" i="54"/>
  <c r="C23" i="54" s="1"/>
  <c r="B21" i="54"/>
  <c r="B23" i="54" s="1"/>
  <c r="D23" i="54" s="1"/>
  <c r="D20" i="54"/>
  <c r="D19" i="54"/>
  <c r="D18" i="54"/>
  <c r="D17" i="54"/>
  <c r="D16" i="54"/>
  <c r="D15" i="54"/>
  <c r="C12" i="54"/>
  <c r="B12" i="54"/>
  <c r="D11" i="54"/>
  <c r="D10" i="54"/>
  <c r="D9" i="54"/>
  <c r="D8" i="54"/>
  <c r="D7" i="54"/>
  <c r="B47" i="48"/>
  <c r="B50" i="48" s="1"/>
  <c r="B38" i="53"/>
  <c r="D38" i="53" s="1"/>
  <c r="C25" i="53"/>
  <c r="B25" i="53"/>
  <c r="D22" i="53"/>
  <c r="C21" i="53"/>
  <c r="C23" i="53" s="1"/>
  <c r="B21" i="53"/>
  <c r="B23" i="53" s="1"/>
  <c r="D23" i="53" s="1"/>
  <c r="D20" i="53"/>
  <c r="D19" i="53"/>
  <c r="D18" i="53"/>
  <c r="D17" i="53"/>
  <c r="D16" i="53"/>
  <c r="D11" i="53"/>
  <c r="C12" i="53"/>
  <c r="B12" i="53"/>
  <c r="D12" i="53" s="1"/>
  <c r="D9" i="53"/>
  <c r="D8" i="53"/>
  <c r="D7" i="53"/>
  <c r="E37" i="46"/>
  <c r="C37" i="46"/>
  <c r="C44" i="46"/>
  <c r="C41" i="46"/>
  <c r="C40" i="46"/>
  <c r="C38" i="46"/>
  <c r="D22" i="52"/>
  <c r="B21" i="52"/>
  <c r="B23" i="52" s="1"/>
  <c r="D20" i="52"/>
  <c r="D19" i="52"/>
  <c r="D18" i="52"/>
  <c r="D17" i="52"/>
  <c r="D12" i="52"/>
  <c r="C13" i="52"/>
  <c r="B13" i="52"/>
  <c r="D9" i="52"/>
  <c r="D8" i="52"/>
  <c r="D7" i="52"/>
  <c r="F55" i="46"/>
  <c r="E55" i="46"/>
  <c r="C55" i="46"/>
  <c r="F53" i="46"/>
  <c r="E53" i="46"/>
  <c r="C53" i="46"/>
  <c r="F52" i="46"/>
  <c r="E52" i="46"/>
  <c r="C52" i="46"/>
  <c r="D50" i="46"/>
  <c r="E50" i="46" s="1"/>
  <c r="B50" i="46"/>
  <c r="C50" i="46" s="1"/>
  <c r="F49" i="46"/>
  <c r="E49" i="46"/>
  <c r="C49" i="46"/>
  <c r="F48" i="46"/>
  <c r="E48" i="46"/>
  <c r="C48" i="46"/>
  <c r="F47" i="46"/>
  <c r="E47" i="46"/>
  <c r="C47" i="46"/>
  <c r="E46" i="46"/>
  <c r="E45" i="46"/>
  <c r="F44" i="46"/>
  <c r="E44" i="46"/>
  <c r="D42" i="46"/>
  <c r="E42" i="46" s="1"/>
  <c r="B42" i="46"/>
  <c r="C42" i="46" s="1"/>
  <c r="F41" i="46"/>
  <c r="E41" i="46"/>
  <c r="F40" i="46"/>
  <c r="E40" i="46"/>
  <c r="D39" i="46"/>
  <c r="E39" i="46" s="1"/>
  <c r="B39" i="46"/>
  <c r="C39" i="46" s="1"/>
  <c r="F38" i="46"/>
  <c r="E38" i="46"/>
  <c r="F37" i="46"/>
  <c r="D29" i="46"/>
  <c r="D28" i="46"/>
  <c r="C27" i="46"/>
  <c r="C30" i="46" s="1"/>
  <c r="B27" i="46"/>
  <c r="B30" i="46" s="1"/>
  <c r="D26" i="46"/>
  <c r="D25" i="46"/>
  <c r="D24" i="46"/>
  <c r="D23" i="46"/>
  <c r="D22" i="46"/>
  <c r="D21" i="46"/>
  <c r="D20" i="46"/>
  <c r="D19" i="46"/>
  <c r="C16" i="46"/>
  <c r="B16" i="46"/>
  <c r="D15" i="46"/>
  <c r="D14" i="46"/>
  <c r="D13" i="46"/>
  <c r="D12" i="46"/>
  <c r="D11" i="46"/>
  <c r="D10" i="46"/>
  <c r="D9" i="46"/>
  <c r="D8" i="46"/>
  <c r="D7" i="46"/>
  <c r="C32" i="50"/>
  <c r="D32" i="50" s="1"/>
  <c r="B32" i="50"/>
  <c r="C11" i="50"/>
  <c r="B11" i="50"/>
  <c r="B13" i="50" s="1"/>
  <c r="B32" i="49"/>
  <c r="D32" i="49" s="1"/>
  <c r="C11" i="49"/>
  <c r="B11" i="49"/>
  <c r="D11" i="49"/>
  <c r="F53" i="45"/>
  <c r="F52" i="45"/>
  <c r="F49" i="45"/>
  <c r="F48" i="45"/>
  <c r="F47" i="45"/>
  <c r="F46" i="45"/>
  <c r="F45" i="45"/>
  <c r="F44" i="45"/>
  <c r="F41" i="45"/>
  <c r="F40" i="45"/>
  <c r="F38" i="45"/>
  <c r="F37" i="45"/>
  <c r="C31" i="51"/>
  <c r="D31" i="51"/>
  <c r="B12" i="51"/>
  <c r="D7" i="51"/>
  <c r="D8" i="51"/>
  <c r="D9" i="51"/>
  <c r="D10" i="51"/>
  <c r="D11" i="51"/>
  <c r="C12" i="51"/>
  <c r="D12" i="51"/>
  <c r="D15" i="51"/>
  <c r="D16" i="51"/>
  <c r="D17" i="51"/>
  <c r="D18" i="51"/>
  <c r="D19" i="51"/>
  <c r="D20" i="51"/>
  <c r="B21" i="51"/>
  <c r="B23" i="51"/>
  <c r="C21" i="51"/>
  <c r="C23" i="51" s="1"/>
  <c r="D22" i="51"/>
  <c r="B25" i="51"/>
  <c r="C25" i="51"/>
  <c r="C34" i="51"/>
  <c r="D34" i="51" s="1"/>
  <c r="B35" i="51"/>
  <c r="B37" i="51" s="1"/>
  <c r="D7" i="49"/>
  <c r="D8" i="49"/>
  <c r="D9" i="49"/>
  <c r="D12" i="49"/>
  <c r="B13" i="49"/>
  <c r="C13" i="49"/>
  <c r="D16" i="49"/>
  <c r="D17" i="49"/>
  <c r="D18" i="49"/>
  <c r="D19" i="49"/>
  <c r="D20" i="49"/>
  <c r="D21" i="49"/>
  <c r="B22" i="49"/>
  <c r="C22" i="49"/>
  <c r="C24" i="49" s="1"/>
  <c r="D23" i="49"/>
  <c r="B24" i="49"/>
  <c r="B26" i="49"/>
  <c r="C26" i="49"/>
  <c r="B35" i="49"/>
  <c r="C35" i="49"/>
  <c r="C36" i="49"/>
  <c r="C38" i="49" s="1"/>
  <c r="D7" i="50"/>
  <c r="D8" i="50"/>
  <c r="D9" i="50"/>
  <c r="D12" i="50"/>
  <c r="C13" i="50"/>
  <c r="D16" i="50"/>
  <c r="D17" i="50"/>
  <c r="D18" i="50"/>
  <c r="D19" i="50"/>
  <c r="D20" i="50"/>
  <c r="D21" i="50"/>
  <c r="B22" i="50"/>
  <c r="B24" i="50" s="1"/>
  <c r="C22" i="50"/>
  <c r="C24" i="50" s="1"/>
  <c r="D23" i="50"/>
  <c r="B26" i="50"/>
  <c r="C26" i="50"/>
  <c r="B35" i="50"/>
  <c r="D35" i="50"/>
  <c r="D7" i="43"/>
  <c r="D8" i="43"/>
  <c r="D9" i="43"/>
  <c r="D10" i="43"/>
  <c r="D11" i="43"/>
  <c r="D12" i="43"/>
  <c r="D13" i="43"/>
  <c r="D14" i="43"/>
  <c r="D15" i="43"/>
  <c r="B16" i="43"/>
  <c r="D16" i="43" s="1"/>
  <c r="C16" i="43"/>
  <c r="D19" i="43"/>
  <c r="D20" i="43"/>
  <c r="D21" i="43"/>
  <c r="D22" i="43"/>
  <c r="D23" i="43"/>
  <c r="D24" i="43"/>
  <c r="D25" i="43"/>
  <c r="D26" i="43"/>
  <c r="B27" i="43"/>
  <c r="B30" i="43" s="1"/>
  <c r="C27" i="43"/>
  <c r="D28" i="43"/>
  <c r="D29" i="43"/>
  <c r="C30" i="43"/>
  <c r="F37" i="43"/>
  <c r="C38" i="43"/>
  <c r="E38" i="43"/>
  <c r="F38" i="43"/>
  <c r="B39" i="43"/>
  <c r="C39" i="43" s="1"/>
  <c r="D39" i="43"/>
  <c r="F39" i="43" s="1"/>
  <c r="C40" i="43"/>
  <c r="E40" i="43"/>
  <c r="F40" i="43"/>
  <c r="C41" i="43"/>
  <c r="E41" i="43"/>
  <c r="F41" i="43"/>
  <c r="B42" i="43"/>
  <c r="C42" i="43" s="1"/>
  <c r="D42" i="43"/>
  <c r="F42" i="43" s="1"/>
  <c r="C44" i="43"/>
  <c r="E44" i="43"/>
  <c r="F44" i="43"/>
  <c r="C45" i="43"/>
  <c r="E45" i="43"/>
  <c r="F45" i="43"/>
  <c r="C46" i="43"/>
  <c r="E46" i="43"/>
  <c r="F46" i="43"/>
  <c r="C47" i="43"/>
  <c r="E47" i="43"/>
  <c r="F47" i="43"/>
  <c r="C48" i="43"/>
  <c r="E48" i="43"/>
  <c r="F48" i="43"/>
  <c r="C49" i="43"/>
  <c r="E49" i="43"/>
  <c r="F49" i="43"/>
  <c r="B50" i="43"/>
  <c r="C50" i="43" s="1"/>
  <c r="D50" i="43"/>
  <c r="F50" i="43" s="1"/>
  <c r="C52" i="43"/>
  <c r="E52" i="43"/>
  <c r="F52" i="43"/>
  <c r="C53" i="43"/>
  <c r="E53" i="43"/>
  <c r="F53" i="43"/>
  <c r="C55" i="43"/>
  <c r="E55" i="43"/>
  <c r="F55" i="43"/>
  <c r="D7" i="45"/>
  <c r="D8" i="45"/>
  <c r="D9" i="45"/>
  <c r="D10" i="45"/>
  <c r="D11" i="45"/>
  <c r="D12" i="45"/>
  <c r="D13" i="45"/>
  <c r="D14" i="45"/>
  <c r="D15" i="45"/>
  <c r="B16" i="45"/>
  <c r="C16" i="45"/>
  <c r="D19" i="45"/>
  <c r="D20" i="45"/>
  <c r="D21" i="45"/>
  <c r="D22" i="45"/>
  <c r="D23" i="45"/>
  <c r="D24" i="45"/>
  <c r="D25" i="45"/>
  <c r="D26" i="45"/>
  <c r="D27" i="45"/>
  <c r="D28" i="45"/>
  <c r="D29" i="45"/>
  <c r="B30" i="45"/>
  <c r="C30" i="45"/>
  <c r="C38" i="45"/>
  <c r="E38" i="45"/>
  <c r="B39" i="45"/>
  <c r="C39" i="45" s="1"/>
  <c r="D39" i="45"/>
  <c r="C40" i="45"/>
  <c r="E40" i="45"/>
  <c r="C41" i="45"/>
  <c r="E41" i="45"/>
  <c r="B42" i="45"/>
  <c r="C42" i="45" s="1"/>
  <c r="D42" i="45"/>
  <c r="E42" i="45" s="1"/>
  <c r="C44" i="45"/>
  <c r="E44" i="45"/>
  <c r="C45" i="45"/>
  <c r="E45" i="45"/>
  <c r="C46" i="45"/>
  <c r="E46" i="45"/>
  <c r="C47" i="45"/>
  <c r="E47" i="45"/>
  <c r="C48" i="45"/>
  <c r="E48" i="45"/>
  <c r="C49" i="45"/>
  <c r="E49" i="45"/>
  <c r="B50" i="45"/>
  <c r="C50" i="45" s="1"/>
  <c r="D50" i="45"/>
  <c r="E50" i="45" s="1"/>
  <c r="C52" i="45"/>
  <c r="E52" i="45"/>
  <c r="C53" i="45"/>
  <c r="E53" i="45"/>
  <c r="C55" i="45"/>
  <c r="E55" i="45"/>
  <c r="F55" i="45"/>
  <c r="D7" i="47"/>
  <c r="D8" i="47"/>
  <c r="D9" i="47"/>
  <c r="D10" i="47"/>
  <c r="D11" i="47"/>
  <c r="D12" i="47"/>
  <c r="D13" i="47"/>
  <c r="D14" i="47"/>
  <c r="D15" i="47"/>
  <c r="B16" i="47"/>
  <c r="C16" i="47"/>
  <c r="D19" i="47"/>
  <c r="D20" i="47"/>
  <c r="D21" i="47"/>
  <c r="D22" i="47"/>
  <c r="D23" i="47"/>
  <c r="D24" i="47"/>
  <c r="D25" i="47"/>
  <c r="D26" i="47"/>
  <c r="B27" i="47"/>
  <c r="C27" i="47"/>
  <c r="D28" i="47"/>
  <c r="D29" i="47"/>
  <c r="B30" i="47"/>
  <c r="F37" i="47"/>
  <c r="C38" i="47"/>
  <c r="E38" i="47"/>
  <c r="F38" i="47"/>
  <c r="B39" i="47"/>
  <c r="C39" i="47" s="1"/>
  <c r="D39" i="47"/>
  <c r="F39" i="47" s="1"/>
  <c r="C40" i="47"/>
  <c r="E40" i="47"/>
  <c r="F40" i="47"/>
  <c r="C41" i="47"/>
  <c r="E41" i="47"/>
  <c r="F41" i="47"/>
  <c r="B42" i="47"/>
  <c r="C42" i="47" s="1"/>
  <c r="D42" i="47"/>
  <c r="E42" i="47"/>
  <c r="C44" i="47"/>
  <c r="E44" i="47"/>
  <c r="F44" i="47"/>
  <c r="C45" i="47"/>
  <c r="E45" i="47"/>
  <c r="F45" i="47"/>
  <c r="C46" i="47"/>
  <c r="E46" i="47"/>
  <c r="F46" i="47"/>
  <c r="C47" i="47"/>
  <c r="E47" i="47"/>
  <c r="F47" i="47"/>
  <c r="C48" i="47"/>
  <c r="E48" i="47"/>
  <c r="F48" i="47"/>
  <c r="C49" i="47"/>
  <c r="E49" i="47"/>
  <c r="F49" i="47"/>
  <c r="B50" i="47"/>
  <c r="C50" i="47" s="1"/>
  <c r="E50" i="47"/>
  <c r="C52" i="47"/>
  <c r="E52" i="47"/>
  <c r="F52" i="47"/>
  <c r="C53" i="47"/>
  <c r="E53" i="47"/>
  <c r="F53" i="47"/>
  <c r="C55" i="47"/>
  <c r="E55" i="47"/>
  <c r="F55" i="47"/>
  <c r="D7" i="48"/>
  <c r="D8" i="48"/>
  <c r="D9" i="48"/>
  <c r="D10" i="48"/>
  <c r="D11" i="48"/>
  <c r="D12" i="48"/>
  <c r="D13" i="48"/>
  <c r="D14" i="48"/>
  <c r="D15" i="48"/>
  <c r="B16" i="48"/>
  <c r="C16" i="48"/>
  <c r="D16" i="48" s="1"/>
  <c r="D19" i="48"/>
  <c r="D20" i="48"/>
  <c r="D21" i="48"/>
  <c r="D22" i="48"/>
  <c r="D23" i="48"/>
  <c r="D24" i="48"/>
  <c r="D25" i="48"/>
  <c r="D26" i="48"/>
  <c r="B27" i="48"/>
  <c r="B30" i="48" s="1"/>
  <c r="C27" i="48"/>
  <c r="D28" i="48"/>
  <c r="D29" i="48"/>
  <c r="F37" i="48"/>
  <c r="C38" i="48"/>
  <c r="E38" i="48"/>
  <c r="F38" i="48"/>
  <c r="B39" i="48"/>
  <c r="C39" i="48" s="1"/>
  <c r="D39" i="48"/>
  <c r="E39" i="48" s="1"/>
  <c r="C40" i="48"/>
  <c r="E40" i="48"/>
  <c r="F40" i="48"/>
  <c r="C41" i="48"/>
  <c r="E41" i="48"/>
  <c r="F41" i="48"/>
  <c r="B42" i="48"/>
  <c r="C42" i="48" s="1"/>
  <c r="D42" i="48"/>
  <c r="E42" i="48" s="1"/>
  <c r="C44" i="48"/>
  <c r="E44" i="48"/>
  <c r="F44" i="48"/>
  <c r="C45" i="48"/>
  <c r="E45" i="48"/>
  <c r="F45" i="48"/>
  <c r="C46" i="48"/>
  <c r="E46" i="48"/>
  <c r="F46" i="48"/>
  <c r="E47" i="48"/>
  <c r="C48" i="48"/>
  <c r="E48" i="48"/>
  <c r="F48" i="48"/>
  <c r="C49" i="48"/>
  <c r="E49" i="48"/>
  <c r="F49" i="48"/>
  <c r="D50" i="48"/>
  <c r="E50" i="48" s="1"/>
  <c r="C52" i="48"/>
  <c r="E52" i="48"/>
  <c r="F52" i="48"/>
  <c r="C53" i="48"/>
  <c r="E53" i="48"/>
  <c r="F53" i="48"/>
  <c r="C55" i="48"/>
  <c r="E55" i="48"/>
  <c r="F55" i="48"/>
  <c r="F42" i="57"/>
  <c r="D27" i="57"/>
  <c r="B30" i="57"/>
  <c r="C39" i="57"/>
  <c r="C47" i="57"/>
  <c r="F47" i="57"/>
  <c r="E50" i="57"/>
  <c r="B40" i="56"/>
  <c r="B42" i="56" s="1"/>
  <c r="D21" i="56"/>
  <c r="E39" i="55"/>
  <c r="C39" i="55"/>
  <c r="D16" i="55"/>
  <c r="D27" i="55"/>
  <c r="D12" i="54"/>
  <c r="D21" i="54"/>
  <c r="D43" i="48"/>
  <c r="E43" i="48" s="1"/>
  <c r="D27" i="48"/>
  <c r="C30" i="48"/>
  <c r="D30" i="48" s="1"/>
  <c r="D21" i="53"/>
  <c r="D10" i="53"/>
  <c r="B35" i="53"/>
  <c r="C35" i="53"/>
  <c r="F42" i="46"/>
  <c r="B35" i="52"/>
  <c r="B37" i="52" s="1"/>
  <c r="C35" i="52"/>
  <c r="D35" i="52" s="1"/>
  <c r="F39" i="46"/>
  <c r="B43" i="46"/>
  <c r="C43" i="46" s="1"/>
  <c r="D43" i="46"/>
  <c r="E43" i="46" s="1"/>
  <c r="D22" i="50"/>
  <c r="C36" i="50"/>
  <c r="B36" i="50"/>
  <c r="D36" i="50"/>
  <c r="B36" i="49"/>
  <c r="B38" i="49" s="1"/>
  <c r="B41" i="49" s="1"/>
  <c r="B43" i="49" s="1"/>
  <c r="D21" i="51"/>
  <c r="C37" i="53"/>
  <c r="C40" i="53" s="1"/>
  <c r="B37" i="53"/>
  <c r="B40" i="53" s="1"/>
  <c r="B42" i="53" s="1"/>
  <c r="C37" i="52"/>
  <c r="C40" i="52" s="1"/>
  <c r="F43" i="46"/>
  <c r="B38" i="50"/>
  <c r="B41" i="50"/>
  <c r="B43" i="50" s="1"/>
  <c r="D16" i="58"/>
  <c r="D9" i="58"/>
  <c r="E39" i="59"/>
  <c r="F50" i="59"/>
  <c r="E50" i="59"/>
  <c r="D27" i="59"/>
  <c r="F47" i="59"/>
  <c r="E47" i="59"/>
  <c r="D13" i="52"/>
  <c r="D43" i="47"/>
  <c r="D51" i="47" s="1"/>
  <c r="B43" i="47"/>
  <c r="D16" i="47"/>
  <c r="C30" i="47"/>
  <c r="D30" i="47"/>
  <c r="E43" i="47"/>
  <c r="D36" i="49"/>
  <c r="D33" i="58"/>
  <c r="D34" i="61"/>
  <c r="D16" i="60"/>
  <c r="D11" i="61"/>
  <c r="D21" i="61"/>
  <c r="D31" i="61"/>
  <c r="C39" i="60"/>
  <c r="E39" i="60"/>
  <c r="F39" i="60"/>
  <c r="E42" i="60"/>
  <c r="E50" i="60"/>
  <c r="D19" i="60"/>
  <c r="C27" i="60"/>
  <c r="C30" i="60" s="1"/>
  <c r="D27" i="60"/>
  <c r="E50" i="64"/>
  <c r="E42" i="64"/>
  <c r="D12" i="63"/>
  <c r="C35" i="63"/>
  <c r="C37" i="63" s="1"/>
  <c r="C40" i="63" s="1"/>
  <c r="C42" i="63" s="1"/>
  <c r="D43" i="64"/>
  <c r="F43" i="64" s="1"/>
  <c r="D21" i="63"/>
  <c r="B36" i="58"/>
  <c r="B39" i="58" s="1"/>
  <c r="B41" i="58" s="1"/>
  <c r="B43" i="58" s="1"/>
  <c r="C35" i="51"/>
  <c r="F50" i="47"/>
  <c r="F42" i="47"/>
  <c r="C38" i="50"/>
  <c r="D51" i="46"/>
  <c r="B51" i="46"/>
  <c r="D51" i="48"/>
  <c r="D27" i="46"/>
  <c r="F50" i="46"/>
  <c r="F39" i="48"/>
  <c r="F42" i="48"/>
  <c r="F39" i="55"/>
  <c r="F42" i="55"/>
  <c r="F50" i="55"/>
  <c r="F39" i="57"/>
  <c r="E39" i="57"/>
  <c r="F50" i="57"/>
  <c r="F47" i="48"/>
  <c r="C47" i="48"/>
  <c r="D43" i="45"/>
  <c r="F43" i="45" s="1"/>
  <c r="B43" i="45"/>
  <c r="B51" i="45" s="1"/>
  <c r="D11" i="50"/>
  <c r="D35" i="56"/>
  <c r="E43" i="64"/>
  <c r="D51" i="64"/>
  <c r="E51" i="64" s="1"/>
  <c r="C43" i="64"/>
  <c r="E51" i="48"/>
  <c r="D54" i="48"/>
  <c r="E51" i="46"/>
  <c r="D54" i="46"/>
  <c r="F51" i="46"/>
  <c r="C37" i="51"/>
  <c r="D35" i="51"/>
  <c r="C43" i="45"/>
  <c r="B54" i="46"/>
  <c r="C54" i="46" s="1"/>
  <c r="C51" i="46"/>
  <c r="C41" i="50"/>
  <c r="C43" i="50" s="1"/>
  <c r="D38" i="50"/>
  <c r="D54" i="64"/>
  <c r="E54" i="64" s="1"/>
  <c r="C40" i="51"/>
  <c r="E54" i="46"/>
  <c r="E54" i="48"/>
  <c r="C42" i="51"/>
  <c r="D12" i="68"/>
  <c r="D23" i="68"/>
  <c r="D36" i="68"/>
  <c r="D37" i="68"/>
  <c r="F42" i="70"/>
  <c r="C42" i="70"/>
  <c r="D16" i="70"/>
  <c r="D27" i="70"/>
  <c r="F39" i="70"/>
  <c r="B43" i="70"/>
  <c r="B51" i="70" s="1"/>
  <c r="D43" i="70"/>
  <c r="F45" i="70"/>
  <c r="E43" i="70"/>
  <c r="C43" i="70"/>
  <c r="F47" i="70"/>
  <c r="E47" i="70"/>
  <c r="D50" i="70"/>
  <c r="E50" i="70" s="1"/>
  <c r="B35" i="63"/>
  <c r="B37" i="63" s="1"/>
  <c r="D35" i="61" l="1"/>
  <c r="C37" i="61"/>
  <c r="C40" i="61" s="1"/>
  <c r="C42" i="61" s="1"/>
  <c r="C24" i="68"/>
  <c r="D14" i="68"/>
  <c r="C43" i="59"/>
  <c r="B51" i="59"/>
  <c r="D51" i="70"/>
  <c r="D54" i="70" s="1"/>
  <c r="F50" i="70"/>
  <c r="F43" i="70"/>
  <c r="F54" i="46"/>
  <c r="D51" i="45"/>
  <c r="D30" i="60"/>
  <c r="D35" i="53"/>
  <c r="B43" i="48"/>
  <c r="E39" i="47"/>
  <c r="D16" i="45"/>
  <c r="B43" i="43"/>
  <c r="C43" i="43" s="1"/>
  <c r="D35" i="54"/>
  <c r="D16" i="59"/>
  <c r="D13" i="58"/>
  <c r="F45" i="64"/>
  <c r="D22" i="66"/>
  <c r="D24" i="66"/>
  <c r="E42" i="65"/>
  <c r="F45" i="65"/>
  <c r="C16" i="65"/>
  <c r="D13" i="61"/>
  <c r="D21" i="65"/>
  <c r="D41" i="50"/>
  <c r="F43" i="47"/>
  <c r="D27" i="47"/>
  <c r="F39" i="45"/>
  <c r="D30" i="45"/>
  <c r="D27" i="43"/>
  <c r="D35" i="49"/>
  <c r="D22" i="49"/>
  <c r="D30" i="55"/>
  <c r="D12" i="56"/>
  <c r="D23" i="56"/>
  <c r="D16" i="57"/>
  <c r="F42" i="64"/>
  <c r="F47" i="64"/>
  <c r="B42" i="71"/>
  <c r="B44" i="71" s="1"/>
  <c r="E16" i="65"/>
  <c r="B16" i="65"/>
  <c r="D16" i="65" s="1"/>
  <c r="D10" i="72"/>
  <c r="D43" i="43"/>
  <c r="F43" i="43" s="1"/>
  <c r="D24" i="49"/>
  <c r="D13" i="50"/>
  <c r="D43" i="59"/>
  <c r="C27" i="65"/>
  <c r="C30" i="65" s="1"/>
  <c r="C42" i="52"/>
  <c r="F50" i="48"/>
  <c r="C50" i="48"/>
  <c r="C40" i="54"/>
  <c r="C40" i="56"/>
  <c r="D37" i="56"/>
  <c r="C22" i="58"/>
  <c r="D20" i="58"/>
  <c r="D37" i="52"/>
  <c r="B40" i="52"/>
  <c r="B42" i="52" s="1"/>
  <c r="B44" i="52" s="1"/>
  <c r="C42" i="53"/>
  <c r="D40" i="53"/>
  <c r="D21" i="52"/>
  <c r="C23" i="52"/>
  <c r="D23" i="52"/>
  <c r="D30" i="70"/>
  <c r="B51" i="57"/>
  <c r="C43" i="57"/>
  <c r="C36" i="58"/>
  <c r="D36" i="58" s="1"/>
  <c r="D34" i="58"/>
  <c r="E43" i="60"/>
  <c r="D51" i="60"/>
  <c r="E51" i="60" s="1"/>
  <c r="E43" i="45"/>
  <c r="D37" i="53"/>
  <c r="D30" i="43"/>
  <c r="D24" i="50"/>
  <c r="B37" i="54"/>
  <c r="B40" i="54" s="1"/>
  <c r="B42" i="54" s="1"/>
  <c r="D43" i="57"/>
  <c r="D16" i="67"/>
  <c r="B50" i="65"/>
  <c r="C50" i="65" s="1"/>
  <c r="D14" i="65"/>
  <c r="D43" i="50"/>
  <c r="D42" i="53"/>
  <c r="F42" i="45"/>
  <c r="E39" i="45"/>
  <c r="D23" i="51"/>
  <c r="D16" i="46"/>
  <c r="D30" i="57"/>
  <c r="D30" i="67"/>
  <c r="C43" i="47"/>
  <c r="B51" i="47"/>
  <c r="D23" i="61"/>
  <c r="D30" i="64"/>
  <c r="D23" i="63"/>
  <c r="E27" i="65"/>
  <c r="E30" i="65" s="1"/>
  <c r="B27" i="65"/>
  <c r="B30" i="65" s="1"/>
  <c r="F42" i="73"/>
  <c r="D35" i="63"/>
  <c r="D13" i="49"/>
  <c r="F51" i="70"/>
  <c r="C51" i="70"/>
  <c r="B54" i="70"/>
  <c r="C54" i="70" s="1"/>
  <c r="F51" i="47"/>
  <c r="E51" i="47"/>
  <c r="D54" i="47"/>
  <c r="C41" i="49"/>
  <c r="D38" i="49"/>
  <c r="C43" i="60"/>
  <c r="F43" i="60"/>
  <c r="B51" i="60"/>
  <c r="B40" i="61"/>
  <c r="D37" i="61"/>
  <c r="C44" i="71"/>
  <c r="D44" i="71" s="1"/>
  <c r="D42" i="71"/>
  <c r="F51" i="60"/>
  <c r="D24" i="71"/>
  <c r="B40" i="51"/>
  <c r="D37" i="51"/>
  <c r="E43" i="55"/>
  <c r="F43" i="55"/>
  <c r="D51" i="55"/>
  <c r="D51" i="67"/>
  <c r="E43" i="67"/>
  <c r="F43" i="67"/>
  <c r="D27" i="65"/>
  <c r="B40" i="63"/>
  <c r="D37" i="63"/>
  <c r="E54" i="70"/>
  <c r="F54" i="70"/>
  <c r="C44" i="61"/>
  <c r="C43" i="55"/>
  <c r="B51" i="55"/>
  <c r="C39" i="58"/>
  <c r="C27" i="71"/>
  <c r="C25" i="71"/>
  <c r="D25" i="71" s="1"/>
  <c r="D30" i="46"/>
  <c r="D22" i="58"/>
  <c r="F51" i="45"/>
  <c r="B54" i="45"/>
  <c r="C51" i="45"/>
  <c r="D24" i="68"/>
  <c r="B25" i="68"/>
  <c r="B27" i="68"/>
  <c r="B42" i="68"/>
  <c r="D39" i="68"/>
  <c r="B41" i="66"/>
  <c r="D38" i="66"/>
  <c r="E50" i="43"/>
  <c r="E42" i="43"/>
  <c r="B50" i="64"/>
  <c r="C51" i="67"/>
  <c r="D14" i="71"/>
  <c r="C45" i="65"/>
  <c r="F47" i="65"/>
  <c r="D50" i="65"/>
  <c r="B50" i="73"/>
  <c r="F50" i="73" s="1"/>
  <c r="E51" i="70"/>
  <c r="F50" i="45"/>
  <c r="E43" i="43"/>
  <c r="E39" i="43"/>
  <c r="F39" i="64"/>
  <c r="B43" i="65"/>
  <c r="F43" i="65" s="1"/>
  <c r="D54" i="60"/>
  <c r="B51" i="43"/>
  <c r="B43" i="73"/>
  <c r="F54" i="79"/>
  <c r="E54" i="79"/>
  <c r="D54" i="77"/>
  <c r="E51" i="77"/>
  <c r="C54" i="77"/>
  <c r="C51" i="77"/>
  <c r="F51" i="77"/>
  <c r="E43" i="75"/>
  <c r="D51" i="75"/>
  <c r="D43" i="74"/>
  <c r="D41" i="74"/>
  <c r="C43" i="75"/>
  <c r="F43" i="75"/>
  <c r="D37" i="72"/>
  <c r="C50" i="73"/>
  <c r="D30" i="73"/>
  <c r="D23" i="72"/>
  <c r="C12" i="72"/>
  <c r="D12" i="72" s="1"/>
  <c r="D21" i="72"/>
  <c r="D35" i="72"/>
  <c r="D27" i="73"/>
  <c r="F39" i="73"/>
  <c r="D43" i="73"/>
  <c r="F45" i="73"/>
  <c r="F47" i="73"/>
  <c r="D7" i="72"/>
  <c r="C45" i="73"/>
  <c r="E45" i="73"/>
  <c r="D30" i="65" l="1"/>
  <c r="E51" i="45"/>
  <c r="D54" i="45"/>
  <c r="E54" i="45" s="1"/>
  <c r="C27" i="68"/>
  <c r="C25" i="68"/>
  <c r="D25" i="68" s="1"/>
  <c r="D51" i="43"/>
  <c r="D51" i="59"/>
  <c r="E43" i="59"/>
  <c r="F43" i="59"/>
  <c r="B51" i="48"/>
  <c r="C43" i="48"/>
  <c r="F43" i="48"/>
  <c r="C51" i="59"/>
  <c r="B54" i="59"/>
  <c r="C54" i="59" s="1"/>
  <c r="B54" i="47"/>
  <c r="C54" i="47" s="1"/>
  <c r="C51" i="47"/>
  <c r="F43" i="57"/>
  <c r="D51" i="57"/>
  <c r="E43" i="57"/>
  <c r="D42" i="52"/>
  <c r="C44" i="52"/>
  <c r="D37" i="54"/>
  <c r="C51" i="57"/>
  <c r="B54" i="57"/>
  <c r="C54" i="57" s="1"/>
  <c r="D40" i="54"/>
  <c r="C42" i="54"/>
  <c r="D42" i="54" s="1"/>
  <c r="D40" i="52"/>
  <c r="D40" i="56"/>
  <c r="C42" i="56"/>
  <c r="D42" i="56" s="1"/>
  <c r="F50" i="65"/>
  <c r="E50" i="65"/>
  <c r="E54" i="60"/>
  <c r="B54" i="55"/>
  <c r="C54" i="55" s="1"/>
  <c r="C51" i="55"/>
  <c r="E51" i="67"/>
  <c r="D54" i="67"/>
  <c r="F51" i="67"/>
  <c r="D41" i="66"/>
  <c r="B43" i="66"/>
  <c r="D43" i="66" s="1"/>
  <c r="B42" i="63"/>
  <c r="D42" i="63" s="1"/>
  <c r="D40" i="63"/>
  <c r="E54" i="47"/>
  <c r="F54" i="47"/>
  <c r="C51" i="43"/>
  <c r="B54" i="43"/>
  <c r="C50" i="64"/>
  <c r="F50" i="64"/>
  <c r="B51" i="64"/>
  <c r="C54" i="45"/>
  <c r="F54" i="45"/>
  <c r="D39" i="58"/>
  <c r="C41" i="58"/>
  <c r="C51" i="60"/>
  <c r="B54" i="60"/>
  <c r="C54" i="60" s="1"/>
  <c r="C43" i="49"/>
  <c r="D43" i="49" s="1"/>
  <c r="D41" i="49"/>
  <c r="F51" i="43"/>
  <c r="B51" i="73"/>
  <c r="B54" i="73" s="1"/>
  <c r="D51" i="65"/>
  <c r="B51" i="65"/>
  <c r="C43" i="65"/>
  <c r="D42" i="68"/>
  <c r="B44" i="68"/>
  <c r="D44" i="68" s="1"/>
  <c r="F51" i="55"/>
  <c r="D54" i="55"/>
  <c r="E51" i="55"/>
  <c r="B42" i="51"/>
  <c r="D42" i="51" s="1"/>
  <c r="D40" i="51"/>
  <c r="B42" i="61"/>
  <c r="D40" i="61"/>
  <c r="F54" i="77"/>
  <c r="E54" i="77"/>
  <c r="C54" i="75"/>
  <c r="C51" i="75"/>
  <c r="F51" i="75"/>
  <c r="D54" i="75"/>
  <c r="E51" i="75"/>
  <c r="E43" i="73"/>
  <c r="D51" i="73"/>
  <c r="C43" i="73"/>
  <c r="F43" i="73"/>
  <c r="D42" i="72"/>
  <c r="D40" i="72"/>
  <c r="F51" i="59" l="1"/>
  <c r="E51" i="59"/>
  <c r="D54" i="59"/>
  <c r="B54" i="48"/>
  <c r="F51" i="48"/>
  <c r="C51" i="48"/>
  <c r="D54" i="43"/>
  <c r="E54" i="43" s="1"/>
  <c r="E51" i="43"/>
  <c r="E51" i="57"/>
  <c r="F51" i="57"/>
  <c r="D54" i="57"/>
  <c r="C51" i="65"/>
  <c r="B54" i="65"/>
  <c r="C54" i="65" s="1"/>
  <c r="C43" i="58"/>
  <c r="D43" i="58" s="1"/>
  <c r="D41" i="58"/>
  <c r="B54" i="64"/>
  <c r="F51" i="64"/>
  <c r="C51" i="64"/>
  <c r="F54" i="67"/>
  <c r="E54" i="67"/>
  <c r="B44" i="61"/>
  <c r="D42" i="61"/>
  <c r="E54" i="55"/>
  <c r="F54" i="55"/>
  <c r="C54" i="43"/>
  <c r="F54" i="43"/>
  <c r="F54" i="60"/>
  <c r="D54" i="65"/>
  <c r="E51" i="65"/>
  <c r="F51" i="65"/>
  <c r="F54" i="75"/>
  <c r="E54" i="75"/>
  <c r="C54" i="73"/>
  <c r="C51" i="73"/>
  <c r="F51" i="73"/>
  <c r="D54" i="73"/>
  <c r="E51" i="73"/>
  <c r="C54" i="48" l="1"/>
  <c r="F54" i="48"/>
  <c r="E54" i="59"/>
  <c r="F54" i="59"/>
  <c r="E54" i="57"/>
  <c r="F54" i="57"/>
  <c r="F54" i="65"/>
  <c r="E54" i="65"/>
  <c r="C54" i="64"/>
  <c r="F54" i="64"/>
  <c r="F54" i="73"/>
  <c r="E54" i="73"/>
</calcChain>
</file>

<file path=xl/comments1.xml><?xml version="1.0" encoding="utf-8"?>
<comments xmlns="http://schemas.openxmlformats.org/spreadsheetml/2006/main">
  <authors>
    <author>Gloria Marcela Velasquez Hernandez</author>
  </authors>
  <commentList>
    <comment ref="B38" authorId="0">
      <text>
        <r>
          <rPr>
            <b/>
            <sz val="8"/>
            <color indexed="81"/>
            <rFont val="Tahoma"/>
            <family val="2"/>
          </rPr>
          <t>Gloria Marcela Velasquez Hernandez:</t>
        </r>
        <r>
          <rPr>
            <sz val="8"/>
            <color indexed="81"/>
            <rFont val="Tahoma"/>
            <family val="2"/>
          </rPr>
          <t xml:space="preserve">
Contiene 520 de correccion monetaria</t>
        </r>
      </text>
    </comment>
  </commentList>
</comments>
</file>

<file path=xl/comments2.xml><?xml version="1.0" encoding="utf-8"?>
<comments xmlns="http://schemas.openxmlformats.org/spreadsheetml/2006/main">
  <authors>
    <author>Gloria Marcela Velasquez Hernandez</author>
  </authors>
  <commentList>
    <comment ref="B47" authorId="0">
      <text>
        <r>
          <rPr>
            <b/>
            <sz val="8"/>
            <color indexed="81"/>
            <rFont val="Tahoma"/>
            <family val="2"/>
          </rPr>
          <t>Gloria Marcela Velasquez Hernandez:</t>
        </r>
        <r>
          <rPr>
            <sz val="8"/>
            <color indexed="81"/>
            <rFont val="Tahoma"/>
            <family val="2"/>
          </rPr>
          <t xml:space="preserve">
Contiene -2.096 de correccion monetaria
</t>
        </r>
      </text>
    </comment>
  </commentList>
</comments>
</file>

<file path=xl/comments3.xml><?xml version="1.0" encoding="utf-8"?>
<comments xmlns="http://schemas.openxmlformats.org/spreadsheetml/2006/main">
  <authors>
    <author>Gloria Marcela Velasquez Hernandez</author>
  </authors>
  <commentList>
    <comment ref="B38" authorId="0">
      <text>
        <r>
          <rPr>
            <b/>
            <sz val="8"/>
            <color indexed="81"/>
            <rFont val="Tahoma"/>
            <family val="2"/>
          </rPr>
          <t>Gloria Marcela Velasquez Hernandez:</t>
        </r>
        <r>
          <rPr>
            <sz val="8"/>
            <color indexed="81"/>
            <rFont val="Tahoma"/>
            <family val="2"/>
          </rPr>
          <t xml:space="preserve">
Contiene 2.715 de correccion monetaria</t>
        </r>
      </text>
    </comment>
  </commentList>
</comments>
</file>

<file path=xl/comments4.xml><?xml version="1.0" encoding="utf-8"?>
<comments xmlns="http://schemas.openxmlformats.org/spreadsheetml/2006/main">
  <authors>
    <author>Gloria Marcela Velasquez Hernandez</author>
  </authors>
  <commentList>
    <comment ref="B47" authorId="0">
      <text>
        <r>
          <rPr>
            <b/>
            <sz val="8"/>
            <color indexed="81"/>
            <rFont val="Tahoma"/>
            <family val="2"/>
          </rPr>
          <t>Gloria Marcela Velasquez Hernandez:</t>
        </r>
        <r>
          <rPr>
            <sz val="8"/>
            <color indexed="81"/>
            <rFont val="Tahoma"/>
            <family val="2"/>
          </rPr>
          <t xml:space="preserve">
Contiene -3.100 de correccion monetaria
</t>
        </r>
      </text>
    </comment>
  </commentList>
</comments>
</file>

<file path=xl/comments5.xml><?xml version="1.0" encoding="utf-8"?>
<comments xmlns="http://schemas.openxmlformats.org/spreadsheetml/2006/main">
  <authors>
    <author>Gloria Marcela Velasquez Hernandez</author>
  </authors>
  <commentList>
    <comment ref="B38" authorId="0">
      <text>
        <r>
          <rPr>
            <b/>
            <sz val="8"/>
            <color indexed="81"/>
            <rFont val="Tahoma"/>
            <family val="2"/>
          </rPr>
          <t>Gloria Marcela Velasquez Hernandez:</t>
        </r>
        <r>
          <rPr>
            <sz val="8"/>
            <color indexed="81"/>
            <rFont val="Tahoma"/>
            <family val="2"/>
          </rPr>
          <t xml:space="preserve">
Contiene 4.234 de correccion monetaria</t>
        </r>
      </text>
    </comment>
  </commentList>
</comments>
</file>

<file path=xl/comments6.xml><?xml version="1.0" encoding="utf-8"?>
<comments xmlns="http://schemas.openxmlformats.org/spreadsheetml/2006/main">
  <authors>
    <author>Gloria Marcela Velasquez Hernandez</author>
  </authors>
  <commentList>
    <comment ref="B47" authorId="0">
      <text>
        <r>
          <rPr>
            <b/>
            <sz val="8"/>
            <color indexed="81"/>
            <rFont val="Tahoma"/>
            <family val="2"/>
          </rPr>
          <t>Gloria Marcela Velasquez Hernandez:</t>
        </r>
        <r>
          <rPr>
            <sz val="8"/>
            <color indexed="81"/>
            <rFont val="Tahoma"/>
            <family val="2"/>
          </rPr>
          <t xml:space="preserve">
Contiene 5.528 de correccion monetaria
</t>
        </r>
      </text>
    </comment>
  </commentList>
</comments>
</file>

<file path=xl/comments7.xml><?xml version="1.0" encoding="utf-8"?>
<comments xmlns="http://schemas.openxmlformats.org/spreadsheetml/2006/main">
  <authors>
    <author>SSkmunozm</author>
  </authors>
  <commentList>
    <comment ref="A77" authorId="0">
      <text>
        <r>
          <rPr>
            <b/>
            <sz val="9"/>
            <color indexed="81"/>
            <rFont val="Tahoma"/>
            <family val="2"/>
          </rPr>
          <t>SSkmunozm:</t>
        </r>
        <r>
          <rPr>
            <sz val="9"/>
            <color indexed="81"/>
            <rFont val="Tahoma"/>
            <family val="2"/>
          </rPr>
          <t xml:space="preserve">
Interés minoritario en el resultado del periodo</t>
        </r>
      </text>
    </comment>
  </commentList>
</comments>
</file>

<file path=xl/sharedStrings.xml><?xml version="1.0" encoding="utf-8"?>
<sst xmlns="http://schemas.openxmlformats.org/spreadsheetml/2006/main" count="3523" uniqueCount="165">
  <si>
    <t>Otros</t>
  </si>
  <si>
    <t>Utilidad Operativa</t>
  </si>
  <si>
    <t>Post Operativos Netos</t>
  </si>
  <si>
    <t>ESTADO DE RESULTADOS CONSOLIDADO</t>
  </si>
  <si>
    <t>Total Ingresos Operacionales</t>
  </si>
  <si>
    <t>Utilidad en realización de inversiones</t>
  </si>
  <si>
    <t>Utilidad Bruta</t>
  </si>
  <si>
    <t>Gastos de administración</t>
  </si>
  <si>
    <t>Gastos de venta</t>
  </si>
  <si>
    <t>Total Gastos Operacionales</t>
  </si>
  <si>
    <t>Ingresos no operacionales</t>
  </si>
  <si>
    <t>Gastos financieros</t>
  </si>
  <si>
    <t>Diferencia en cambio neta</t>
  </si>
  <si>
    <t>Gastos no operacionales</t>
  </si>
  <si>
    <t>Dividendos de portafolio</t>
  </si>
  <si>
    <t>Impuesto de renta</t>
  </si>
  <si>
    <t>Realización de inversiones</t>
  </si>
  <si>
    <t>UTILIDAD NETA</t>
  </si>
  <si>
    <t>Interés minoritario</t>
  </si>
  <si>
    <t>EBITDA CONSOLIDADO</t>
  </si>
  <si>
    <t>ACTIVO</t>
  </si>
  <si>
    <t>Disponible e Inv. Temporales</t>
  </si>
  <si>
    <t>Inversiones</t>
  </si>
  <si>
    <t>Deudores</t>
  </si>
  <si>
    <t>Diferidos</t>
  </si>
  <si>
    <t>Otros activos</t>
  </si>
  <si>
    <t>Valorizaciones</t>
  </si>
  <si>
    <t>Total Activo</t>
  </si>
  <si>
    <t>Obligaciones financieras</t>
  </si>
  <si>
    <t>Proveedores y Cuentas por pagar</t>
  </si>
  <si>
    <t>Impuestos, gravámenes y tasas</t>
  </si>
  <si>
    <t>Obligaciones laborales</t>
  </si>
  <si>
    <t>Pasivos estimados y provisiones</t>
  </si>
  <si>
    <t>Total Pasivo</t>
  </si>
  <si>
    <t>PATRIMONIO</t>
  </si>
  <si>
    <t>Total Pasivo y Patrimonio</t>
  </si>
  <si>
    <t>Inventarios</t>
  </si>
  <si>
    <t>Propiedad, planta y equipo</t>
  </si>
  <si>
    <t>Cuentas por pagar</t>
  </si>
  <si>
    <t>Minoritarios</t>
  </si>
  <si>
    <t>BALANCE GENERAL CONSOLIDADO</t>
  </si>
  <si>
    <t>UAI e Interés minoritario</t>
  </si>
  <si>
    <t>Utilidad Operacional</t>
  </si>
  <si>
    <t>Utilidad antes de impuestos sobre la renta</t>
  </si>
  <si>
    <t>CIFRAS EXPRESADAS</t>
  </si>
  <si>
    <t>EN MILLONES DE PESOS</t>
  </si>
  <si>
    <t>% Variac.</t>
  </si>
  <si>
    <t>Intangibles</t>
  </si>
  <si>
    <t>PASIVO Y PATRIMONIO</t>
  </si>
  <si>
    <t>Proveedores</t>
  </si>
  <si>
    <t>Costo mercancía vendida</t>
  </si>
  <si>
    <t>Ingresos financieros</t>
  </si>
  <si>
    <t>Otros ingresos (egresos) netos</t>
  </si>
  <si>
    <t>* Información ilustrativa, no auditada.</t>
  </si>
  <si>
    <t>Número de acciones en circulación</t>
  </si>
  <si>
    <t>% Ingresos</t>
  </si>
  <si>
    <t>Financieros y otros</t>
  </si>
  <si>
    <t>Dividendos</t>
  </si>
  <si>
    <t>Gastos operacionales</t>
  </si>
  <si>
    <t>Intangibles y otros activos</t>
  </si>
  <si>
    <t>Propiedad, Planta y Equipo</t>
  </si>
  <si>
    <t xml:space="preserve">A Septiembre 30 </t>
  </si>
  <si>
    <t>De Enero 1 a Septiembre 30</t>
  </si>
  <si>
    <t xml:space="preserve">A Junio 30 </t>
  </si>
  <si>
    <t>De Enero 1 a Junio 30</t>
  </si>
  <si>
    <t xml:space="preserve">A Marzo 31 </t>
  </si>
  <si>
    <t>De Enero 1 a Marzo 31</t>
  </si>
  <si>
    <t xml:space="preserve">A Diciembre 31 </t>
  </si>
  <si>
    <t>De Enero 1 a Diciembre 31</t>
  </si>
  <si>
    <t>BALANCE GENERAL BÁSICO</t>
  </si>
  <si>
    <t>ESTADO DE RESULTADOS BÁSICO</t>
  </si>
  <si>
    <t>Valor intrínseco por acción (en pesos colombianos)</t>
  </si>
  <si>
    <t>Ingresos por método de participación</t>
  </si>
  <si>
    <t xml:space="preserve">Intangibles </t>
  </si>
  <si>
    <t>Diferidos y Otros activos</t>
  </si>
  <si>
    <t>Utilidad Neta por Acción (en pesos colombianos)</t>
  </si>
  <si>
    <t xml:space="preserve">A MARZO 31 </t>
  </si>
  <si>
    <t xml:space="preserve">A JUNIO 30 </t>
  </si>
  <si>
    <t xml:space="preserve">A SEPTIEMBRE 30 </t>
  </si>
  <si>
    <t>* Informacion ilustrativa, no auditada.</t>
  </si>
  <si>
    <t>A DICIEMBRE 31</t>
  </si>
  <si>
    <t>Total Pasivo , Patrimonio e interés minoritario</t>
  </si>
  <si>
    <t xml:space="preserve">Nota: Al 30 de septiembre de 2010 incluye los valores recibidos de Valores Nacionales S.A.S y Portafolio de Alimentos S.A.S producto de la Fusión realizada en agosto de 2010. </t>
  </si>
  <si>
    <t>Intangibles, Diferidos y otros activos</t>
  </si>
  <si>
    <t>Gastos de producción</t>
  </si>
  <si>
    <t>A Diciembre 31</t>
  </si>
  <si>
    <t>* El año 2010 se encuentra reclasificado para efectos comparativos.</t>
  </si>
  <si>
    <t>Diferidos y otros pasivos</t>
  </si>
  <si>
    <t>(Valores expresados en millones de pesos colombianos)</t>
  </si>
  <si>
    <t>De Enero 1 a Septiembre 30 de 2012</t>
  </si>
  <si>
    <t>BALANCE GENERAL BASICO</t>
  </si>
  <si>
    <t>Estado de resultados consolidado</t>
  </si>
  <si>
    <t>Estado de Resultados Básico</t>
  </si>
  <si>
    <t>De Enero 1 a Diciembre 31 de 2012</t>
  </si>
  <si>
    <t>A Diciembre 31 de 2012</t>
  </si>
  <si>
    <t>2013-1q</t>
  </si>
  <si>
    <t>2012-1q</t>
  </si>
  <si>
    <t>De Enero 1 a Marzo 31 de 2013</t>
  </si>
  <si>
    <t>A Marzo 31 de 2013</t>
  </si>
  <si>
    <t>2012-2q</t>
  </si>
  <si>
    <t>2013-2q</t>
  </si>
  <si>
    <t>A Junio 30 de 2013</t>
  </si>
  <si>
    <t>A Junio 30</t>
  </si>
  <si>
    <t>De Enero 1 a junio 30 de 2013</t>
  </si>
  <si>
    <t>De Enero 1 a Junio 30 de 2013</t>
  </si>
  <si>
    <t>Utilidad (perdida )en realización de inversiones</t>
  </si>
  <si>
    <t>2012 Acum</t>
  </si>
  <si>
    <t>2013 Acum</t>
  </si>
  <si>
    <t>2012-Acum</t>
  </si>
  <si>
    <t>2013-Acum</t>
  </si>
  <si>
    <t>Intangibles, diferidos y otros activos</t>
  </si>
  <si>
    <t>2012-3q</t>
  </si>
  <si>
    <t>2013-3q</t>
  </si>
  <si>
    <t>De Enero 1 a Septiembre 30 de 2013</t>
  </si>
  <si>
    <t>A Septiembre 30</t>
  </si>
  <si>
    <t>A Septiembre 30 de 2013</t>
  </si>
  <si>
    <t>N.C</t>
  </si>
  <si>
    <t>De Enero 1 a septiembre 30 de 2013</t>
  </si>
  <si>
    <t>A Diciembre 31 de 2013</t>
  </si>
  <si>
    <t>De Enero 1 a Diciembre 31 de 2013</t>
  </si>
  <si>
    <t>2013-4q</t>
  </si>
  <si>
    <t>2012-4q</t>
  </si>
  <si>
    <t>De Enero 1 a diciembre 31 de 2013</t>
  </si>
  <si>
    <t>% Varjac.</t>
  </si>
  <si>
    <t>2014-1q</t>
  </si>
  <si>
    <t>A Marzo 31 de 2014</t>
  </si>
  <si>
    <t>De Enero 1 a Marzo 31 de 2014</t>
  </si>
  <si>
    <t>2014-2q</t>
  </si>
  <si>
    <t>2014-Acum</t>
  </si>
  <si>
    <t>A Junio 30 de 2014</t>
  </si>
  <si>
    <t>De Enero 1 a Junio 30 de 2014</t>
  </si>
  <si>
    <t>N/A</t>
  </si>
  <si>
    <t>2014-3q</t>
  </si>
  <si>
    <t>De Enero 1 a Septiembre 30 de 2014</t>
  </si>
  <si>
    <t>A Septiembre 30 de 2014</t>
  </si>
  <si>
    <t>A Diciembre 31 de 2014</t>
  </si>
  <si>
    <t>2014-4q</t>
  </si>
  <si>
    <t>De Enero 1 a diciembre 31 de 2014</t>
  </si>
  <si>
    <t>De Enero 1 a Diciembre 31 de 2014</t>
  </si>
  <si>
    <t>Marzo 2015</t>
  </si>
  <si>
    <t>Diciembre 2014</t>
  </si>
  <si>
    <t>% var</t>
  </si>
  <si>
    <t>Disponible y Equivalentes de efectivo</t>
  </si>
  <si>
    <t>Activos biologicos</t>
  </si>
  <si>
    <t>Instrumentos financieros</t>
  </si>
  <si>
    <t>Inversiones en asociadas</t>
  </si>
  <si>
    <t>Propiedades de inversión</t>
  </si>
  <si>
    <t>Intangibles  y crédito mercantil</t>
  </si>
  <si>
    <t>Impuesto diferido Activo</t>
  </si>
  <si>
    <t>Gastos anticipados y otros activos</t>
  </si>
  <si>
    <t>Total activo</t>
  </si>
  <si>
    <t>PASIVO</t>
  </si>
  <si>
    <t>Proveedores  y cuentas por pagar</t>
  </si>
  <si>
    <t>Beneficios a empleados</t>
  </si>
  <si>
    <t>Impuesto diferido pasivo</t>
  </si>
  <si>
    <t>Otros pasivos</t>
  </si>
  <si>
    <t>Patrimonio de la matriz</t>
  </si>
  <si>
    <t>Interés no controlante</t>
  </si>
  <si>
    <t>Total patrimonio</t>
  </si>
  <si>
    <t>Pasivo y patrimonio</t>
  </si>
  <si>
    <t xml:space="preserve">Otros ingresos (egresos) netos  operacionales      </t>
  </si>
  <si>
    <t>2015-1q</t>
  </si>
  <si>
    <t>Diferencia en cambio operativa neta</t>
  </si>
  <si>
    <t>Operaciones discontinuadas</t>
  </si>
  <si>
    <t>A Marzo 31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</si>
</sst>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%"/>
    <numFmt numFmtId="167" formatCode="_ * #,##0_ ;_ * \-#,##0_ ;_ * &quot;-&quot;??_ ;_ @_ "/>
    <numFmt numFmtId="168" formatCode="#,##0.0_);\(#,##0.0\)"/>
    <numFmt numFmtId="169" formatCode="&quot;$&quot;_(#,##0.00_);&quot;$&quot;\(#,##0.00\)"/>
    <numFmt numFmtId="170" formatCode="#,##0.0_)\x;\(#,##0.0\)\x"/>
    <numFmt numFmtId="171" formatCode="#,##0.0_)_x;\(#,##0.0\)_x"/>
    <numFmt numFmtId="172" formatCode="0.0_)\%;\(0.0\)\%"/>
    <numFmt numFmtId="173" formatCode="#,##0.0_)_%;\(#,##0.0\)_%"/>
    <numFmt numFmtId="174" formatCode="_ [$€-2]\ * #,##0.00_ ;_ [$€-2]\ * \-#,##0.00_ ;_ [$€-2]\ * &quot;-&quot;??_ "/>
    <numFmt numFmtId="175" formatCode="#,##0.0"/>
    <numFmt numFmtId="176" formatCode="#,##0.00_ ;\-#,##0.00\ "/>
    <numFmt numFmtId="177" formatCode="_-* #,##0\ _p_t_a_-;\-* #,##0\ _p_t_a_-;_-* &quot;-&quot;\ _p_t_a_-;_-@_-"/>
    <numFmt numFmtId="178" formatCode="0.000%"/>
    <numFmt numFmtId="179" formatCode="_-#,###,,\ _€_-;\-#,###,,\ _€_-;_-* &quot;-&quot;??\ _€_-;_-@_-"/>
    <numFmt numFmtId="180" formatCode="_(* #,##0_);_(* \(#,##0\);_(* &quot;-&quot;??_);_(@_)"/>
    <numFmt numFmtId="181" formatCode="#,##0_ ;\-#,##0\ "/>
    <numFmt numFmtId="182" formatCode="_ [$€-2]\ * #,##0_ ;_ [$€-2]\ * \-#,##0_ ;_ [$€-2]\ * &quot;-&quot;??_ 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Trebuchet MS"/>
      <family val="2"/>
    </font>
    <font>
      <b/>
      <sz val="10"/>
      <color indexed="56"/>
      <name val="Trebuchet MS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0"/>
      <color theme="0" tint="-0.499984740745262"/>
      <name val="Trebuchet MS"/>
      <family val="2"/>
    </font>
    <font>
      <sz val="10"/>
      <color theme="0" tint="-0.499984740745262"/>
      <name val="Trebuchet MS"/>
      <family val="2"/>
    </font>
    <font>
      <sz val="10"/>
      <color theme="0" tint="-0.499984740745262"/>
      <name val="Lucida Sans Unicode"/>
      <family val="2"/>
    </font>
    <font>
      <b/>
      <sz val="10"/>
      <color theme="0" tint="-0.499984740745262"/>
      <name val="Lucida Sans Unicode"/>
      <family val="2"/>
    </font>
    <font>
      <b/>
      <sz val="16"/>
      <color theme="6" tint="-0.249977111117893"/>
      <name val="Calibri"/>
      <family val="2"/>
      <scheme val="minor"/>
    </font>
    <font>
      <b/>
      <sz val="10"/>
      <color theme="1" tint="4.9989318521683403E-2"/>
      <name val="Trebuchet MS"/>
      <family val="2"/>
    </font>
    <font>
      <sz val="10"/>
      <color theme="1" tint="4.9989318521683403E-2"/>
      <name val="Trebuchet MS"/>
      <family val="2"/>
    </font>
    <font>
      <b/>
      <sz val="10"/>
      <color theme="6" tint="-0.499984740745262"/>
      <name val="Trebuchet MS"/>
      <family val="2"/>
    </font>
    <font>
      <sz val="10"/>
      <color theme="6" tint="-0.499984740745262"/>
      <name val="Trebuchet MS"/>
      <family val="2"/>
    </font>
    <font>
      <b/>
      <sz val="10"/>
      <color theme="9" tint="-0.499984740745262"/>
      <name val="Trebuchet MS"/>
      <family val="2"/>
    </font>
    <font>
      <sz val="10"/>
      <color theme="9" tint="-0.499984740745262"/>
      <name val="Trebuchet MS"/>
      <family val="2"/>
    </font>
    <font>
      <b/>
      <sz val="10"/>
      <color theme="5" tint="-0.249977111117893"/>
      <name val="Trebuchet MS"/>
      <family val="2"/>
    </font>
    <font>
      <sz val="10"/>
      <color theme="5" tint="-0.249977111117893"/>
      <name val="Trebuchet MS"/>
      <family val="2"/>
    </font>
    <font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C00000"/>
      <name val="Trebuchet MS"/>
      <family val="2"/>
    </font>
    <font>
      <sz val="10"/>
      <color rgb="FFC00000"/>
      <name val="Trebuchet MS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333399"/>
      <name val="Calibri"/>
      <family val="2"/>
      <scheme val="minor"/>
    </font>
    <font>
      <b/>
      <sz val="9"/>
      <color rgb="FF333399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33339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B3B3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33399"/>
      </top>
      <bottom style="thin">
        <color rgb="FF333399"/>
      </bottom>
      <diagonal/>
    </border>
  </borders>
  <cellStyleXfs count="62">
    <xf numFmtId="0" fontId="0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3" fillId="0" borderId="0">
      <alignment vertical="top"/>
    </xf>
    <xf numFmtId="174" fontId="2" fillId="0" borderId="0" applyFont="0" applyFill="0" applyBorder="0" applyAlignment="0" applyProtection="0"/>
    <xf numFmtId="0" fontId="16" fillId="3" borderId="0" applyNumberFormat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0" borderId="0"/>
    <xf numFmtId="0" fontId="4" fillId="23" borderId="4" applyNumberFormat="0" applyFont="0" applyAlignment="0" applyProtection="0"/>
    <xf numFmtId="9" fontId="2" fillId="0" borderId="0" applyFon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  <xf numFmtId="177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58" fillId="0" borderId="0" applyFont="0" applyFill="0" applyBorder="0" applyAlignment="0" applyProtection="0"/>
    <xf numFmtId="0" fontId="5" fillId="0" borderId="0" applyFont="0" applyFill="0" applyBorder="0" applyAlignment="0" applyProtection="0"/>
  </cellStyleXfs>
  <cellXfs count="272">
    <xf numFmtId="0" fontId="0" fillId="0" borderId="0" xfId="0"/>
    <xf numFmtId="0" fontId="6" fillId="24" borderId="10" xfId="44" applyFont="1" applyFill="1" applyBorder="1"/>
    <xf numFmtId="3" fontId="6" fillId="24" borderId="0" xfId="0" applyNumberFormat="1" applyFont="1" applyFill="1"/>
    <xf numFmtId="166" fontId="6" fillId="24" borderId="0" xfId="47" applyNumberFormat="1" applyFont="1" applyFill="1"/>
    <xf numFmtId="175" fontId="6" fillId="24" borderId="0" xfId="0" applyNumberFormat="1" applyFont="1" applyFill="1"/>
    <xf numFmtId="0" fontId="6" fillId="24" borderId="0" xfId="0" applyFont="1" applyFill="1"/>
    <xf numFmtId="0" fontId="28" fillId="25" borderId="0" xfId="0" applyFont="1" applyFill="1" applyAlignment="1">
      <alignment horizontal="center"/>
    </xf>
    <xf numFmtId="166" fontId="28" fillId="25" borderId="0" xfId="47" applyNumberFormat="1" applyFont="1" applyFill="1" applyAlignment="1">
      <alignment horizontal="center"/>
    </xf>
    <xf numFmtId="175" fontId="7" fillId="24" borderId="0" xfId="0" applyNumberFormat="1" applyFont="1" applyFill="1"/>
    <xf numFmtId="0" fontId="7" fillId="24" borderId="0" xfId="0" applyFont="1" applyFill="1"/>
    <xf numFmtId="3" fontId="6" fillId="24" borderId="0" xfId="47" applyNumberFormat="1" applyFont="1" applyFill="1"/>
    <xf numFmtId="165" fontId="6" fillId="24" borderId="0" xfId="41" applyFont="1" applyFill="1"/>
    <xf numFmtId="165" fontId="7" fillId="24" borderId="0" xfId="41" applyFont="1" applyFill="1"/>
    <xf numFmtId="164" fontId="6" fillId="24" borderId="0" xfId="0" applyNumberFormat="1" applyFont="1" applyFill="1"/>
    <xf numFmtId="3" fontId="6" fillId="0" borderId="0" xfId="0" applyNumberFormat="1" applyFont="1" applyFill="1"/>
    <xf numFmtId="166" fontId="6" fillId="24" borderId="0" xfId="0" applyNumberFormat="1" applyFont="1" applyFill="1"/>
    <xf numFmtId="166" fontId="28" fillId="0" borderId="0" xfId="47" applyNumberFormat="1" applyFont="1" applyFill="1" applyAlignment="1">
      <alignment horizontal="center"/>
    </xf>
    <xf numFmtId="166" fontId="6" fillId="0" borderId="0" xfId="47" applyNumberFormat="1" applyFont="1" applyFill="1"/>
    <xf numFmtId="0" fontId="6" fillId="0" borderId="10" xfId="44" applyFont="1" applyFill="1" applyBorder="1"/>
    <xf numFmtId="0" fontId="6" fillId="0" borderId="0" xfId="0" applyFont="1" applyFill="1"/>
    <xf numFmtId="166" fontId="28" fillId="0" borderId="0" xfId="47" applyNumberFormat="1" applyFont="1" applyFill="1" applyBorder="1" applyAlignment="1">
      <alignment horizontal="center"/>
    </xf>
    <xf numFmtId="166" fontId="6" fillId="0" borderId="0" xfId="47" applyNumberFormat="1" applyFont="1" applyFill="1" applyBorder="1"/>
    <xf numFmtId="166" fontId="7" fillId="0" borderId="0" xfId="47" applyNumberFormat="1" applyFont="1" applyFill="1" applyBorder="1"/>
    <xf numFmtId="175" fontId="6" fillId="0" borderId="0" xfId="0" applyNumberFormat="1" applyFont="1" applyFill="1" applyBorder="1"/>
    <xf numFmtId="3" fontId="27" fillId="0" borderId="0" xfId="0" applyNumberFormat="1" applyFont="1" applyFill="1"/>
    <xf numFmtId="166" fontId="7" fillId="0" borderId="0" xfId="0" applyNumberFormat="1" applyFont="1" applyFill="1"/>
    <xf numFmtId="0" fontId="7" fillId="0" borderId="11" xfId="44" applyFont="1" applyFill="1" applyBorder="1"/>
    <xf numFmtId="3" fontId="7" fillId="0" borderId="12" xfId="0" applyNumberFormat="1" applyFont="1" applyFill="1" applyBorder="1"/>
    <xf numFmtId="166" fontId="7" fillId="0" borderId="12" xfId="42" applyNumberFormat="1" applyFont="1" applyFill="1" applyBorder="1"/>
    <xf numFmtId="0" fontId="7" fillId="0" borderId="10" xfId="44" applyFont="1" applyFill="1" applyBorder="1"/>
    <xf numFmtId="3" fontId="7" fillId="0" borderId="0" xfId="0" applyNumberFormat="1" applyFont="1" applyFill="1"/>
    <xf numFmtId="0" fontId="7" fillId="0" borderId="13" xfId="44" applyFont="1" applyFill="1" applyBorder="1"/>
    <xf numFmtId="3" fontId="7" fillId="0" borderId="14" xfId="0" applyNumberFormat="1" applyFont="1" applyFill="1" applyBorder="1"/>
    <xf numFmtId="4" fontId="6" fillId="0" borderId="0" xfId="0" applyNumberFormat="1" applyFont="1" applyFill="1"/>
    <xf numFmtId="175" fontId="6" fillId="0" borderId="0" xfId="0" applyNumberFormat="1" applyFont="1" applyFill="1"/>
    <xf numFmtId="0" fontId="7" fillId="0" borderId="0" xfId="0" applyFont="1" applyFill="1"/>
    <xf numFmtId="0" fontId="7" fillId="0" borderId="12" xfId="45" applyFont="1" applyFill="1" applyBorder="1"/>
    <xf numFmtId="167" fontId="7" fillId="0" borderId="12" xfId="42" applyNumberFormat="1" applyFont="1" applyFill="1" applyBorder="1"/>
    <xf numFmtId="0" fontId="27" fillId="0" borderId="0" xfId="0" applyFont="1" applyFill="1"/>
    <xf numFmtId="0" fontId="7" fillId="0" borderId="15" xfId="44" applyFont="1" applyFill="1" applyBorder="1"/>
    <xf numFmtId="3" fontId="7" fillId="0" borderId="16" xfId="0" applyNumberFormat="1" applyFont="1" applyFill="1" applyBorder="1"/>
    <xf numFmtId="0" fontId="28" fillId="0" borderId="0" xfId="0" applyFont="1" applyFill="1" applyAlignment="1">
      <alignment horizontal="left"/>
    </xf>
    <xf numFmtId="166" fontId="7" fillId="0" borderId="0" xfId="47" applyNumberFormat="1" applyFont="1" applyFill="1"/>
    <xf numFmtId="3" fontId="7" fillId="0" borderId="17" xfId="0" applyNumberFormat="1" applyFont="1" applyFill="1" applyBorder="1"/>
    <xf numFmtId="166" fontId="7" fillId="0" borderId="17" xfId="47" applyNumberFormat="1" applyFont="1" applyFill="1" applyBorder="1"/>
    <xf numFmtId="166" fontId="7" fillId="0" borderId="12" xfId="47" applyNumberFormat="1" applyFont="1" applyFill="1" applyBorder="1"/>
    <xf numFmtId="166" fontId="6" fillId="0" borderId="12" xfId="47" applyNumberFormat="1" applyFont="1" applyFill="1" applyBorder="1"/>
    <xf numFmtId="166" fontId="7" fillId="0" borderId="14" xfId="47" applyNumberFormat="1" applyFont="1" applyFill="1" applyBorder="1"/>
    <xf numFmtId="176" fontId="7" fillId="0" borderId="12" xfId="42" applyNumberFormat="1" applyFont="1" applyFill="1" applyBorder="1"/>
    <xf numFmtId="166" fontId="7" fillId="0" borderId="16" xfId="47" applyNumberFormat="1" applyFont="1" applyFill="1" applyBorder="1"/>
    <xf numFmtId="3" fontId="7" fillId="0" borderId="0" xfId="47" applyNumberFormat="1" applyFont="1" applyFill="1"/>
    <xf numFmtId="3" fontId="6" fillId="0" borderId="0" xfId="47" applyNumberFormat="1" applyFont="1" applyFill="1"/>
    <xf numFmtId="166" fontId="6" fillId="0" borderId="0" xfId="47" applyNumberFormat="1" applyFont="1" applyFill="1" applyAlignment="1">
      <alignment horizontal="right"/>
    </xf>
    <xf numFmtId="165" fontId="6" fillId="0" borderId="0" xfId="41" applyFont="1" applyFill="1"/>
    <xf numFmtId="166" fontId="6" fillId="0" borderId="0" xfId="0" applyNumberFormat="1" applyFont="1" applyFill="1"/>
    <xf numFmtId="0" fontId="6" fillId="0" borderId="18" xfId="44" applyFont="1" applyFill="1" applyBorder="1"/>
    <xf numFmtId="3" fontId="6" fillId="0" borderId="17" xfId="0" applyNumberFormat="1" applyFont="1" applyFill="1" applyBorder="1"/>
    <xf numFmtId="166" fontId="6" fillId="0" borderId="17" xfId="0" applyNumberFormat="1" applyFont="1" applyFill="1" applyBorder="1"/>
    <xf numFmtId="0" fontId="6" fillId="0" borderId="11" xfId="44" applyFont="1" applyFill="1" applyBorder="1"/>
    <xf numFmtId="3" fontId="6" fillId="0" borderId="12" xfId="0" applyNumberFormat="1" applyFont="1" applyFill="1" applyBorder="1"/>
    <xf numFmtId="3" fontId="7" fillId="24" borderId="0" xfId="0" applyNumberFormat="1" applyFont="1" applyFill="1"/>
    <xf numFmtId="0" fontId="6" fillId="24" borderId="0" xfId="0" applyFont="1" applyFill="1" applyBorder="1"/>
    <xf numFmtId="3" fontId="7" fillId="24" borderId="0" xfId="47" applyNumberFormat="1" applyFont="1" applyFill="1"/>
    <xf numFmtId="3" fontId="7" fillId="24" borderId="17" xfId="0" applyNumberFormat="1" applyFont="1" applyFill="1" applyBorder="1"/>
    <xf numFmtId="3" fontId="7" fillId="24" borderId="12" xfId="0" applyNumberFormat="1" applyFont="1" applyFill="1" applyBorder="1"/>
    <xf numFmtId="3" fontId="7" fillId="24" borderId="14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30" fillId="0" borderId="0" xfId="44" applyFont="1" applyFill="1" applyBorder="1"/>
    <xf numFmtId="0" fontId="29" fillId="0" borderId="0" xfId="44" applyFont="1" applyFill="1" applyBorder="1"/>
    <xf numFmtId="3" fontId="6" fillId="26" borderId="0" xfId="0" applyNumberFormat="1" applyFont="1" applyFill="1"/>
    <xf numFmtId="0" fontId="6" fillId="27" borderId="0" xfId="0" applyFont="1" applyFill="1"/>
    <xf numFmtId="3" fontId="6" fillId="27" borderId="0" xfId="0" applyNumberFormat="1" applyFont="1" applyFill="1"/>
    <xf numFmtId="166" fontId="6" fillId="27" borderId="0" xfId="47" applyNumberFormat="1" applyFont="1" applyFill="1"/>
    <xf numFmtId="175" fontId="6" fillId="27" borderId="0" xfId="0" applyNumberFormat="1" applyFont="1" applyFill="1"/>
    <xf numFmtId="165" fontId="6" fillId="27" borderId="0" xfId="41" applyFont="1" applyFill="1"/>
    <xf numFmtId="0" fontId="31" fillId="27" borderId="0" xfId="57" applyFont="1" applyFill="1"/>
    <xf numFmtId="0" fontId="32" fillId="27" borderId="0" xfId="57" applyFont="1" applyFill="1" applyBorder="1"/>
    <xf numFmtId="3" fontId="33" fillId="27" borderId="0" xfId="0" applyNumberFormat="1" applyFont="1" applyFill="1"/>
    <xf numFmtId="3" fontId="34" fillId="27" borderId="0" xfId="0" applyNumberFormat="1" applyFont="1" applyFill="1"/>
    <xf numFmtId="166" fontId="34" fillId="27" borderId="0" xfId="47" applyNumberFormat="1" applyFont="1" applyFill="1"/>
    <xf numFmtId="175" fontId="34" fillId="27" borderId="0" xfId="0" applyNumberFormat="1" applyFont="1" applyFill="1" applyBorder="1"/>
    <xf numFmtId="0" fontId="34" fillId="27" borderId="0" xfId="0" applyFont="1" applyFill="1" applyBorder="1"/>
    <xf numFmtId="0" fontId="34" fillId="27" borderId="0" xfId="0" applyFont="1" applyFill="1"/>
    <xf numFmtId="0" fontId="33" fillId="27" borderId="0" xfId="0" applyFont="1" applyFill="1" applyAlignment="1">
      <alignment horizontal="center"/>
    </xf>
    <xf numFmtId="166" fontId="33" fillId="27" borderId="0" xfId="47" applyNumberFormat="1" applyFont="1" applyFill="1" applyAlignment="1">
      <alignment horizontal="center"/>
    </xf>
    <xf numFmtId="0" fontId="34" fillId="27" borderId="10" xfId="44" applyFont="1" applyFill="1" applyBorder="1"/>
    <xf numFmtId="165" fontId="34" fillId="27" borderId="0" xfId="41" applyFont="1" applyFill="1"/>
    <xf numFmtId="0" fontId="33" fillId="27" borderId="11" xfId="44" applyFont="1" applyFill="1" applyBorder="1"/>
    <xf numFmtId="3" fontId="33" fillId="27" borderId="12" xfId="0" applyNumberFormat="1" applyFont="1" applyFill="1" applyBorder="1"/>
    <xf numFmtId="166" fontId="34" fillId="27" borderId="12" xfId="47" applyNumberFormat="1" applyFont="1" applyFill="1" applyBorder="1"/>
    <xf numFmtId="0" fontId="33" fillId="27" borderId="10" xfId="44" applyFont="1" applyFill="1" applyBorder="1"/>
    <xf numFmtId="166" fontId="33" fillId="27" borderId="0" xfId="47" applyNumberFormat="1" applyFont="1" applyFill="1"/>
    <xf numFmtId="0" fontId="33" fillId="27" borderId="0" xfId="0" applyFont="1" applyFill="1"/>
    <xf numFmtId="0" fontId="33" fillId="27" borderId="13" xfId="44" applyFont="1" applyFill="1" applyBorder="1"/>
    <xf numFmtId="3" fontId="33" fillId="27" borderId="14" xfId="0" applyNumberFormat="1" applyFont="1" applyFill="1" applyBorder="1"/>
    <xf numFmtId="166" fontId="33" fillId="27" borderId="14" xfId="47" applyNumberFormat="1" applyFont="1" applyFill="1" applyBorder="1"/>
    <xf numFmtId="166" fontId="33" fillId="27" borderId="12" xfId="47" applyNumberFormat="1" applyFont="1" applyFill="1" applyBorder="1"/>
    <xf numFmtId="4" fontId="34" fillId="27" borderId="0" xfId="0" applyNumberFormat="1" applyFont="1" applyFill="1"/>
    <xf numFmtId="175" fontId="34" fillId="27" borderId="0" xfId="0" applyNumberFormat="1" applyFont="1" applyFill="1"/>
    <xf numFmtId="0" fontId="33" fillId="27" borderId="12" xfId="45" applyFont="1" applyFill="1" applyBorder="1"/>
    <xf numFmtId="167" fontId="33" fillId="27" borderId="12" xfId="42" applyNumberFormat="1" applyFont="1" applyFill="1" applyBorder="1"/>
    <xf numFmtId="0" fontId="33" fillId="27" borderId="0" xfId="0" applyFont="1" applyFill="1" applyAlignment="1">
      <alignment horizontal="left"/>
    </xf>
    <xf numFmtId="166" fontId="33" fillId="27" borderId="0" xfId="47" applyNumberFormat="1" applyFont="1" applyFill="1" applyBorder="1" applyAlignment="1">
      <alignment horizontal="center"/>
    </xf>
    <xf numFmtId="0" fontId="35" fillId="27" borderId="0" xfId="44" applyFont="1" applyFill="1" applyBorder="1"/>
    <xf numFmtId="166" fontId="34" fillId="27" borderId="0" xfId="47" applyNumberFormat="1" applyFont="1" applyFill="1" applyBorder="1"/>
    <xf numFmtId="0" fontId="36" fillId="27" borderId="0" xfId="44" applyFont="1" applyFill="1" applyBorder="1"/>
    <xf numFmtId="166" fontId="33" fillId="27" borderId="0" xfId="47" applyNumberFormat="1" applyFont="1" applyFill="1" applyBorder="1"/>
    <xf numFmtId="3" fontId="33" fillId="27" borderId="0" xfId="47" applyNumberFormat="1" applyFont="1" applyFill="1"/>
    <xf numFmtId="175" fontId="33" fillId="27" borderId="0" xfId="0" applyNumberFormat="1" applyFont="1" applyFill="1"/>
    <xf numFmtId="3" fontId="34" fillId="27" borderId="0" xfId="47" applyNumberFormat="1" applyFont="1" applyFill="1"/>
    <xf numFmtId="3" fontId="33" fillId="27" borderId="17" xfId="0" applyNumberFormat="1" applyFont="1" applyFill="1" applyBorder="1"/>
    <xf numFmtId="166" fontId="33" fillId="27" borderId="17" xfId="47" applyNumberFormat="1" applyFont="1" applyFill="1" applyBorder="1"/>
    <xf numFmtId="0" fontId="34" fillId="27" borderId="0" xfId="44" applyFont="1" applyFill="1" applyBorder="1"/>
    <xf numFmtId="0" fontId="37" fillId="27" borderId="0" xfId="57" applyFont="1" applyFill="1" applyAlignment="1">
      <alignment horizontal="left"/>
    </xf>
    <xf numFmtId="3" fontId="41" fillId="29" borderId="0" xfId="0" applyNumberFormat="1" applyFont="1" applyFill="1"/>
    <xf numFmtId="3" fontId="40" fillId="29" borderId="12" xfId="0" applyNumberFormat="1" applyFont="1" applyFill="1" applyBorder="1"/>
    <xf numFmtId="3" fontId="40" fillId="29" borderId="0" xfId="0" applyNumberFormat="1" applyFont="1" applyFill="1"/>
    <xf numFmtId="3" fontId="40" fillId="29" borderId="14" xfId="0" applyNumberFormat="1" applyFont="1" applyFill="1" applyBorder="1"/>
    <xf numFmtId="3" fontId="43" fillId="29" borderId="0" xfId="0" applyNumberFormat="1" applyFont="1" applyFill="1"/>
    <xf numFmtId="3" fontId="42" fillId="29" borderId="12" xfId="0" applyNumberFormat="1" applyFont="1" applyFill="1" applyBorder="1"/>
    <xf numFmtId="3" fontId="42" fillId="29" borderId="0" xfId="0" applyNumberFormat="1" applyFont="1" applyFill="1"/>
    <xf numFmtId="3" fontId="42" fillId="29" borderId="14" xfId="0" applyNumberFormat="1" applyFont="1" applyFill="1" applyBorder="1"/>
    <xf numFmtId="0" fontId="33" fillId="27" borderId="0" xfId="0" applyFont="1" applyFill="1" applyAlignment="1">
      <alignment horizontal="right"/>
    </xf>
    <xf numFmtId="0" fontId="42" fillId="29" borderId="0" xfId="0" applyFont="1" applyFill="1" applyAlignment="1">
      <alignment horizontal="right"/>
    </xf>
    <xf numFmtId="0" fontId="40" fillId="29" borderId="0" xfId="0" applyFont="1" applyFill="1" applyAlignment="1">
      <alignment horizontal="right"/>
    </xf>
    <xf numFmtId="166" fontId="33" fillId="28" borderId="0" xfId="47" applyNumberFormat="1" applyFont="1" applyFill="1" applyAlignment="1">
      <alignment horizontal="right"/>
    </xf>
    <xf numFmtId="166" fontId="34" fillId="28" borderId="0" xfId="47" applyNumberFormat="1" applyFont="1" applyFill="1"/>
    <xf numFmtId="166" fontId="33" fillId="28" borderId="12" xfId="47" applyNumberFormat="1" applyFont="1" applyFill="1" applyBorder="1"/>
    <xf numFmtId="166" fontId="33" fillId="28" borderId="14" xfId="47" applyNumberFormat="1" applyFont="1" applyFill="1" applyBorder="1"/>
    <xf numFmtId="3" fontId="33" fillId="29" borderId="0" xfId="47" applyNumberFormat="1" applyFont="1" applyFill="1"/>
    <xf numFmtId="3" fontId="34" fillId="29" borderId="0" xfId="47" applyNumberFormat="1" applyFont="1" applyFill="1"/>
    <xf numFmtId="3" fontId="33" fillId="29" borderId="0" xfId="0" applyNumberFormat="1" applyFont="1" applyFill="1"/>
    <xf numFmtId="3" fontId="34" fillId="29" borderId="0" xfId="0" applyNumberFormat="1" applyFont="1" applyFill="1"/>
    <xf numFmtId="3" fontId="33" fillId="29" borderId="17" xfId="0" applyNumberFormat="1" applyFont="1" applyFill="1" applyBorder="1"/>
    <xf numFmtId="3" fontId="33" fillId="29" borderId="12" xfId="0" applyNumberFormat="1" applyFont="1" applyFill="1" applyBorder="1"/>
    <xf numFmtId="166" fontId="33" fillId="28" borderId="0" xfId="47" applyNumberFormat="1" applyFont="1" applyFill="1"/>
    <xf numFmtId="166" fontId="33" fillId="28" borderId="17" xfId="47" applyNumberFormat="1" applyFont="1" applyFill="1" applyBorder="1"/>
    <xf numFmtId="10" fontId="33" fillId="28" borderId="12" xfId="47" applyNumberFormat="1" applyFont="1" applyFill="1" applyBorder="1"/>
    <xf numFmtId="3" fontId="42" fillId="29" borderId="0" xfId="47" applyNumberFormat="1" applyFont="1" applyFill="1"/>
    <xf numFmtId="3" fontId="43" fillId="29" borderId="0" xfId="47" applyNumberFormat="1" applyFont="1" applyFill="1"/>
    <xf numFmtId="3" fontId="42" fillId="29" borderId="17" xfId="0" applyNumberFormat="1" applyFont="1" applyFill="1" applyBorder="1"/>
    <xf numFmtId="0" fontId="38" fillId="27" borderId="16" xfId="0" applyFont="1" applyFill="1" applyBorder="1" applyAlignment="1">
      <alignment horizontal="center"/>
    </xf>
    <xf numFmtId="0" fontId="38" fillId="29" borderId="16" xfId="0" applyFont="1" applyFill="1" applyBorder="1" applyAlignment="1">
      <alignment horizontal="center"/>
    </xf>
    <xf numFmtId="0" fontId="38" fillId="28" borderId="16" xfId="0" applyFont="1" applyFill="1" applyBorder="1" applyAlignment="1">
      <alignment horizontal="center"/>
    </xf>
    <xf numFmtId="166" fontId="38" fillId="28" borderId="16" xfId="47" applyNumberFormat="1" applyFont="1" applyFill="1" applyBorder="1" applyAlignment="1">
      <alignment horizontal="center"/>
    </xf>
    <xf numFmtId="3" fontId="38" fillId="27" borderId="19" xfId="0" applyNumberFormat="1" applyFont="1" applyFill="1" applyBorder="1"/>
    <xf numFmtId="3" fontId="39" fillId="27" borderId="19" xfId="0" applyNumberFormat="1" applyFont="1" applyFill="1" applyBorder="1"/>
    <xf numFmtId="3" fontId="38" fillId="27" borderId="20" xfId="0" applyNumberFormat="1" applyFont="1" applyFill="1" applyBorder="1"/>
    <xf numFmtId="3" fontId="38" fillId="27" borderId="21" xfId="0" applyNumberFormat="1" applyFont="1" applyFill="1" applyBorder="1"/>
    <xf numFmtId="0" fontId="38" fillId="27" borderId="19" xfId="0" applyFont="1" applyFill="1" applyBorder="1" applyAlignment="1">
      <alignment horizontal="center"/>
    </xf>
    <xf numFmtId="0" fontId="39" fillId="27" borderId="22" xfId="44" applyFont="1" applyFill="1" applyBorder="1"/>
    <xf numFmtId="0" fontId="38" fillId="27" borderId="23" xfId="44" applyFont="1" applyFill="1" applyBorder="1"/>
    <xf numFmtId="3" fontId="38" fillId="27" borderId="24" xfId="0" applyNumberFormat="1" applyFont="1" applyFill="1" applyBorder="1"/>
    <xf numFmtId="0" fontId="33" fillId="27" borderId="16" xfId="0" applyFont="1" applyFill="1" applyBorder="1" applyAlignment="1">
      <alignment horizontal="center"/>
    </xf>
    <xf numFmtId="0" fontId="33" fillId="29" borderId="16" xfId="0" applyFont="1" applyFill="1" applyBorder="1" applyAlignment="1">
      <alignment horizontal="center"/>
    </xf>
    <xf numFmtId="166" fontId="33" fillId="28" borderId="16" xfId="47" applyNumberFormat="1" applyFont="1" applyFill="1" applyBorder="1" applyAlignment="1">
      <alignment horizontal="center"/>
    </xf>
    <xf numFmtId="166" fontId="34" fillId="28" borderId="12" xfId="47" applyNumberFormat="1" applyFont="1" applyFill="1" applyBorder="1"/>
    <xf numFmtId="0" fontId="42" fillId="29" borderId="0" xfId="0" applyFont="1" applyFill="1" applyAlignment="1">
      <alignment horizontal="center"/>
    </xf>
    <xf numFmtId="0" fontId="33" fillId="29" borderId="0" xfId="0" applyFont="1" applyFill="1" applyAlignment="1">
      <alignment horizontal="center"/>
    </xf>
    <xf numFmtId="166" fontId="33" fillId="28" borderId="0" xfId="47" applyNumberFormat="1" applyFont="1" applyFill="1" applyAlignment="1">
      <alignment horizontal="center"/>
    </xf>
    <xf numFmtId="3" fontId="33" fillId="29" borderId="14" xfId="0" applyNumberFormat="1" applyFont="1" applyFill="1" applyBorder="1"/>
    <xf numFmtId="4" fontId="43" fillId="29" borderId="0" xfId="0" applyNumberFormat="1" applyFont="1" applyFill="1"/>
    <xf numFmtId="4" fontId="34" fillId="29" borderId="0" xfId="0" applyNumberFormat="1" applyFont="1" applyFill="1"/>
    <xf numFmtId="167" fontId="33" fillId="29" borderId="12" xfId="42" applyNumberFormat="1" applyFont="1" applyFill="1" applyBorder="1"/>
    <xf numFmtId="0" fontId="33" fillId="28" borderId="16" xfId="0" applyFont="1" applyFill="1" applyBorder="1" applyAlignment="1">
      <alignment horizontal="center"/>
    </xf>
    <xf numFmtId="167" fontId="42" fillId="29" borderId="12" xfId="42" applyNumberFormat="1" applyFont="1" applyFill="1" applyBorder="1"/>
    <xf numFmtId="9" fontId="33" fillId="27" borderId="0" xfId="47" applyFont="1" applyFill="1"/>
    <xf numFmtId="178" fontId="34" fillId="27" borderId="0" xfId="47" applyNumberFormat="1" applyFont="1" applyFill="1" applyBorder="1"/>
    <xf numFmtId="3" fontId="41" fillId="27" borderId="0" xfId="0" applyNumberFormat="1" applyFont="1" applyFill="1"/>
    <xf numFmtId="3" fontId="40" fillId="27" borderId="12" xfId="0" applyNumberFormat="1" applyFont="1" applyFill="1" applyBorder="1"/>
    <xf numFmtId="0" fontId="40" fillId="27" borderId="0" xfId="0" applyFont="1" applyFill="1" applyAlignment="1">
      <alignment horizontal="right"/>
    </xf>
    <xf numFmtId="3" fontId="40" fillId="27" borderId="0" xfId="0" applyNumberFormat="1" applyFont="1" applyFill="1"/>
    <xf numFmtId="3" fontId="40" fillId="27" borderId="14" xfId="0" applyNumberFormat="1" applyFont="1" applyFill="1" applyBorder="1"/>
    <xf numFmtId="0" fontId="44" fillId="29" borderId="16" xfId="0" applyFont="1" applyFill="1" applyBorder="1" applyAlignment="1">
      <alignment horizontal="center"/>
    </xf>
    <xf numFmtId="3" fontId="45" fillId="29" borderId="0" xfId="0" applyNumberFormat="1" applyFont="1" applyFill="1"/>
    <xf numFmtId="3" fontId="44" fillId="29" borderId="12" xfId="0" applyNumberFormat="1" applyFont="1" applyFill="1" applyBorder="1"/>
    <xf numFmtId="0" fontId="44" fillId="29" borderId="0" xfId="0" applyFont="1" applyFill="1" applyAlignment="1">
      <alignment horizontal="right"/>
    </xf>
    <xf numFmtId="3" fontId="44" fillId="29" borderId="0" xfId="0" applyNumberFormat="1" applyFont="1" applyFill="1"/>
    <xf numFmtId="3" fontId="44" fillId="29" borderId="14" xfId="0" applyNumberFormat="1" applyFont="1" applyFill="1" applyBorder="1"/>
    <xf numFmtId="167" fontId="44" fillId="29" borderId="12" xfId="42" applyNumberFormat="1" applyFont="1" applyFill="1" applyBorder="1"/>
    <xf numFmtId="0" fontId="44" fillId="28" borderId="16" xfId="0" applyFont="1" applyFill="1" applyBorder="1" applyAlignment="1">
      <alignment horizontal="center"/>
    </xf>
    <xf numFmtId="166" fontId="44" fillId="28" borderId="16" xfId="47" applyNumberFormat="1" applyFont="1" applyFill="1" applyBorder="1" applyAlignment="1">
      <alignment horizontal="center"/>
    </xf>
    <xf numFmtId="3" fontId="44" fillId="29" borderId="0" xfId="47" applyNumberFormat="1" applyFont="1" applyFill="1"/>
    <xf numFmtId="166" fontId="44" fillId="28" borderId="0" xfId="47" applyNumberFormat="1" applyFont="1" applyFill="1"/>
    <xf numFmtId="166" fontId="45" fillId="28" borderId="0" xfId="47" applyNumberFormat="1" applyFont="1" applyFill="1"/>
    <xf numFmtId="3" fontId="45" fillId="29" borderId="0" xfId="47" applyNumberFormat="1" applyFont="1" applyFill="1"/>
    <xf numFmtId="166" fontId="45" fillId="28" borderId="25" xfId="47" applyNumberFormat="1" applyFont="1" applyFill="1" applyBorder="1"/>
    <xf numFmtId="3" fontId="44" fillId="29" borderId="17" xfId="0" applyNumberFormat="1" applyFont="1" applyFill="1" applyBorder="1"/>
    <xf numFmtId="166" fontId="44" fillId="28" borderId="17" xfId="47" applyNumberFormat="1" applyFont="1" applyFill="1" applyBorder="1"/>
    <xf numFmtId="166" fontId="45" fillId="28" borderId="12" xfId="47" applyNumberFormat="1" applyFont="1" applyFill="1" applyBorder="1"/>
    <xf numFmtId="166" fontId="44" fillId="28" borderId="12" xfId="47" applyNumberFormat="1" applyFont="1" applyFill="1" applyBorder="1"/>
    <xf numFmtId="9" fontId="34" fillId="27" borderId="0" xfId="47" applyFont="1" applyFill="1"/>
    <xf numFmtId="166" fontId="45" fillId="28" borderId="0" xfId="47" applyNumberFormat="1" applyFont="1" applyFill="1" applyAlignment="1">
      <alignment horizontal="right"/>
    </xf>
    <xf numFmtId="0" fontId="46" fillId="27" borderId="0" xfId="0" applyFont="1" applyFill="1"/>
    <xf numFmtId="166" fontId="34" fillId="28" borderId="0" xfId="47" applyNumberFormat="1" applyFont="1" applyFill="1" applyAlignment="1">
      <alignment horizontal="right"/>
    </xf>
    <xf numFmtId="0" fontId="47" fillId="27" borderId="16" xfId="0" applyFont="1" applyFill="1" applyBorder="1" applyAlignment="1">
      <alignment horizontal="center"/>
    </xf>
    <xf numFmtId="3" fontId="48" fillId="27" borderId="0" xfId="0" applyNumberFormat="1" applyFont="1" applyFill="1"/>
    <xf numFmtId="3" fontId="47" fillId="27" borderId="12" xfId="0" applyNumberFormat="1" applyFont="1" applyFill="1" applyBorder="1"/>
    <xf numFmtId="0" fontId="47" fillId="27" borderId="0" xfId="0" applyFont="1" applyFill="1" applyAlignment="1">
      <alignment horizontal="right"/>
    </xf>
    <xf numFmtId="3" fontId="47" fillId="27" borderId="0" xfId="0" applyNumberFormat="1" applyFont="1" applyFill="1"/>
    <xf numFmtId="3" fontId="47" fillId="27" borderId="14" xfId="0" applyNumberFormat="1" applyFont="1" applyFill="1" applyBorder="1"/>
    <xf numFmtId="3" fontId="47" fillId="27" borderId="0" xfId="47" applyNumberFormat="1" applyFont="1" applyFill="1"/>
    <xf numFmtId="3" fontId="48" fillId="27" borderId="0" xfId="47" applyNumberFormat="1" applyFont="1" applyFill="1"/>
    <xf numFmtId="3" fontId="47" fillId="27" borderId="17" xfId="0" applyNumberFormat="1" applyFont="1" applyFill="1" applyBorder="1"/>
    <xf numFmtId="0" fontId="47" fillId="27" borderId="0" xfId="0" applyFont="1" applyFill="1" applyAlignment="1">
      <alignment horizontal="center"/>
    </xf>
    <xf numFmtId="4" fontId="48" fillId="27" borderId="0" xfId="0" applyNumberFormat="1" applyFont="1" applyFill="1"/>
    <xf numFmtId="167" fontId="47" fillId="27" borderId="12" xfId="42" applyNumberFormat="1" applyFont="1" applyFill="1" applyBorder="1"/>
    <xf numFmtId="0" fontId="47" fillId="29" borderId="16" xfId="0" applyFont="1" applyFill="1" applyBorder="1" applyAlignment="1">
      <alignment horizontal="center"/>
    </xf>
    <xf numFmtId="3" fontId="47" fillId="29" borderId="0" xfId="0" applyNumberFormat="1" applyFont="1" applyFill="1"/>
    <xf numFmtId="3" fontId="48" fillId="29" borderId="0" xfId="0" applyNumberFormat="1" applyFont="1" applyFill="1"/>
    <xf numFmtId="167" fontId="47" fillId="29" borderId="12" xfId="42" applyNumberFormat="1" applyFont="1" applyFill="1" applyBorder="1"/>
    <xf numFmtId="0" fontId="49" fillId="29" borderId="16" xfId="0" applyFont="1" applyFill="1" applyBorder="1" applyAlignment="1">
      <alignment horizontal="center"/>
    </xf>
    <xf numFmtId="0" fontId="49" fillId="28" borderId="16" xfId="0" applyFont="1" applyFill="1" applyBorder="1" applyAlignment="1">
      <alignment horizontal="center"/>
    </xf>
    <xf numFmtId="166" fontId="49" fillId="28" borderId="16" xfId="47" applyNumberFormat="1" applyFont="1" applyFill="1" applyBorder="1" applyAlignment="1">
      <alignment horizontal="center"/>
    </xf>
    <xf numFmtId="3" fontId="49" fillId="29" borderId="0" xfId="47" applyNumberFormat="1" applyFont="1" applyFill="1"/>
    <xf numFmtId="166" fontId="49" fillId="28" borderId="0" xfId="47" applyNumberFormat="1" applyFont="1" applyFill="1"/>
    <xf numFmtId="166" fontId="50" fillId="28" borderId="0" xfId="47" applyNumberFormat="1" applyFont="1" applyFill="1"/>
    <xf numFmtId="3" fontId="50" fillId="29" borderId="0" xfId="47" applyNumberFormat="1" applyFont="1" applyFill="1"/>
    <xf numFmtId="3" fontId="49" fillId="29" borderId="0" xfId="0" applyNumberFormat="1" applyFont="1" applyFill="1"/>
    <xf numFmtId="3" fontId="50" fillId="29" borderId="0" xfId="0" applyNumberFormat="1" applyFont="1" applyFill="1"/>
    <xf numFmtId="3" fontId="49" fillId="29" borderId="17" xfId="0" applyNumberFormat="1" applyFont="1" applyFill="1" applyBorder="1"/>
    <xf numFmtId="166" fontId="49" fillId="28" borderId="17" xfId="47" applyNumberFormat="1" applyFont="1" applyFill="1" applyBorder="1"/>
    <xf numFmtId="3" fontId="49" fillId="29" borderId="12" xfId="0" applyNumberFormat="1" applyFont="1" applyFill="1" applyBorder="1"/>
    <xf numFmtId="166" fontId="49" fillId="28" borderId="12" xfId="47" applyNumberFormat="1" applyFont="1" applyFill="1" applyBorder="1"/>
    <xf numFmtId="166" fontId="50" fillId="28" borderId="0" xfId="47" applyNumberFormat="1" applyFont="1" applyFill="1" applyAlignment="1">
      <alignment horizontal="right"/>
    </xf>
    <xf numFmtId="0" fontId="51" fillId="0" borderId="0" xfId="0" applyFont="1" applyAlignment="1">
      <alignment vertical="center"/>
    </xf>
    <xf numFmtId="0" fontId="52" fillId="30" borderId="0" xfId="58" quotePrefix="1" applyFont="1" applyFill="1" applyBorder="1" applyAlignment="1">
      <alignment horizontal="right" vertical="top" wrapText="1"/>
    </xf>
    <xf numFmtId="179" fontId="53" fillId="0" borderId="0" xfId="59" quotePrefix="1" applyNumberFormat="1" applyFont="1" applyFill="1" applyBorder="1" applyAlignment="1">
      <alignment horizontal="right" vertical="top" wrapText="1"/>
    </xf>
    <xf numFmtId="166" fontId="53" fillId="0" borderId="0" xfId="47" quotePrefix="1" applyNumberFormat="1" applyFont="1" applyFill="1" applyBorder="1" applyAlignment="1">
      <alignment horizontal="right" vertical="top" wrapText="1"/>
    </xf>
    <xf numFmtId="0" fontId="54" fillId="31" borderId="0" xfId="0" applyFont="1" applyFill="1" applyBorder="1" applyAlignment="1"/>
    <xf numFmtId="166" fontId="54" fillId="31" borderId="0" xfId="47" applyNumberFormat="1" applyFont="1" applyFill="1" applyBorder="1" applyAlignment="1"/>
    <xf numFmtId="0" fontId="51" fillId="0" borderId="0" xfId="0" applyFont="1" applyAlignment="1">
      <alignment horizontal="left" vertical="center"/>
    </xf>
    <xf numFmtId="180" fontId="55" fillId="32" borderId="0" xfId="41" applyNumberFormat="1" applyFont="1" applyFill="1" applyBorder="1" applyAlignment="1">
      <alignment vertical="center"/>
    </xf>
    <xf numFmtId="180" fontId="51" fillId="0" borderId="0" xfId="41" applyNumberFormat="1" applyFont="1" applyFill="1" applyBorder="1" applyAlignment="1">
      <alignment vertical="center"/>
    </xf>
    <xf numFmtId="166" fontId="51" fillId="0" borderId="0" xfId="47" applyNumberFormat="1" applyFont="1" applyFill="1" applyBorder="1" applyAlignment="1">
      <alignment vertical="center"/>
    </xf>
    <xf numFmtId="0" fontId="56" fillId="27" borderId="26" xfId="44" applyFont="1" applyFill="1" applyBorder="1"/>
    <xf numFmtId="180" fontId="56" fillId="32" borderId="26" xfId="41" applyNumberFormat="1" applyFont="1" applyFill="1" applyBorder="1" applyAlignment="1">
      <alignment vertical="center"/>
    </xf>
    <xf numFmtId="180" fontId="53" fillId="0" borderId="26" xfId="41" applyNumberFormat="1" applyFont="1" applyFill="1" applyBorder="1" applyAlignment="1">
      <alignment vertical="center"/>
    </xf>
    <xf numFmtId="166" fontId="53" fillId="0" borderId="26" xfId="47" applyNumberFormat="1" applyFont="1" applyFill="1" applyBorder="1" applyAlignment="1">
      <alignment vertical="center"/>
    </xf>
    <xf numFmtId="0" fontId="56" fillId="31" borderId="0" xfId="0" applyFont="1" applyFill="1" applyBorder="1" applyAlignment="1"/>
    <xf numFmtId="0" fontId="57" fillId="27" borderId="0" xfId="44" applyFont="1" applyFill="1" applyBorder="1" applyAlignment="1">
      <alignment horizontal="left"/>
    </xf>
    <xf numFmtId="0" fontId="53" fillId="0" borderId="0" xfId="0" applyFont="1" applyBorder="1" applyAlignment="1">
      <alignment vertical="center"/>
    </xf>
    <xf numFmtId="180" fontId="56" fillId="32" borderId="0" xfId="41" applyNumberFormat="1" applyFont="1" applyFill="1" applyBorder="1" applyAlignment="1">
      <alignment vertical="center"/>
    </xf>
    <xf numFmtId="180" fontId="53" fillId="0" borderId="0" xfId="41" applyNumberFormat="1" applyFont="1" applyFill="1" applyBorder="1" applyAlignment="1">
      <alignment vertical="center"/>
    </xf>
    <xf numFmtId="166" fontId="53" fillId="0" borderId="0" xfId="47" applyNumberFormat="1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166" fontId="0" fillId="0" borderId="0" xfId="47" applyNumberFormat="1" applyFont="1"/>
    <xf numFmtId="0" fontId="3" fillId="0" borderId="0" xfId="0" applyFont="1"/>
    <xf numFmtId="166" fontId="54" fillId="31" borderId="0" xfId="47" applyNumberFormat="1" applyFont="1" applyFill="1" applyBorder="1" applyAlignment="1">
      <alignment horizontal="center"/>
    </xf>
    <xf numFmtId="0" fontId="0" fillId="27" borderId="0" xfId="0" applyFill="1"/>
    <xf numFmtId="166" fontId="54" fillId="27" borderId="0" xfId="47" applyNumberFormat="1" applyFont="1" applyFill="1" applyBorder="1" applyAlignment="1">
      <alignment horizontal="center"/>
    </xf>
    <xf numFmtId="0" fontId="51" fillId="0" borderId="0" xfId="0" applyFont="1"/>
    <xf numFmtId="0" fontId="53" fillId="0" borderId="0" xfId="0" applyFont="1"/>
    <xf numFmtId="181" fontId="53" fillId="0" borderId="0" xfId="0" applyNumberFormat="1" applyFont="1" applyBorder="1"/>
    <xf numFmtId="167" fontId="53" fillId="0" borderId="0" xfId="41" applyNumberFormat="1" applyFont="1" applyBorder="1"/>
    <xf numFmtId="181" fontId="53" fillId="27" borderId="0" xfId="61" applyNumberFormat="1" applyFont="1" applyFill="1" applyBorder="1"/>
    <xf numFmtId="166" fontId="53" fillId="27" borderId="0" xfId="47" applyNumberFormat="1" applyFont="1" applyFill="1"/>
    <xf numFmtId="181" fontId="51" fillId="27" borderId="0" xfId="61" applyNumberFormat="1" applyFont="1" applyFill="1" applyBorder="1"/>
    <xf numFmtId="166" fontId="51" fillId="0" borderId="0" xfId="47" applyNumberFormat="1" applyFont="1"/>
    <xf numFmtId="182" fontId="51" fillId="27" borderId="0" xfId="44" applyNumberFormat="1" applyFont="1" applyFill="1" applyBorder="1"/>
    <xf numFmtId="166" fontId="53" fillId="0" borderId="0" xfId="47" applyNumberFormat="1" applyFont="1"/>
    <xf numFmtId="166" fontId="51" fillId="0" borderId="0" xfId="47" applyNumberFormat="1" applyFont="1" applyBorder="1"/>
    <xf numFmtId="181" fontId="51" fillId="0" borderId="0" xfId="61" applyNumberFormat="1" applyFont="1" applyFill="1" applyBorder="1"/>
    <xf numFmtId="0" fontId="56" fillId="27" borderId="0" xfId="44" applyFont="1" applyFill="1" applyBorder="1"/>
    <xf numFmtId="0" fontId="61" fillId="27" borderId="26" xfId="44" applyFont="1" applyFill="1" applyBorder="1"/>
    <xf numFmtId="167" fontId="61" fillId="27" borderId="26" xfId="41" applyNumberFormat="1" applyFont="1" applyFill="1" applyBorder="1"/>
    <xf numFmtId="166" fontId="61" fillId="27" borderId="26" xfId="47" applyNumberFormat="1" applyFont="1" applyFill="1" applyBorder="1"/>
    <xf numFmtId="167" fontId="61" fillId="32" borderId="26" xfId="41" applyNumberFormat="1" applyFont="1" applyFill="1" applyBorder="1"/>
  </cellXfs>
  <cellStyles count="62">
    <cellStyle name="_Comma" xfId="1"/>
    <cellStyle name="_Currency" xfId="2"/>
    <cellStyle name="_CurrencySpace" xfId="3"/>
    <cellStyle name="_Multiple" xfId="4"/>
    <cellStyle name="_MultipleSpace" xfId="5"/>
    <cellStyle name="_Percent" xfId="6"/>
    <cellStyle name="_PercentSpace" xfId="7"/>
    <cellStyle name="20% - Énfasis1" xfId="8" builtinId="30" customBuiltin="1"/>
    <cellStyle name="20% - Énfasis2" xfId="9" builtinId="34" customBuiltin="1"/>
    <cellStyle name="20% - Énfasis3" xfId="10" builtinId="38" customBuiltin="1"/>
    <cellStyle name="20% - Énfasis4" xfId="11" builtinId="42" customBuiltin="1"/>
    <cellStyle name="20% - Énfasis5" xfId="12" builtinId="46" customBuiltin="1"/>
    <cellStyle name="20% - Énfasis6" xfId="13" builtinId="50" customBuiltin="1"/>
    <cellStyle name="40% - Énfasis1" xfId="14" builtinId="31" customBuiltin="1"/>
    <cellStyle name="40% - Énfasis2" xfId="15" builtinId="35" customBuiltin="1"/>
    <cellStyle name="40% - Énfasis3" xfId="16" builtinId="39" customBuiltin="1"/>
    <cellStyle name="40% - Énfasis4" xfId="17" builtinId="43" customBuiltin="1"/>
    <cellStyle name="40% - Énfasis5" xfId="18" builtinId="47" customBuiltin="1"/>
    <cellStyle name="40% - Énfasis6" xfId="19" builtinId="51" customBuiltin="1"/>
    <cellStyle name="60% - Énfasis1" xfId="20" builtinId="32" customBuiltin="1"/>
    <cellStyle name="60% - Énfasis2" xfId="21" builtinId="36" customBuiltin="1"/>
    <cellStyle name="60% - Énfasis3" xfId="22" builtinId="40" customBuiltin="1"/>
    <cellStyle name="60% - Énfasis4" xfId="23" builtinId="44" customBuiltin="1"/>
    <cellStyle name="60% - Énfasis5" xfId="24" builtinId="48" customBuiltin="1"/>
    <cellStyle name="60% - Énfasis6" xfId="25" builtinId="52" customBuiltin="1"/>
    <cellStyle name="Buena" xfId="26" builtinId="26" customBuiltin="1"/>
    <cellStyle name="Cálculo" xfId="27" builtinId="22" customBuiltin="1"/>
    <cellStyle name="Celda de comprobación" xfId="28" builtinId="23" customBuiltin="1"/>
    <cellStyle name="Celda vinculada" xfId="29" builtinId="24" customBuiltin="1"/>
    <cellStyle name="Encabezado 4" xfId="30" builtinId="19" customBuiltin="1"/>
    <cellStyle name="Énfasis1" xfId="31" builtinId="29" customBuiltin="1"/>
    <cellStyle name="Énfasis2" xfId="32" builtinId="33" customBuiltin="1"/>
    <cellStyle name="Énfasis3" xfId="33" builtinId="37" customBuiltin="1"/>
    <cellStyle name="Énfasis4" xfId="34" builtinId="41" customBuiltin="1"/>
    <cellStyle name="Énfasis5" xfId="35" builtinId="45" customBuiltin="1"/>
    <cellStyle name="Énfasis6" xfId="36" builtinId="49" customBuiltin="1"/>
    <cellStyle name="Entrada" xfId="37" builtinId="20" customBuiltin="1"/>
    <cellStyle name="Estilo 1" xfId="38"/>
    <cellStyle name="Euro" xfId="39"/>
    <cellStyle name="Incorrecto" xfId="40" builtinId="27" customBuiltin="1"/>
    <cellStyle name="Millares" xfId="41" builtinId="3"/>
    <cellStyle name="Millares [0] 2" xfId="56"/>
    <cellStyle name="Millares 2" xfId="60"/>
    <cellStyle name="Millares_INCH JUNTA DICIEMBRE ACTUALIZADA EN FEBRERO 8 2004" xfId="61"/>
    <cellStyle name="Millares_INCH JUNTA MES MARZO NUEVA PRESENTACIÓN 2005" xfId="42"/>
    <cellStyle name="Neutral" xfId="43" builtinId="28" customBuiltin="1"/>
    <cellStyle name="Normal" xfId="0" builtinId="0"/>
    <cellStyle name="Normal 15" xfId="59"/>
    <cellStyle name="Normal 16" xfId="58"/>
    <cellStyle name="Normal 2" xfId="57"/>
    <cellStyle name="Normal_INCH JUNTA DICIEMBRE ACTUALIZADA EN FEBRERO 8 2004" xfId="44"/>
    <cellStyle name="Normal_INCH JUNTA MES MARZO NUEVA PRESENTACIÓN 2005" xfId="45"/>
    <cellStyle name="Notas" xfId="46" builtinId="10" customBuiltin="1"/>
    <cellStyle name="Porcentaje" xfId="47" builtinId="5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1" xfId="52" builtinId="16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  <colors>
    <mruColors>
      <color rgb="FFB3B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2171700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71700" cy="9033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6200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47800" cy="9033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6200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1314449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49" cy="9033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6200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38275" cy="90334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6200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38275" cy="90334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2171700</xdr:colOff>
      <xdr:row>4</xdr:row>
      <xdr:rowOff>135178</xdr:rowOff>
    </xdr:to>
    <xdr:pic>
      <xdr:nvPicPr>
        <xdr:cNvPr id="5" name="5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57150</xdr:colOff>
      <xdr:row>4</xdr:row>
      <xdr:rowOff>169921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2171700" cy="90334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4</xdr:row>
      <xdr:rowOff>142875</xdr:rowOff>
    </xdr:to>
    <xdr:pic>
      <xdr:nvPicPr>
        <xdr:cNvPr id="3" name="5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2171700</xdr:colOff>
      <xdr:row>5</xdr:row>
      <xdr:rowOff>95250</xdr:rowOff>
    </xdr:to>
    <xdr:pic>
      <xdr:nvPicPr>
        <xdr:cNvPr id="2" name="5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2419351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41935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2419351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419350" cy="9033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2009775</xdr:colOff>
      <xdr:row>4</xdr:row>
      <xdr:rowOff>46096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981200" cy="779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41935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1314449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49" cy="9033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6200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33450" cy="9033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1295400</xdr:colOff>
      <xdr:row>3</xdr:row>
      <xdr:rowOff>122296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1266825" cy="6652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762001</xdr:colOff>
      <xdr:row>4</xdr:row>
      <xdr:rowOff>141346</xdr:rowOff>
    </xdr:to>
    <xdr:pic>
      <xdr:nvPicPr>
        <xdr:cNvPr id="2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62000" cy="9033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1314449</xdr:colOff>
      <xdr:row>4</xdr:row>
      <xdr:rowOff>141346</xdr:rowOff>
    </xdr:to>
    <xdr:pic>
      <xdr:nvPicPr>
        <xdr:cNvPr id="3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49" cy="9033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5.bin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2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F36" sqref="F36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5" width="11.42578125" style="5"/>
    <col min="6" max="6" width="11.5703125" style="11" bestFit="1" customWidth="1"/>
    <col min="7" max="7" width="11.5703125" style="5" bestFit="1" customWidth="1"/>
    <col min="8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67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2005</v>
      </c>
      <c r="C6" s="6">
        <v>2006</v>
      </c>
      <c r="D6" s="7" t="s">
        <v>46</v>
      </c>
    </row>
    <row r="7" spans="1:4" x14ac:dyDescent="0.3">
      <c r="A7" s="18" t="s">
        <v>21</v>
      </c>
      <c r="B7" s="14">
        <v>5989</v>
      </c>
      <c r="C7" s="14">
        <v>915</v>
      </c>
      <c r="D7" s="17">
        <f t="shared" ref="D7:D13" si="0">IF(B7&lt;&gt;0,(C7-B7)/B7,0)</f>
        <v>-0.84721990315578566</v>
      </c>
    </row>
    <row r="8" spans="1:4" x14ac:dyDescent="0.3">
      <c r="A8" s="18" t="s">
        <v>22</v>
      </c>
      <c r="B8" s="14">
        <v>2353634</v>
      </c>
      <c r="C8" s="14">
        <v>2658218</v>
      </c>
      <c r="D8" s="17">
        <f t="shared" si="0"/>
        <v>0.1294100951974691</v>
      </c>
    </row>
    <row r="9" spans="1:4" x14ac:dyDescent="0.3">
      <c r="A9" s="18" t="s">
        <v>23</v>
      </c>
      <c r="B9" s="14">
        <f>3670+1423</f>
        <v>5093</v>
      </c>
      <c r="C9" s="14">
        <f>20208+899</f>
        <v>21107</v>
      </c>
      <c r="D9" s="17">
        <f t="shared" si="0"/>
        <v>3.1443157274690754</v>
      </c>
    </row>
    <row r="10" spans="1:4" x14ac:dyDescent="0.3">
      <c r="A10" s="18" t="s">
        <v>73</v>
      </c>
      <c r="B10" s="14">
        <v>23356</v>
      </c>
      <c r="C10" s="14">
        <v>941</v>
      </c>
      <c r="D10" s="17">
        <f t="shared" si="0"/>
        <v>-0.95971056687789003</v>
      </c>
    </row>
    <row r="11" spans="1:4" x14ac:dyDescent="0.3">
      <c r="A11" s="18" t="s">
        <v>74</v>
      </c>
      <c r="B11" s="14">
        <v>15</v>
      </c>
      <c r="C11" s="14">
        <v>154</v>
      </c>
      <c r="D11" s="17">
        <f t="shared" si="0"/>
        <v>9.2666666666666675</v>
      </c>
    </row>
    <row r="12" spans="1:4" x14ac:dyDescent="0.3">
      <c r="A12" s="18" t="s">
        <v>26</v>
      </c>
      <c r="B12" s="14">
        <v>1356015</v>
      </c>
      <c r="C12" s="14">
        <v>1347305</v>
      </c>
      <c r="D12" s="17">
        <f t="shared" si="0"/>
        <v>-6.4232327813482891E-3</v>
      </c>
    </row>
    <row r="13" spans="1:4" ht="15.75" thickBot="1" x14ac:dyDescent="0.35">
      <c r="A13" s="26" t="s">
        <v>27</v>
      </c>
      <c r="B13" s="27">
        <f>SUM(B7:B12)</f>
        <v>3744102</v>
      </c>
      <c r="C13" s="27">
        <f>SUM(C7:C12)</f>
        <v>4028640</v>
      </c>
      <c r="D13" s="46">
        <f t="shared" si="0"/>
        <v>7.5996327023142005E-2</v>
      </c>
    </row>
    <row r="15" spans="1:4" x14ac:dyDescent="0.3">
      <c r="A15" s="6" t="s">
        <v>48</v>
      </c>
      <c r="B15" s="6">
        <v>2005</v>
      </c>
      <c r="C15" s="6">
        <v>2006</v>
      </c>
      <c r="D15" s="7" t="s">
        <v>46</v>
      </c>
    </row>
    <row r="16" spans="1:4" x14ac:dyDescent="0.3">
      <c r="A16" s="18" t="s">
        <v>29</v>
      </c>
      <c r="B16" s="14">
        <f>13560+24038</f>
        <v>37598</v>
      </c>
      <c r="C16" s="14">
        <f>37190+22937</f>
        <v>60127</v>
      </c>
      <c r="D16" s="17">
        <f t="shared" ref="D16:D22" si="1">IF(B16&lt;&gt;0,(C16-B16)/B16,0)</f>
        <v>0.59920740464918343</v>
      </c>
    </row>
    <row r="17" spans="1:7" x14ac:dyDescent="0.3">
      <c r="A17" s="18" t="s">
        <v>30</v>
      </c>
      <c r="B17" s="14">
        <v>3128</v>
      </c>
      <c r="C17" s="14">
        <v>98</v>
      </c>
      <c r="D17" s="17">
        <f t="shared" si="1"/>
        <v>-0.96867007672634275</v>
      </c>
    </row>
    <row r="18" spans="1:7" x14ac:dyDescent="0.3">
      <c r="A18" s="18" t="s">
        <v>31</v>
      </c>
      <c r="B18" s="14">
        <v>247</v>
      </c>
      <c r="C18" s="14">
        <v>501</v>
      </c>
      <c r="D18" s="17">
        <f t="shared" si="1"/>
        <v>1.0283400809716599</v>
      </c>
    </row>
    <row r="19" spans="1:7" x14ac:dyDescent="0.3">
      <c r="A19" s="18" t="s">
        <v>24</v>
      </c>
      <c r="B19" s="14">
        <v>2356</v>
      </c>
      <c r="C19" s="14">
        <v>2509</v>
      </c>
      <c r="D19" s="17">
        <f t="shared" si="1"/>
        <v>6.4940577249575554E-2</v>
      </c>
    </row>
    <row r="20" spans="1:7" s="9" customFormat="1" x14ac:dyDescent="0.3">
      <c r="A20" s="29" t="s">
        <v>33</v>
      </c>
      <c r="B20" s="30">
        <f>SUM(B16:B19)</f>
        <v>43329</v>
      </c>
      <c r="C20" s="30">
        <f>SUM(C16:C19)</f>
        <v>63235</v>
      </c>
      <c r="D20" s="42">
        <f t="shared" si="1"/>
        <v>0.45941517228645939</v>
      </c>
      <c r="F20" s="12"/>
    </row>
    <row r="21" spans="1:7" s="9" customFormat="1" x14ac:dyDescent="0.3">
      <c r="A21" s="31" t="s">
        <v>34</v>
      </c>
      <c r="B21" s="32">
        <v>3700773</v>
      </c>
      <c r="C21" s="32">
        <v>3965405</v>
      </c>
      <c r="D21" s="47">
        <f t="shared" si="1"/>
        <v>7.1507222950448465E-2</v>
      </c>
      <c r="F21" s="12"/>
      <c r="G21" s="12"/>
    </row>
    <row r="22" spans="1:7" s="9" customFormat="1" ht="15.75" thickBot="1" x14ac:dyDescent="0.35">
      <c r="A22" s="26" t="s">
        <v>35</v>
      </c>
      <c r="B22" s="27">
        <f>+B20+B21</f>
        <v>3744102</v>
      </c>
      <c r="C22" s="27">
        <f>+C20+C21</f>
        <v>4028640</v>
      </c>
      <c r="D22" s="45">
        <f t="shared" si="1"/>
        <v>7.5996327023142005E-2</v>
      </c>
      <c r="F22" s="12"/>
      <c r="G22" s="12"/>
    </row>
    <row r="23" spans="1:7" x14ac:dyDescent="0.3">
      <c r="A23" s="18" t="s">
        <v>54</v>
      </c>
      <c r="B23" s="14">
        <v>435123458</v>
      </c>
      <c r="C23" s="14">
        <v>435123458</v>
      </c>
      <c r="D23" s="17"/>
      <c r="G23" s="11"/>
    </row>
    <row r="24" spans="1:7" x14ac:dyDescent="0.3">
      <c r="A24" s="18" t="s">
        <v>71</v>
      </c>
      <c r="B24" s="33">
        <f>+B21/+(B23/1000000)</f>
        <v>8505.1102898708796</v>
      </c>
      <c r="C24" s="33">
        <f>+C21/+(C23/1000000)</f>
        <v>9113.2871075868297</v>
      </c>
      <c r="D24" s="17"/>
      <c r="G24" s="11"/>
    </row>
    <row r="25" spans="1:7" x14ac:dyDescent="0.3">
      <c r="F25" s="13"/>
      <c r="G25" s="13"/>
    </row>
    <row r="26" spans="1:7" x14ac:dyDescent="0.3">
      <c r="A26" s="6" t="s">
        <v>70</v>
      </c>
      <c r="B26" s="6">
        <v>2005</v>
      </c>
      <c r="C26" s="6">
        <v>2006</v>
      </c>
      <c r="D26" s="7" t="s">
        <v>46</v>
      </c>
      <c r="G26" s="13"/>
    </row>
    <row r="27" spans="1:7" x14ac:dyDescent="0.3">
      <c r="A27" s="19" t="s">
        <v>68</v>
      </c>
      <c r="B27" s="14"/>
      <c r="C27" s="17"/>
      <c r="D27" s="34"/>
    </row>
    <row r="28" spans="1:7" x14ac:dyDescent="0.3">
      <c r="A28" s="19" t="s">
        <v>44</v>
      </c>
      <c r="B28" s="14"/>
      <c r="C28" s="17"/>
      <c r="D28" s="34"/>
    </row>
    <row r="29" spans="1:7" x14ac:dyDescent="0.3">
      <c r="A29" s="19" t="s">
        <v>45</v>
      </c>
      <c r="B29" s="14"/>
      <c r="C29" s="17"/>
      <c r="D29" s="34"/>
    </row>
    <row r="30" spans="1:7" s="9" customFormat="1" x14ac:dyDescent="0.3">
      <c r="A30" s="19" t="s">
        <v>72</v>
      </c>
      <c r="B30" s="30">
        <v>158869</v>
      </c>
      <c r="C30" s="30">
        <v>163042</v>
      </c>
      <c r="D30" s="17">
        <f t="shared" ref="D30:D41" si="2">IF(C30&lt;&gt;0,(C30-B30)/B30,0)</f>
        <v>2.6266924321296164E-2</v>
      </c>
      <c r="F30" s="12"/>
    </row>
    <row r="31" spans="1:7" s="9" customFormat="1" x14ac:dyDescent="0.3">
      <c r="A31" s="19" t="s">
        <v>5</v>
      </c>
      <c r="B31" s="14">
        <v>17762</v>
      </c>
      <c r="C31" s="14">
        <v>56828</v>
      </c>
      <c r="D31" s="17">
        <f t="shared" si="2"/>
        <v>2.1994144803513116</v>
      </c>
      <c r="F31" s="12"/>
    </row>
    <row r="32" spans="1:7" s="9" customFormat="1" x14ac:dyDescent="0.3">
      <c r="A32" s="19" t="s">
        <v>57</v>
      </c>
      <c r="B32" s="14">
        <v>11795</v>
      </c>
      <c r="C32" s="14">
        <v>16684</v>
      </c>
      <c r="D32" s="17">
        <f t="shared" si="2"/>
        <v>0.4144976685036032</v>
      </c>
      <c r="F32" s="12"/>
    </row>
    <row r="33" spans="1:6" s="9" customFormat="1" x14ac:dyDescent="0.3">
      <c r="A33" s="19" t="s">
        <v>56</v>
      </c>
      <c r="B33" s="14">
        <f>1732+758</f>
        <v>2490</v>
      </c>
      <c r="C33" s="14">
        <f>2360+5087</f>
        <v>7447</v>
      </c>
      <c r="D33" s="17">
        <f t="shared" si="2"/>
        <v>1.9907630522088353</v>
      </c>
      <c r="F33" s="12"/>
    </row>
    <row r="34" spans="1:6" s="9" customFormat="1" x14ac:dyDescent="0.3">
      <c r="A34" s="35" t="s">
        <v>4</v>
      </c>
      <c r="B34" s="14">
        <f>SUM(B30:B33)</f>
        <v>190916</v>
      </c>
      <c r="C34" s="30">
        <f>SUM(C30:C33)</f>
        <v>244001</v>
      </c>
      <c r="D34" s="17">
        <f t="shared" si="2"/>
        <v>0.27805422279955583</v>
      </c>
      <c r="F34" s="12"/>
    </row>
    <row r="35" spans="1:6" x14ac:dyDescent="0.3">
      <c r="A35" s="19" t="s">
        <v>58</v>
      </c>
      <c r="B35" s="14">
        <v>-22106</v>
      </c>
      <c r="C35" s="14">
        <v>-41421</v>
      </c>
      <c r="D35" s="17">
        <f t="shared" si="2"/>
        <v>0.87374468470098621</v>
      </c>
    </row>
    <row r="36" spans="1:6" s="9" customFormat="1" x14ac:dyDescent="0.3">
      <c r="A36" s="35" t="s">
        <v>42</v>
      </c>
      <c r="B36" s="30">
        <f>SUM(B34:B35)</f>
        <v>168810</v>
      </c>
      <c r="C36" s="30">
        <f>SUM(C34:C35)</f>
        <v>202580</v>
      </c>
      <c r="D36" s="17">
        <f t="shared" si="2"/>
        <v>0.20004739055743143</v>
      </c>
      <c r="F36" s="12"/>
    </row>
    <row r="37" spans="1:6" x14ac:dyDescent="0.3">
      <c r="A37" s="19" t="s">
        <v>10</v>
      </c>
      <c r="B37" s="14">
        <f>3469+896+125</f>
        <v>4490</v>
      </c>
      <c r="C37" s="14">
        <f>3631+4723+37</f>
        <v>8391</v>
      </c>
      <c r="D37" s="17">
        <f t="shared" si="2"/>
        <v>0.86881959910913142</v>
      </c>
    </row>
    <row r="38" spans="1:6" s="9" customFormat="1" x14ac:dyDescent="0.3">
      <c r="A38" s="19" t="s">
        <v>13</v>
      </c>
      <c r="B38" s="14">
        <f>-263-125</f>
        <v>-388</v>
      </c>
      <c r="C38" s="14">
        <f>-23-37</f>
        <v>-60</v>
      </c>
      <c r="D38" s="17">
        <f t="shared" si="2"/>
        <v>-0.84536082474226804</v>
      </c>
      <c r="F38" s="12"/>
    </row>
    <row r="39" spans="1:6" s="9" customFormat="1" x14ac:dyDescent="0.3">
      <c r="A39" s="35" t="s">
        <v>43</v>
      </c>
      <c r="B39" s="30">
        <f>SUM(B36:B38)</f>
        <v>172912</v>
      </c>
      <c r="C39" s="30">
        <f>SUM(C36:C38)</f>
        <v>210911</v>
      </c>
      <c r="D39" s="17">
        <f t="shared" si="2"/>
        <v>0.21975918386231147</v>
      </c>
      <c r="F39" s="12"/>
    </row>
    <row r="40" spans="1:6" x14ac:dyDescent="0.3">
      <c r="A40" s="19" t="s">
        <v>15</v>
      </c>
      <c r="B40" s="14">
        <v>-3501</v>
      </c>
      <c r="C40" s="14">
        <v>-214</v>
      </c>
      <c r="D40" s="17">
        <f t="shared" si="2"/>
        <v>-0.93887460725506999</v>
      </c>
    </row>
    <row r="41" spans="1:6" ht="15.75" thickBot="1" x14ac:dyDescent="0.35">
      <c r="A41" s="36" t="s">
        <v>17</v>
      </c>
      <c r="B41" s="37">
        <f>SUM(B39:B40)</f>
        <v>169411</v>
      </c>
      <c r="C41" s="37">
        <f>SUM(C39:C40)</f>
        <v>210697</v>
      </c>
      <c r="D41" s="45">
        <f t="shared" si="2"/>
        <v>0.243703183382425</v>
      </c>
    </row>
    <row r="42" spans="1:6" x14ac:dyDescent="0.3">
      <c r="A42" s="19"/>
      <c r="B42" s="14"/>
      <c r="C42" s="17"/>
      <c r="D42" s="17"/>
    </row>
    <row r="43" spans="1:6" ht="15.75" thickBot="1" x14ac:dyDescent="0.35">
      <c r="A43" s="36" t="s">
        <v>75</v>
      </c>
      <c r="B43" s="48">
        <f>+B41/(B23/1000000)</f>
        <v>389.34007552403665</v>
      </c>
      <c r="C43" s="48">
        <f>+C41/(C23/1000000)</f>
        <v>484.22349134759816</v>
      </c>
      <c r="D43" s="45">
        <f>IF(C43&lt;&gt;0,(C43-B43)/B43,0)</f>
        <v>0.243703183382425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16" zoomScale="87" zoomScaleNormal="87" workbookViewId="0">
      <selection activeCell="D36" activeCellId="1" sqref="B36:B55 D36:D55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16384" width="11.42578125" style="5"/>
  </cols>
  <sheetData>
    <row r="1" spans="1:5" x14ac:dyDescent="0.3">
      <c r="A1" s="38" t="s">
        <v>40</v>
      </c>
    </row>
    <row r="2" spans="1:5" x14ac:dyDescent="0.3">
      <c r="A2" s="38" t="s">
        <v>67</v>
      </c>
    </row>
    <row r="3" spans="1:5" x14ac:dyDescent="0.3">
      <c r="A3" s="24" t="s">
        <v>44</v>
      </c>
    </row>
    <row r="4" spans="1:5" x14ac:dyDescent="0.3">
      <c r="A4" s="24" t="s">
        <v>45</v>
      </c>
    </row>
    <row r="6" spans="1:5" x14ac:dyDescent="0.3">
      <c r="A6" s="6" t="s">
        <v>20</v>
      </c>
      <c r="B6" s="6">
        <v>2006</v>
      </c>
      <c r="C6" s="6">
        <v>2007</v>
      </c>
      <c r="D6" s="7" t="s">
        <v>46</v>
      </c>
      <c r="E6" s="20"/>
    </row>
    <row r="7" spans="1:5" x14ac:dyDescent="0.3">
      <c r="A7" s="18" t="s">
        <v>21</v>
      </c>
      <c r="B7" s="14">
        <v>147021</v>
      </c>
      <c r="C7" s="14">
        <v>141066</v>
      </c>
      <c r="D7" s="17">
        <f t="shared" ref="D7:D16" si="0">+(C7-B7)/B7</f>
        <v>-4.0504417736241763E-2</v>
      </c>
      <c r="E7" s="21"/>
    </row>
    <row r="8" spans="1:5" x14ac:dyDescent="0.3">
      <c r="A8" s="18" t="s">
        <v>22</v>
      </c>
      <c r="B8" s="14">
        <v>323226</v>
      </c>
      <c r="C8" s="14">
        <v>322254</v>
      </c>
      <c r="D8" s="17">
        <f t="shared" si="0"/>
        <v>-3.0071838280336361E-3</v>
      </c>
      <c r="E8" s="21"/>
    </row>
    <row r="9" spans="1:5" x14ac:dyDescent="0.3">
      <c r="A9" s="18" t="s">
        <v>23</v>
      </c>
      <c r="B9" s="14">
        <v>381730</v>
      </c>
      <c r="C9" s="14">
        <v>426683</v>
      </c>
      <c r="D9" s="17">
        <f t="shared" si="0"/>
        <v>0.1177612448589317</v>
      </c>
      <c r="E9" s="21"/>
    </row>
    <row r="10" spans="1:5" x14ac:dyDescent="0.3">
      <c r="A10" s="18" t="s">
        <v>36</v>
      </c>
      <c r="B10" s="14">
        <v>371699</v>
      </c>
      <c r="C10" s="14">
        <v>434839</v>
      </c>
      <c r="D10" s="17">
        <f t="shared" si="0"/>
        <v>0.16986863026265878</v>
      </c>
      <c r="E10" s="21"/>
    </row>
    <row r="11" spans="1:5" x14ac:dyDescent="0.3">
      <c r="A11" s="18" t="s">
        <v>60</v>
      </c>
      <c r="B11" s="14">
        <v>561031</v>
      </c>
      <c r="C11" s="14">
        <v>653908</v>
      </c>
      <c r="D11" s="17">
        <f t="shared" si="0"/>
        <v>0.16554700185907731</v>
      </c>
      <c r="E11" s="21"/>
    </row>
    <row r="12" spans="1:5" x14ac:dyDescent="0.3">
      <c r="A12" s="18" t="s">
        <v>47</v>
      </c>
      <c r="B12" s="14">
        <v>621440</v>
      </c>
      <c r="C12" s="14">
        <v>564218</v>
      </c>
      <c r="D12" s="17">
        <f t="shared" si="0"/>
        <v>-9.2079685890834193E-2</v>
      </c>
      <c r="E12" s="21"/>
    </row>
    <row r="13" spans="1:5" x14ac:dyDescent="0.3">
      <c r="A13" s="18" t="s">
        <v>24</v>
      </c>
      <c r="B13" s="14">
        <v>23420</v>
      </c>
      <c r="C13" s="14">
        <v>57260</v>
      </c>
      <c r="D13" s="17">
        <f t="shared" si="0"/>
        <v>1.4449188727583262</v>
      </c>
      <c r="E13" s="21"/>
    </row>
    <row r="14" spans="1:5" x14ac:dyDescent="0.3">
      <c r="A14" s="18" t="s">
        <v>25</v>
      </c>
      <c r="B14" s="14">
        <v>11893</v>
      </c>
      <c r="C14" s="14">
        <v>12073</v>
      </c>
      <c r="D14" s="17">
        <f t="shared" si="0"/>
        <v>1.5134953333893888E-2</v>
      </c>
      <c r="E14" s="21"/>
    </row>
    <row r="15" spans="1:5" x14ac:dyDescent="0.3">
      <c r="A15" s="18" t="s">
        <v>26</v>
      </c>
      <c r="B15" s="14">
        <v>2591441</v>
      </c>
      <c r="C15" s="14">
        <v>2736001</v>
      </c>
      <c r="D15" s="17">
        <f t="shared" si="0"/>
        <v>5.5783635436809094E-2</v>
      </c>
      <c r="E15" s="21"/>
    </row>
    <row r="16" spans="1:5" ht="15.75" thickBot="1" x14ac:dyDescent="0.35">
      <c r="A16" s="26" t="s">
        <v>27</v>
      </c>
      <c r="B16" s="27">
        <f>SUM(B7:B15)</f>
        <v>5032901</v>
      </c>
      <c r="C16" s="27">
        <f>SUM(C7:C15)</f>
        <v>5348302</v>
      </c>
      <c r="D16" s="45">
        <f t="shared" si="0"/>
        <v>6.266783312447434E-2</v>
      </c>
      <c r="E16" s="22"/>
    </row>
    <row r="17" spans="1:5" x14ac:dyDescent="0.3">
      <c r="A17" s="18"/>
      <c r="B17" s="14"/>
      <c r="C17" s="14"/>
      <c r="D17" s="17"/>
      <c r="E17" s="21"/>
    </row>
    <row r="18" spans="1:5" x14ac:dyDescent="0.3">
      <c r="A18" s="6" t="s">
        <v>48</v>
      </c>
      <c r="B18" s="6">
        <v>2006</v>
      </c>
      <c r="C18" s="6">
        <v>2007</v>
      </c>
      <c r="D18" s="6" t="s">
        <v>46</v>
      </c>
      <c r="E18" s="20"/>
    </row>
    <row r="19" spans="1:5" x14ac:dyDescent="0.3">
      <c r="A19" s="18" t="s">
        <v>28</v>
      </c>
      <c r="B19" s="14">
        <v>705877</v>
      </c>
      <c r="C19" s="14">
        <v>718503</v>
      </c>
      <c r="D19" s="17">
        <f t="shared" ref="D19:D30" si="1">+(C19-B19)/B19</f>
        <v>1.7886968976181403E-2</v>
      </c>
      <c r="E19" s="21"/>
    </row>
    <row r="20" spans="1:5" x14ac:dyDescent="0.3">
      <c r="A20" s="18" t="s">
        <v>49</v>
      </c>
      <c r="B20" s="14">
        <v>146194</v>
      </c>
      <c r="C20" s="14">
        <v>146091</v>
      </c>
      <c r="D20" s="17">
        <f t="shared" si="1"/>
        <v>-7.0454327810990877E-4</v>
      </c>
      <c r="E20" s="21"/>
    </row>
    <row r="21" spans="1:5" x14ac:dyDescent="0.3">
      <c r="A21" s="18" t="s">
        <v>38</v>
      </c>
      <c r="B21" s="14">
        <v>108992</v>
      </c>
      <c r="C21" s="14">
        <v>140644</v>
      </c>
      <c r="D21" s="17">
        <f t="shared" si="1"/>
        <v>0.29040663534938344</v>
      </c>
      <c r="E21" s="21"/>
    </row>
    <row r="22" spans="1:5" x14ac:dyDescent="0.3">
      <c r="A22" s="18" t="s">
        <v>30</v>
      </c>
      <c r="B22" s="14">
        <v>54299</v>
      </c>
      <c r="C22" s="14">
        <v>55981</v>
      </c>
      <c r="D22" s="17">
        <f t="shared" si="1"/>
        <v>3.0976629403856426E-2</v>
      </c>
      <c r="E22" s="21"/>
    </row>
    <row r="23" spans="1:5" x14ac:dyDescent="0.3">
      <c r="A23" s="18" t="s">
        <v>31</v>
      </c>
      <c r="B23" s="14">
        <v>46282</v>
      </c>
      <c r="C23" s="14">
        <v>58521</v>
      </c>
      <c r="D23" s="17">
        <f t="shared" si="1"/>
        <v>0.26444406032582862</v>
      </c>
      <c r="E23" s="21"/>
    </row>
    <row r="24" spans="1:5" x14ac:dyDescent="0.3">
      <c r="A24" s="18" t="s">
        <v>32</v>
      </c>
      <c r="B24" s="14">
        <v>38698</v>
      </c>
      <c r="C24" s="14">
        <v>57731</v>
      </c>
      <c r="D24" s="17">
        <f t="shared" si="1"/>
        <v>0.49183420331800093</v>
      </c>
      <c r="E24" s="21"/>
    </row>
    <row r="25" spans="1:5" x14ac:dyDescent="0.3">
      <c r="A25" s="18" t="s">
        <v>24</v>
      </c>
      <c r="B25" s="14">
        <v>10307</v>
      </c>
      <c r="C25" s="14">
        <v>36889</v>
      </c>
      <c r="D25" s="17">
        <f t="shared" si="1"/>
        <v>2.5790239642961095</v>
      </c>
      <c r="E25" s="21"/>
    </row>
    <row r="26" spans="1:5" x14ac:dyDescent="0.3">
      <c r="A26" s="18" t="s">
        <v>0</v>
      </c>
      <c r="B26" s="14">
        <v>1749</v>
      </c>
      <c r="C26" s="14">
        <v>1583</v>
      </c>
      <c r="D26" s="17">
        <f t="shared" si="1"/>
        <v>-9.4911377930245858E-2</v>
      </c>
      <c r="E26" s="21"/>
    </row>
    <row r="27" spans="1:5" x14ac:dyDescent="0.3">
      <c r="A27" s="18" t="s">
        <v>33</v>
      </c>
      <c r="B27" s="14">
        <f>SUM(B19:B26)</f>
        <v>1112398</v>
      </c>
      <c r="C27" s="14">
        <f>SUM(C19:C26)</f>
        <v>1215943</v>
      </c>
      <c r="D27" s="17">
        <f t="shared" si="1"/>
        <v>9.308269162655812E-2</v>
      </c>
      <c r="E27" s="21"/>
    </row>
    <row r="28" spans="1:5" x14ac:dyDescent="0.3">
      <c r="A28" s="18" t="s">
        <v>39</v>
      </c>
      <c r="B28" s="14">
        <v>2618</v>
      </c>
      <c r="C28" s="14">
        <v>2964</v>
      </c>
      <c r="D28" s="54">
        <f t="shared" si="1"/>
        <v>0.13216195569136746</v>
      </c>
      <c r="E28" s="21"/>
    </row>
    <row r="29" spans="1:5" x14ac:dyDescent="0.3">
      <c r="A29" s="55" t="s">
        <v>34</v>
      </c>
      <c r="B29" s="56">
        <v>3917885</v>
      </c>
      <c r="C29" s="56">
        <v>4129395</v>
      </c>
      <c r="D29" s="57">
        <f t="shared" si="1"/>
        <v>5.3985760174175605E-2</v>
      </c>
      <c r="E29" s="21"/>
    </row>
    <row r="30" spans="1:5" ht="15.75" thickBot="1" x14ac:dyDescent="0.35">
      <c r="A30" s="58" t="s">
        <v>35</v>
      </c>
      <c r="B30" s="59">
        <f>+B27+B28+B29</f>
        <v>5032901</v>
      </c>
      <c r="C30" s="59">
        <f>+C27+C28+C29</f>
        <v>5348302</v>
      </c>
      <c r="D30" s="46">
        <f t="shared" si="1"/>
        <v>6.266783312447434E-2</v>
      </c>
      <c r="E30" s="21"/>
    </row>
    <row r="31" spans="1:5" x14ac:dyDescent="0.3">
      <c r="A31" s="19"/>
      <c r="B31" s="14"/>
      <c r="C31" s="14"/>
      <c r="D31" s="17"/>
      <c r="E31" s="21"/>
    </row>
    <row r="32" spans="1:5" x14ac:dyDescent="0.3">
      <c r="A32" s="41" t="s">
        <v>3</v>
      </c>
      <c r="B32" s="14"/>
      <c r="C32" s="14"/>
      <c r="D32" s="17"/>
      <c r="E32" s="21"/>
    </row>
    <row r="33" spans="1:6" x14ac:dyDescent="0.3">
      <c r="A33" s="41" t="s">
        <v>68</v>
      </c>
      <c r="B33" s="14"/>
      <c r="C33" s="14"/>
      <c r="D33" s="17"/>
    </row>
    <row r="34" spans="1:6" x14ac:dyDescent="0.3">
      <c r="A34" s="41" t="s">
        <v>44</v>
      </c>
      <c r="B34" s="14"/>
      <c r="C34" s="14"/>
      <c r="D34" s="17"/>
    </row>
    <row r="35" spans="1:6" x14ac:dyDescent="0.3">
      <c r="A35" s="41" t="s">
        <v>45</v>
      </c>
      <c r="B35" s="14"/>
      <c r="C35" s="14"/>
      <c r="D35" s="17"/>
    </row>
    <row r="36" spans="1:6" x14ac:dyDescent="0.3">
      <c r="A36" s="6"/>
      <c r="B36" s="6">
        <v>2006</v>
      </c>
      <c r="C36" s="6" t="s">
        <v>55</v>
      </c>
      <c r="D36" s="6">
        <v>2007</v>
      </c>
      <c r="E36" s="7" t="s">
        <v>55</v>
      </c>
      <c r="F36" s="7" t="s">
        <v>46</v>
      </c>
    </row>
    <row r="37" spans="1:6" s="9" customFormat="1" x14ac:dyDescent="0.3">
      <c r="A37" s="30" t="s">
        <v>4</v>
      </c>
      <c r="B37" s="50">
        <v>2872015</v>
      </c>
      <c r="C37" s="42">
        <v>1</v>
      </c>
      <c r="D37" s="50">
        <v>3449517</v>
      </c>
      <c r="E37" s="42">
        <v>1</v>
      </c>
      <c r="F37" s="42">
        <f t="shared" ref="F37:F55" si="2">+(D37-B37)/B37</f>
        <v>0.20107903336159455</v>
      </c>
    </row>
    <row r="38" spans="1:6" x14ac:dyDescent="0.3">
      <c r="A38" s="14" t="s">
        <v>50</v>
      </c>
      <c r="B38" s="51">
        <v>-1760636</v>
      </c>
      <c r="C38" s="17">
        <f t="shared" ref="C38:C55" si="3">+B38/$B$37</f>
        <v>-0.61303161717470134</v>
      </c>
      <c r="D38" s="51">
        <v>-2035308</v>
      </c>
      <c r="E38" s="17">
        <f t="shared" ref="E38:E55" si="4">+D38/$D$37</f>
        <v>-0.59002695159931084</v>
      </c>
      <c r="F38" s="17">
        <f t="shared" si="2"/>
        <v>0.15600726101249776</v>
      </c>
    </row>
    <row r="39" spans="1:6" s="9" customFormat="1" x14ac:dyDescent="0.3">
      <c r="A39" s="30" t="s">
        <v>6</v>
      </c>
      <c r="B39" s="30">
        <f>SUM(B37:B38)</f>
        <v>1111379</v>
      </c>
      <c r="C39" s="42">
        <f t="shared" si="3"/>
        <v>0.38696838282529861</v>
      </c>
      <c r="D39" s="30">
        <f>SUM(D37:D38)</f>
        <v>1414209</v>
      </c>
      <c r="E39" s="42">
        <f t="shared" si="4"/>
        <v>0.40997304840068916</v>
      </c>
      <c r="F39" s="42">
        <f t="shared" si="2"/>
        <v>0.27248130475742299</v>
      </c>
    </row>
    <row r="40" spans="1:6" x14ac:dyDescent="0.3">
      <c r="A40" s="14" t="s">
        <v>7</v>
      </c>
      <c r="B40" s="14">
        <v>-127200</v>
      </c>
      <c r="C40" s="17">
        <f t="shared" si="3"/>
        <v>-4.4289462276485322E-2</v>
      </c>
      <c r="D40" s="14">
        <v>-165507</v>
      </c>
      <c r="E40" s="17">
        <f t="shared" si="4"/>
        <v>-4.7979760644751138E-2</v>
      </c>
      <c r="F40" s="17">
        <f t="shared" si="2"/>
        <v>0.30115566037735847</v>
      </c>
    </row>
    <row r="41" spans="1:6" x14ac:dyDescent="0.3">
      <c r="A41" s="14" t="s">
        <v>8</v>
      </c>
      <c r="B41" s="14">
        <v>-684105</v>
      </c>
      <c r="C41" s="17">
        <f t="shared" si="3"/>
        <v>-0.23819687571269649</v>
      </c>
      <c r="D41" s="14">
        <v>-815817</v>
      </c>
      <c r="E41" s="17">
        <f t="shared" si="4"/>
        <v>-0.23650180590500061</v>
      </c>
      <c r="F41" s="17">
        <f t="shared" si="2"/>
        <v>0.19253184818120025</v>
      </c>
    </row>
    <row r="42" spans="1:6" s="9" customFormat="1" x14ac:dyDescent="0.3">
      <c r="A42" s="30" t="s">
        <v>9</v>
      </c>
      <c r="B42" s="30">
        <f>SUM(B40:B41)</f>
        <v>-811305</v>
      </c>
      <c r="C42" s="42">
        <f t="shared" si="3"/>
        <v>-0.28248633798918182</v>
      </c>
      <c r="D42" s="30">
        <f>SUM(D40:D41)</f>
        <v>-981324</v>
      </c>
      <c r="E42" s="42">
        <f t="shared" si="4"/>
        <v>-0.28448156654975176</v>
      </c>
      <c r="F42" s="42">
        <f t="shared" si="2"/>
        <v>0.20956237173442788</v>
      </c>
    </row>
    <row r="43" spans="1:6" s="9" customFormat="1" x14ac:dyDescent="0.3">
      <c r="A43" s="30" t="s">
        <v>1</v>
      </c>
      <c r="B43" s="30">
        <f>+B39+B42</f>
        <v>300074</v>
      </c>
      <c r="C43" s="42">
        <f t="shared" si="3"/>
        <v>0.1044820448361168</v>
      </c>
      <c r="D43" s="30">
        <f>+D39+D42</f>
        <v>432885</v>
      </c>
      <c r="E43" s="42">
        <f t="shared" si="4"/>
        <v>0.12549148185093739</v>
      </c>
      <c r="F43" s="42">
        <f t="shared" si="2"/>
        <v>0.44259416010717356</v>
      </c>
    </row>
    <row r="44" spans="1:6" x14ac:dyDescent="0.3">
      <c r="A44" s="14" t="s">
        <v>51</v>
      </c>
      <c r="B44" s="14">
        <v>13821</v>
      </c>
      <c r="C44" s="17">
        <f t="shared" si="3"/>
        <v>4.8123007714096205E-3</v>
      </c>
      <c r="D44" s="14">
        <v>11386</v>
      </c>
      <c r="E44" s="17">
        <f t="shared" si="4"/>
        <v>3.3007519603469124E-3</v>
      </c>
      <c r="F44" s="17">
        <f t="shared" si="2"/>
        <v>-0.17618117357644164</v>
      </c>
    </row>
    <row r="45" spans="1:6" x14ac:dyDescent="0.3">
      <c r="A45" s="14" t="s">
        <v>11</v>
      </c>
      <c r="B45" s="14">
        <v>-64413</v>
      </c>
      <c r="C45" s="17">
        <f t="shared" si="3"/>
        <v>-2.2427807654207935E-2</v>
      </c>
      <c r="D45" s="14">
        <v>-84176</v>
      </c>
      <c r="E45" s="17">
        <f t="shared" si="4"/>
        <v>-2.4402256895675538E-2</v>
      </c>
      <c r="F45" s="17">
        <f t="shared" si="2"/>
        <v>0.30681694688960304</v>
      </c>
    </row>
    <row r="46" spans="1:6" x14ac:dyDescent="0.3">
      <c r="A46" s="14" t="s">
        <v>12</v>
      </c>
      <c r="B46" s="14">
        <v>-32576</v>
      </c>
      <c r="C46" s="17">
        <f t="shared" si="3"/>
        <v>-1.1342559144015612E-2</v>
      </c>
      <c r="D46" s="14">
        <v>-17533</v>
      </c>
      <c r="E46" s="17">
        <f t="shared" si="4"/>
        <v>-5.0827405691869325E-3</v>
      </c>
      <c r="F46" s="17">
        <f t="shared" si="2"/>
        <v>-0.46178167976424361</v>
      </c>
    </row>
    <row r="47" spans="1:6" x14ac:dyDescent="0.3">
      <c r="A47" s="14" t="s">
        <v>52</v>
      </c>
      <c r="B47" s="14">
        <f>-70442-367</f>
        <v>-70809</v>
      </c>
      <c r="C47" s="17">
        <f t="shared" si="3"/>
        <v>-2.4654815521506678E-2</v>
      </c>
      <c r="D47" s="14">
        <v>-27554</v>
      </c>
      <c r="E47" s="17">
        <f t="shared" si="4"/>
        <v>-7.9877849565605855E-3</v>
      </c>
      <c r="F47" s="17">
        <f t="shared" si="2"/>
        <v>-0.61086867488596086</v>
      </c>
    </row>
    <row r="48" spans="1:6" x14ac:dyDescent="0.3">
      <c r="A48" s="14" t="s">
        <v>14</v>
      </c>
      <c r="B48" s="14">
        <v>29348</v>
      </c>
      <c r="C48" s="17">
        <f t="shared" si="3"/>
        <v>1.0218609582470844E-2</v>
      </c>
      <c r="D48" s="14">
        <v>25763</v>
      </c>
      <c r="E48" s="17">
        <f t="shared" si="4"/>
        <v>7.4685818333407256E-3</v>
      </c>
      <c r="F48" s="17">
        <f t="shared" si="2"/>
        <v>-0.12215483167507156</v>
      </c>
    </row>
    <row r="49" spans="1:6" x14ac:dyDescent="0.3">
      <c r="A49" s="14" t="s">
        <v>16</v>
      </c>
      <c r="B49" s="14">
        <v>71319</v>
      </c>
      <c r="C49" s="17">
        <f t="shared" si="3"/>
        <v>2.4832391195728436E-2</v>
      </c>
      <c r="D49" s="14">
        <v>6759</v>
      </c>
      <c r="E49" s="17">
        <f t="shared" si="4"/>
        <v>1.9594047514478112E-3</v>
      </c>
      <c r="F49" s="17">
        <f t="shared" si="2"/>
        <v>-0.90522862070416021</v>
      </c>
    </row>
    <row r="50" spans="1:6" s="9" customFormat="1" x14ac:dyDescent="0.3">
      <c r="A50" s="30" t="s">
        <v>2</v>
      </c>
      <c r="B50" s="30">
        <f>SUM(B44:B49)</f>
        <v>-53310</v>
      </c>
      <c r="C50" s="42">
        <f t="shared" si="3"/>
        <v>-1.8561880770121327E-2</v>
      </c>
      <c r="D50" s="30">
        <f>SUM(D44:D49)</f>
        <v>-85355</v>
      </c>
      <c r="E50" s="17">
        <f t="shared" si="4"/>
        <v>-2.4744043876287609E-2</v>
      </c>
      <c r="F50" s="17">
        <f t="shared" si="2"/>
        <v>0.60110673419621086</v>
      </c>
    </row>
    <row r="51" spans="1:6" s="9" customFormat="1" x14ac:dyDescent="0.3">
      <c r="A51" s="30" t="s">
        <v>41</v>
      </c>
      <c r="B51" s="14">
        <f>+B43+B50</f>
        <v>246764</v>
      </c>
      <c r="C51" s="42">
        <f t="shared" si="3"/>
        <v>8.592016406599548E-2</v>
      </c>
      <c r="D51" s="14">
        <f>+D43+D50</f>
        <v>347530</v>
      </c>
      <c r="E51" s="17">
        <f t="shared" si="4"/>
        <v>0.10074743797464979</v>
      </c>
      <c r="F51" s="17">
        <f t="shared" si="2"/>
        <v>0.40834967823507479</v>
      </c>
    </row>
    <row r="52" spans="1:6" x14ac:dyDescent="0.3">
      <c r="A52" s="14" t="s">
        <v>15</v>
      </c>
      <c r="B52" s="14">
        <v>-70246</v>
      </c>
      <c r="C52" s="17">
        <f t="shared" si="3"/>
        <v>-2.4458785904669718E-2</v>
      </c>
      <c r="D52" s="14">
        <v>-99987</v>
      </c>
      <c r="E52" s="17">
        <f t="shared" si="4"/>
        <v>-2.8985797142034666E-2</v>
      </c>
      <c r="F52" s="17">
        <f t="shared" si="2"/>
        <v>0.42338353785268912</v>
      </c>
    </row>
    <row r="53" spans="1:6" x14ac:dyDescent="0.3">
      <c r="A53" s="14" t="s">
        <v>18</v>
      </c>
      <c r="B53" s="14">
        <v>17</v>
      </c>
      <c r="C53" s="17">
        <f t="shared" si="3"/>
        <v>5.9191891407252398E-6</v>
      </c>
      <c r="D53" s="14">
        <v>-230</v>
      </c>
      <c r="E53" s="17">
        <f t="shared" si="4"/>
        <v>-6.6676001306849631E-5</v>
      </c>
      <c r="F53" s="17">
        <f t="shared" si="2"/>
        <v>-14.529411764705882</v>
      </c>
    </row>
    <row r="54" spans="1:6" s="9" customFormat="1" x14ac:dyDescent="0.3">
      <c r="A54" s="43" t="s">
        <v>17</v>
      </c>
      <c r="B54" s="43">
        <f>+B51+B52+B53</f>
        <v>176535</v>
      </c>
      <c r="C54" s="44">
        <f t="shared" si="3"/>
        <v>6.1467297350466486E-2</v>
      </c>
      <c r="D54" s="43">
        <f>+D51+D52+D53</f>
        <v>247313</v>
      </c>
      <c r="E54" s="44">
        <f t="shared" si="4"/>
        <v>7.1694964831308272E-2</v>
      </c>
      <c r="F54" s="44">
        <f t="shared" si="2"/>
        <v>0.40092899425043194</v>
      </c>
    </row>
    <row r="55" spans="1:6" s="9" customFormat="1" ht="15.75" thickBot="1" x14ac:dyDescent="0.35">
      <c r="A55" s="27" t="s">
        <v>19</v>
      </c>
      <c r="B55" s="27">
        <v>382594</v>
      </c>
      <c r="C55" s="45">
        <f t="shared" si="3"/>
        <v>0.13321448530039015</v>
      </c>
      <c r="D55" s="27">
        <v>528754</v>
      </c>
      <c r="E55" s="45">
        <f t="shared" si="4"/>
        <v>0.15328348867392161</v>
      </c>
      <c r="F55" s="45">
        <f t="shared" si="2"/>
        <v>0.38202376409457545</v>
      </c>
    </row>
    <row r="56" spans="1:6" x14ac:dyDescent="0.3">
      <c r="A56" s="2"/>
      <c r="C56" s="3"/>
      <c r="D56" s="10"/>
    </row>
    <row r="57" spans="1:6" x14ac:dyDescent="0.3">
      <c r="A57" s="19"/>
      <c r="C57" s="3"/>
      <c r="D57" s="10"/>
    </row>
    <row r="58" spans="1:6" x14ac:dyDescent="0.3">
      <c r="D58" s="10"/>
    </row>
    <row r="59" spans="1:6" x14ac:dyDescent="0.3">
      <c r="D59" s="10"/>
    </row>
    <row r="60" spans="1:6" x14ac:dyDescent="0.3">
      <c r="D60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orientation="portrait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6" zoomScaleNormal="86" workbookViewId="0"/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11.5703125" style="11" bestFit="1" customWidth="1"/>
    <col min="8" max="8" width="11.5703125" style="5" bestFit="1" customWidth="1"/>
    <col min="9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65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2007</v>
      </c>
      <c r="C6" s="6">
        <v>2008</v>
      </c>
      <c r="D6" s="7" t="s">
        <v>46</v>
      </c>
    </row>
    <row r="7" spans="1:4" x14ac:dyDescent="0.3">
      <c r="A7" s="18" t="s">
        <v>21</v>
      </c>
      <c r="B7" s="14">
        <v>1287</v>
      </c>
      <c r="C7" s="14">
        <v>2389</v>
      </c>
      <c r="D7" s="17">
        <f t="shared" ref="D7:D12" si="0">IF(B7&lt;&gt;0,(C7-B7)/B7,0)</f>
        <v>0.8562548562548562</v>
      </c>
    </row>
    <row r="8" spans="1:4" x14ac:dyDescent="0.3">
      <c r="A8" s="18" t="s">
        <v>22</v>
      </c>
      <c r="B8" s="14">
        <v>2676067</v>
      </c>
      <c r="C8" s="14">
        <v>2740396</v>
      </c>
      <c r="D8" s="17">
        <f t="shared" si="0"/>
        <v>2.403863580396156E-2</v>
      </c>
    </row>
    <row r="9" spans="1:4" x14ac:dyDescent="0.3">
      <c r="A9" s="18" t="s">
        <v>23</v>
      </c>
      <c r="B9" s="14">
        <v>39052</v>
      </c>
      <c r="C9" s="14">
        <v>31300</v>
      </c>
      <c r="D9" s="17">
        <f t="shared" si="0"/>
        <v>-0.19850455802519718</v>
      </c>
    </row>
    <row r="10" spans="1:4" x14ac:dyDescent="0.3">
      <c r="A10" s="18" t="s">
        <v>59</v>
      </c>
      <c r="B10" s="14">
        <v>1291</v>
      </c>
      <c r="C10" s="14">
        <v>209</v>
      </c>
      <c r="D10" s="17">
        <f t="shared" si="0"/>
        <v>-0.83810999225406657</v>
      </c>
    </row>
    <row r="11" spans="1:4" x14ac:dyDescent="0.3">
      <c r="A11" s="18" t="s">
        <v>26</v>
      </c>
      <c r="B11" s="14">
        <v>1206991</v>
      </c>
      <c r="C11" s="14">
        <v>881044</v>
      </c>
      <c r="D11" s="17">
        <f t="shared" si="0"/>
        <v>-0.27004923814676329</v>
      </c>
    </row>
    <row r="12" spans="1:4" ht="15.75" thickBot="1" x14ac:dyDescent="0.35">
      <c r="A12" s="26" t="s">
        <v>27</v>
      </c>
      <c r="B12" s="27">
        <f>SUM(B7:B11)</f>
        <v>3924688</v>
      </c>
      <c r="C12" s="27">
        <f>SUM(C7:C11)</f>
        <v>3655338</v>
      </c>
      <c r="D12" s="46">
        <f t="shared" si="0"/>
        <v>-6.8629659223866962E-2</v>
      </c>
    </row>
    <row r="14" spans="1:4" x14ac:dyDescent="0.3">
      <c r="A14" s="6" t="s">
        <v>48</v>
      </c>
      <c r="B14" s="6">
        <v>2007</v>
      </c>
      <c r="C14" s="6">
        <v>2008</v>
      </c>
      <c r="D14" s="7" t="s">
        <v>46</v>
      </c>
    </row>
    <row r="15" spans="1:4" x14ac:dyDescent="0.3">
      <c r="A15" s="18" t="s">
        <v>28</v>
      </c>
      <c r="B15" s="14">
        <v>7000</v>
      </c>
      <c r="C15" s="14">
        <v>7163</v>
      </c>
      <c r="D15" s="17">
        <f t="shared" ref="D15:D23" si="1">IF(B15&lt;&gt;0,(C15-B15)/B15,0)</f>
        <v>2.3285714285714285E-2</v>
      </c>
    </row>
    <row r="16" spans="1:4" x14ac:dyDescent="0.3">
      <c r="A16" s="18" t="s">
        <v>29</v>
      </c>
      <c r="B16" s="14">
        <v>138428</v>
      </c>
      <c r="C16" s="14">
        <v>158269</v>
      </c>
      <c r="D16" s="17">
        <f t="shared" si="1"/>
        <v>0.14333082902303002</v>
      </c>
    </row>
    <row r="17" spans="1:8" x14ac:dyDescent="0.3">
      <c r="A17" s="18" t="s">
        <v>30</v>
      </c>
      <c r="B17" s="14">
        <v>254</v>
      </c>
      <c r="C17" s="14">
        <v>575</v>
      </c>
      <c r="D17" s="17">
        <f t="shared" si="1"/>
        <v>1.2637795275590551</v>
      </c>
    </row>
    <row r="18" spans="1:8" x14ac:dyDescent="0.3">
      <c r="A18" s="18" t="s">
        <v>31</v>
      </c>
      <c r="B18" s="14">
        <v>528</v>
      </c>
      <c r="C18" s="14">
        <v>690</v>
      </c>
      <c r="D18" s="17">
        <f t="shared" si="1"/>
        <v>0.30681818181818182</v>
      </c>
    </row>
    <row r="19" spans="1:8" x14ac:dyDescent="0.3">
      <c r="A19" s="18" t="s">
        <v>32</v>
      </c>
      <c r="B19" s="14">
        <v>99</v>
      </c>
      <c r="C19" s="14">
        <v>388</v>
      </c>
      <c r="D19" s="17">
        <f t="shared" si="1"/>
        <v>2.9191919191919191</v>
      </c>
    </row>
    <row r="20" spans="1:8" x14ac:dyDescent="0.3">
      <c r="A20" s="18" t="s">
        <v>24</v>
      </c>
      <c r="B20" s="14">
        <v>11496</v>
      </c>
      <c r="C20" s="14">
        <v>12048</v>
      </c>
      <c r="D20" s="17">
        <f t="shared" si="1"/>
        <v>4.8016701461377868E-2</v>
      </c>
    </row>
    <row r="21" spans="1:8" s="9" customFormat="1" x14ac:dyDescent="0.3">
      <c r="A21" s="29" t="s">
        <v>33</v>
      </c>
      <c r="B21" s="30">
        <f>SUM(B15:B20)</f>
        <v>157805</v>
      </c>
      <c r="C21" s="30">
        <f>SUM(C15:C20)</f>
        <v>179133</v>
      </c>
      <c r="D21" s="42">
        <f t="shared" si="1"/>
        <v>0.13515414593960901</v>
      </c>
      <c r="G21" s="12"/>
    </row>
    <row r="22" spans="1:8" s="9" customFormat="1" x14ac:dyDescent="0.3">
      <c r="A22" s="31" t="s">
        <v>34</v>
      </c>
      <c r="B22" s="32">
        <v>3766883</v>
      </c>
      <c r="C22" s="32">
        <v>3476205</v>
      </c>
      <c r="D22" s="47">
        <f t="shared" si="1"/>
        <v>-7.7166718477850255E-2</v>
      </c>
      <c r="G22" s="12"/>
      <c r="H22" s="12"/>
    </row>
    <row r="23" spans="1:8" s="9" customFormat="1" ht="15.75" thickBot="1" x14ac:dyDescent="0.35">
      <c r="A23" s="26" t="s">
        <v>35</v>
      </c>
      <c r="B23" s="27">
        <f>+B21+B22</f>
        <v>3924688</v>
      </c>
      <c r="C23" s="27">
        <f>+C21+C22</f>
        <v>3655338</v>
      </c>
      <c r="D23" s="45">
        <f t="shared" si="1"/>
        <v>-6.8629659223866962E-2</v>
      </c>
      <c r="G23" s="12"/>
      <c r="H23" s="12"/>
    </row>
    <row r="24" spans="1:8" x14ac:dyDescent="0.3">
      <c r="A24" s="18" t="s">
        <v>54</v>
      </c>
      <c r="B24" s="14">
        <v>435123458</v>
      </c>
      <c r="C24" s="14">
        <v>435123458</v>
      </c>
      <c r="D24" s="17"/>
      <c r="H24" s="11"/>
    </row>
    <row r="25" spans="1:8" x14ac:dyDescent="0.3">
      <c r="A25" s="18" t="s">
        <v>71</v>
      </c>
      <c r="B25" s="33">
        <f>+B22/+(B24/1000000)</f>
        <v>8657.0441807805255</v>
      </c>
      <c r="C25" s="33">
        <f>+C22/+(C24/1000000)</f>
        <v>7989.008489631924</v>
      </c>
      <c r="D25" s="17"/>
      <c r="H25" s="11"/>
    </row>
    <row r="26" spans="1:8" x14ac:dyDescent="0.3">
      <c r="G26" s="13"/>
      <c r="H26" s="13"/>
    </row>
    <row r="27" spans="1:8" x14ac:dyDescent="0.3">
      <c r="A27" s="6" t="s">
        <v>70</v>
      </c>
      <c r="B27" s="6">
        <v>2007</v>
      </c>
      <c r="C27" s="6">
        <v>2008</v>
      </c>
      <c r="D27" s="6" t="s">
        <v>46</v>
      </c>
      <c r="H27" s="13"/>
    </row>
    <row r="28" spans="1:8" x14ac:dyDescent="0.3">
      <c r="A28" s="19" t="s">
        <v>66</v>
      </c>
      <c r="B28" s="14"/>
      <c r="C28" s="17"/>
      <c r="D28" s="34"/>
    </row>
    <row r="29" spans="1:8" x14ac:dyDescent="0.3">
      <c r="A29" s="19" t="s">
        <v>44</v>
      </c>
      <c r="B29" s="14"/>
      <c r="C29" s="17"/>
      <c r="D29" s="34"/>
    </row>
    <row r="30" spans="1:8" x14ac:dyDescent="0.3">
      <c r="A30" s="19" t="s">
        <v>45</v>
      </c>
      <c r="B30" s="14"/>
      <c r="C30" s="17"/>
      <c r="D30" s="34"/>
    </row>
    <row r="31" spans="1:8" s="9" customFormat="1" x14ac:dyDescent="0.3">
      <c r="A31" s="19" t="s">
        <v>72</v>
      </c>
      <c r="B31" s="30">
        <v>37425</v>
      </c>
      <c r="C31" s="30">
        <f>-15295+77743</f>
        <v>62448</v>
      </c>
      <c r="D31" s="17">
        <f t="shared" ref="D31:D42" si="2">IF(C31&lt;&gt;0,(C31-B31)/B31,0)</f>
        <v>0.66861723446893784</v>
      </c>
      <c r="G31" s="12"/>
    </row>
    <row r="32" spans="1:8" x14ac:dyDescent="0.3">
      <c r="A32" s="19" t="s">
        <v>5</v>
      </c>
      <c r="B32" s="14">
        <v>2701</v>
      </c>
      <c r="C32" s="14">
        <v>2704</v>
      </c>
      <c r="D32" s="17">
        <f t="shared" si="2"/>
        <v>1.1106997408367272E-3</v>
      </c>
    </row>
    <row r="33" spans="1:7" s="9" customFormat="1" x14ac:dyDescent="0.3">
      <c r="A33" s="19" t="s">
        <v>57</v>
      </c>
      <c r="B33" s="14">
        <v>2752</v>
      </c>
      <c r="C33" s="14">
        <v>2991</v>
      </c>
      <c r="D33" s="17">
        <f t="shared" si="2"/>
        <v>8.6845930232558141E-2</v>
      </c>
      <c r="G33" s="12"/>
    </row>
    <row r="34" spans="1:7" s="9" customFormat="1" x14ac:dyDescent="0.3">
      <c r="A34" s="19" t="s">
        <v>56</v>
      </c>
      <c r="B34" s="14">
        <v>910</v>
      </c>
      <c r="C34" s="14">
        <f>47+1301</f>
        <v>1348</v>
      </c>
      <c r="D34" s="17">
        <f t="shared" si="2"/>
        <v>0.48131868131868133</v>
      </c>
      <c r="G34" s="12"/>
    </row>
    <row r="35" spans="1:7" s="9" customFormat="1" x14ac:dyDescent="0.3">
      <c r="A35" s="35" t="s">
        <v>4</v>
      </c>
      <c r="B35" s="30">
        <f>SUM(B31:B34)</f>
        <v>43788</v>
      </c>
      <c r="C35" s="30">
        <f>SUM(C31:C34)</f>
        <v>69491</v>
      </c>
      <c r="D35" s="17">
        <f t="shared" si="2"/>
        <v>0.58698730245729425</v>
      </c>
      <c r="G35" s="12"/>
    </row>
    <row r="36" spans="1:7" x14ac:dyDescent="0.3">
      <c r="A36" s="19" t="s">
        <v>58</v>
      </c>
      <c r="B36" s="14">
        <v>-1501</v>
      </c>
      <c r="C36" s="14">
        <v>-1634</v>
      </c>
      <c r="D36" s="17">
        <f t="shared" si="2"/>
        <v>8.8607594936708861E-2</v>
      </c>
    </row>
    <row r="37" spans="1:7" s="9" customFormat="1" x14ac:dyDescent="0.3">
      <c r="A37" s="35" t="s">
        <v>42</v>
      </c>
      <c r="B37" s="30">
        <f>SUM(B35:B36)</f>
        <v>42287</v>
      </c>
      <c r="C37" s="30">
        <f>SUM(C35:C36)</f>
        <v>67857</v>
      </c>
      <c r="D37" s="17">
        <f t="shared" si="2"/>
        <v>0.60467756047957999</v>
      </c>
      <c r="G37" s="12"/>
    </row>
    <row r="38" spans="1:7" s="9" customFormat="1" x14ac:dyDescent="0.3">
      <c r="A38" s="19" t="s">
        <v>10</v>
      </c>
      <c r="B38" s="14">
        <v>7</v>
      </c>
      <c r="C38" s="14">
        <v>164</v>
      </c>
      <c r="D38" s="17">
        <f t="shared" si="2"/>
        <v>22.428571428571427</v>
      </c>
      <c r="G38" s="12"/>
    </row>
    <row r="39" spans="1:7" x14ac:dyDescent="0.3">
      <c r="A39" s="19" t="s">
        <v>13</v>
      </c>
      <c r="B39" s="14">
        <v>-65</v>
      </c>
      <c r="C39" s="14">
        <v>-59</v>
      </c>
      <c r="D39" s="17">
        <f t="shared" si="2"/>
        <v>-9.2307692307692313E-2</v>
      </c>
    </row>
    <row r="40" spans="1:7" s="9" customFormat="1" x14ac:dyDescent="0.3">
      <c r="A40" s="35" t="s">
        <v>43</v>
      </c>
      <c r="B40" s="30">
        <f>SUM(B37:B39)</f>
        <v>42229</v>
      </c>
      <c r="C40" s="30">
        <f>SUM(C37:C39)</f>
        <v>67962</v>
      </c>
      <c r="D40" s="17">
        <f t="shared" si="2"/>
        <v>0.60936796987851949</v>
      </c>
      <c r="G40" s="12"/>
    </row>
    <row r="41" spans="1:7" x14ac:dyDescent="0.3">
      <c r="A41" s="19" t="s">
        <v>15</v>
      </c>
      <c r="B41" s="14">
        <v>-54</v>
      </c>
      <c r="C41" s="14">
        <v>-48</v>
      </c>
      <c r="D41" s="17">
        <f t="shared" si="2"/>
        <v>-0.1111111111111111</v>
      </c>
    </row>
    <row r="42" spans="1:7" ht="15.75" thickBot="1" x14ac:dyDescent="0.35">
      <c r="A42" s="36" t="s">
        <v>17</v>
      </c>
      <c r="B42" s="37">
        <f>SUM(B40:B41)</f>
        <v>42175</v>
      </c>
      <c r="C42" s="37">
        <f>SUM(C40:C41)</f>
        <v>67914</v>
      </c>
      <c r="D42" s="28">
        <f t="shared" si="2"/>
        <v>0.61029045643153523</v>
      </c>
    </row>
    <row r="44" spans="1:7" x14ac:dyDescent="0.3">
      <c r="A44" s="19" t="s">
        <v>53</v>
      </c>
      <c r="B44" s="14"/>
      <c r="C44" s="14"/>
      <c r="D44" s="17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zoomScale="87" zoomScaleNormal="87" workbookViewId="0"/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6" x14ac:dyDescent="0.3">
      <c r="A1" s="38" t="s">
        <v>40</v>
      </c>
    </row>
    <row r="2" spans="1:6" x14ac:dyDescent="0.3">
      <c r="A2" s="38" t="s">
        <v>65</v>
      </c>
    </row>
    <row r="3" spans="1:6" x14ac:dyDescent="0.3">
      <c r="A3" s="24" t="s">
        <v>44</v>
      </c>
    </row>
    <row r="4" spans="1:6" x14ac:dyDescent="0.3">
      <c r="A4" s="24" t="s">
        <v>45</v>
      </c>
    </row>
    <row r="6" spans="1:6" x14ac:dyDescent="0.3">
      <c r="A6" s="6" t="s">
        <v>20</v>
      </c>
      <c r="B6" s="6">
        <v>2007</v>
      </c>
      <c r="C6" s="6">
        <v>2008</v>
      </c>
      <c r="D6" s="7" t="s">
        <v>46</v>
      </c>
      <c r="E6" s="20"/>
      <c r="F6" s="23"/>
    </row>
    <row r="7" spans="1:6" x14ac:dyDescent="0.3">
      <c r="A7" s="18" t="s">
        <v>21</v>
      </c>
      <c r="B7" s="14">
        <v>162791</v>
      </c>
      <c r="C7" s="14">
        <v>206388</v>
      </c>
      <c r="D7" s="17">
        <f>+(C7-B7)/B7</f>
        <v>0.26780964549637265</v>
      </c>
      <c r="E7" s="21"/>
      <c r="F7" s="23"/>
    </row>
    <row r="8" spans="1:6" x14ac:dyDescent="0.3">
      <c r="A8" s="18" t="s">
        <v>22</v>
      </c>
      <c r="B8" s="14">
        <v>311842</v>
      </c>
      <c r="C8" s="14">
        <v>272899</v>
      </c>
      <c r="D8" s="17">
        <f t="shared" ref="D8:D16" si="0">+(C8-B8)/B8</f>
        <v>-0.12488054848288556</v>
      </c>
      <c r="E8" s="21"/>
      <c r="F8" s="23"/>
    </row>
    <row r="9" spans="1:6" x14ac:dyDescent="0.3">
      <c r="A9" s="18" t="s">
        <v>23</v>
      </c>
      <c r="B9" s="14">
        <v>367618</v>
      </c>
      <c r="C9" s="14">
        <v>462799</v>
      </c>
      <c r="D9" s="17">
        <f t="shared" si="0"/>
        <v>0.25891278446648425</v>
      </c>
      <c r="E9" s="21"/>
      <c r="F9" s="23"/>
    </row>
    <row r="10" spans="1:6" x14ac:dyDescent="0.3">
      <c r="A10" s="18" t="s">
        <v>36</v>
      </c>
      <c r="B10" s="14">
        <v>414335</v>
      </c>
      <c r="C10" s="14">
        <v>441512</v>
      </c>
      <c r="D10" s="17">
        <f t="shared" si="0"/>
        <v>6.5591852003813345E-2</v>
      </c>
      <c r="E10" s="21"/>
      <c r="F10" s="23"/>
    </row>
    <row r="11" spans="1:6" x14ac:dyDescent="0.3">
      <c r="A11" s="18" t="s">
        <v>60</v>
      </c>
      <c r="B11" s="14">
        <v>604307</v>
      </c>
      <c r="C11" s="14">
        <v>683972</v>
      </c>
      <c r="D11" s="17">
        <f t="shared" si="0"/>
        <v>0.13182868972227693</v>
      </c>
      <c r="E11" s="21"/>
      <c r="F11" s="23"/>
    </row>
    <row r="12" spans="1:6" x14ac:dyDescent="0.3">
      <c r="A12" s="18" t="s">
        <v>47</v>
      </c>
      <c r="B12" s="14">
        <v>621272</v>
      </c>
      <c r="C12" s="14">
        <v>545371</v>
      </c>
      <c r="D12" s="17">
        <f t="shared" si="0"/>
        <v>-0.12217032153388532</v>
      </c>
      <c r="E12" s="21"/>
      <c r="F12" s="23"/>
    </row>
    <row r="13" spans="1:6" x14ac:dyDescent="0.3">
      <c r="A13" s="18" t="s">
        <v>24</v>
      </c>
      <c r="B13" s="14">
        <v>36990</v>
      </c>
      <c r="C13" s="14">
        <v>74187</v>
      </c>
      <c r="D13" s="17">
        <f t="shared" si="0"/>
        <v>1.0055961070559611</v>
      </c>
      <c r="E13" s="21"/>
      <c r="F13" s="23"/>
    </row>
    <row r="14" spans="1:6" x14ac:dyDescent="0.3">
      <c r="A14" s="18" t="s">
        <v>25</v>
      </c>
      <c r="B14" s="14">
        <v>10431</v>
      </c>
      <c r="C14" s="14">
        <v>12730</v>
      </c>
      <c r="D14" s="17">
        <f t="shared" si="0"/>
        <v>0.22040072859744991</v>
      </c>
      <c r="E14" s="21"/>
      <c r="F14" s="23"/>
    </row>
    <row r="15" spans="1:6" x14ac:dyDescent="0.3">
      <c r="A15" s="18" t="s">
        <v>26</v>
      </c>
      <c r="B15" s="14">
        <v>2458478</v>
      </c>
      <c r="C15" s="14">
        <v>2088372</v>
      </c>
      <c r="D15" s="17">
        <f t="shared" si="0"/>
        <v>-0.15054273416316924</v>
      </c>
      <c r="E15" s="21"/>
      <c r="F15" s="23"/>
    </row>
    <row r="16" spans="1:6" ht="15.75" thickBot="1" x14ac:dyDescent="0.35">
      <c r="A16" s="26" t="s">
        <v>27</v>
      </c>
      <c r="B16" s="27">
        <f>SUM(B7:B15)</f>
        <v>4988064</v>
      </c>
      <c r="C16" s="27">
        <f>SUM(C7:C15)</f>
        <v>4788230</v>
      </c>
      <c r="D16" s="45">
        <f t="shared" si="0"/>
        <v>-4.0062437049725105E-2</v>
      </c>
      <c r="E16" s="22"/>
      <c r="F16" s="23"/>
    </row>
    <row r="17" spans="1:6" x14ac:dyDescent="0.3">
      <c r="A17" s="1"/>
      <c r="E17" s="21"/>
      <c r="F17" s="23"/>
    </row>
    <row r="18" spans="1:6" x14ac:dyDescent="0.3">
      <c r="A18" s="6" t="s">
        <v>48</v>
      </c>
      <c r="B18" s="6">
        <v>2007</v>
      </c>
      <c r="C18" s="6">
        <v>2008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793270</v>
      </c>
      <c r="C19" s="14">
        <v>667919</v>
      </c>
      <c r="D19" s="17">
        <f t="shared" ref="D19:D30" si="1">+(C19-B19)/B19</f>
        <v>-0.15801807707337981</v>
      </c>
      <c r="E19" s="21"/>
      <c r="F19" s="23"/>
    </row>
    <row r="20" spans="1:6" x14ac:dyDescent="0.3">
      <c r="A20" s="18" t="s">
        <v>49</v>
      </c>
      <c r="B20" s="14">
        <v>123680</v>
      </c>
      <c r="C20" s="14">
        <v>145266</v>
      </c>
      <c r="D20" s="17">
        <f t="shared" si="1"/>
        <v>0.17453104786545925</v>
      </c>
      <c r="E20" s="21"/>
      <c r="F20" s="23"/>
    </row>
    <row r="21" spans="1:6" x14ac:dyDescent="0.3">
      <c r="A21" s="18" t="s">
        <v>38</v>
      </c>
      <c r="B21" s="14">
        <v>188574</v>
      </c>
      <c r="C21" s="14">
        <v>217624</v>
      </c>
      <c r="D21" s="17">
        <f t="shared" si="1"/>
        <v>0.15405092960853564</v>
      </c>
      <c r="E21" s="21"/>
      <c r="F21" s="23"/>
    </row>
    <row r="22" spans="1:6" x14ac:dyDescent="0.3">
      <c r="A22" s="18" t="s">
        <v>30</v>
      </c>
      <c r="B22" s="14">
        <v>37015</v>
      </c>
      <c r="C22" s="14">
        <v>43411</v>
      </c>
      <c r="D22" s="17">
        <f t="shared" si="1"/>
        <v>0.17279481291368365</v>
      </c>
      <c r="E22" s="21"/>
      <c r="F22" s="23"/>
    </row>
    <row r="23" spans="1:6" x14ac:dyDescent="0.3">
      <c r="A23" s="18" t="s">
        <v>31</v>
      </c>
      <c r="B23" s="14">
        <v>35010</v>
      </c>
      <c r="C23" s="14">
        <v>43752</v>
      </c>
      <c r="D23" s="17">
        <f t="shared" si="1"/>
        <v>0.24970008568980293</v>
      </c>
      <c r="E23" s="21"/>
      <c r="F23" s="23"/>
    </row>
    <row r="24" spans="1:6" x14ac:dyDescent="0.3">
      <c r="A24" s="18" t="s">
        <v>32</v>
      </c>
      <c r="B24" s="14">
        <v>92311</v>
      </c>
      <c r="C24" s="14">
        <v>136815</v>
      </c>
      <c r="D24" s="17">
        <f t="shared" si="1"/>
        <v>0.48210939108015294</v>
      </c>
      <c r="E24" s="21"/>
      <c r="F24" s="23"/>
    </row>
    <row r="25" spans="1:6" x14ac:dyDescent="0.3">
      <c r="A25" s="18" t="s">
        <v>24</v>
      </c>
      <c r="B25" s="14">
        <v>10326</v>
      </c>
      <c r="C25" s="14">
        <v>77290</v>
      </c>
      <c r="D25" s="17">
        <f t="shared" si="1"/>
        <v>6.4849893472787139</v>
      </c>
      <c r="E25" s="21"/>
      <c r="F25" s="23"/>
    </row>
    <row r="26" spans="1:6" x14ac:dyDescent="0.3">
      <c r="A26" s="18" t="s">
        <v>0</v>
      </c>
      <c r="B26" s="14">
        <v>1393</v>
      </c>
      <c r="C26" s="14">
        <v>1048</v>
      </c>
      <c r="D26" s="17">
        <f t="shared" si="1"/>
        <v>-0.24766690595836324</v>
      </c>
      <c r="E26" s="21"/>
      <c r="F26" s="23"/>
    </row>
    <row r="27" spans="1:6" x14ac:dyDescent="0.3">
      <c r="A27" s="18" t="s">
        <v>33</v>
      </c>
      <c r="B27" s="14">
        <v>1281579</v>
      </c>
      <c r="C27" s="14">
        <v>1333125</v>
      </c>
      <c r="D27" s="17">
        <f t="shared" si="1"/>
        <v>4.0220696500176734E-2</v>
      </c>
      <c r="E27" s="21"/>
      <c r="F27" s="23"/>
    </row>
    <row r="28" spans="1:6" x14ac:dyDescent="0.3">
      <c r="A28" s="18" t="s">
        <v>39</v>
      </c>
      <c r="B28" s="14">
        <v>2717</v>
      </c>
      <c r="C28" s="14">
        <v>2970</v>
      </c>
      <c r="D28" s="17">
        <f t="shared" si="1"/>
        <v>9.3117408906882596E-2</v>
      </c>
      <c r="E28" s="21"/>
      <c r="F28" s="23"/>
    </row>
    <row r="29" spans="1:6" x14ac:dyDescent="0.3">
      <c r="A29" s="32" t="s">
        <v>34</v>
      </c>
      <c r="B29" s="32">
        <v>3703768</v>
      </c>
      <c r="C29" s="32">
        <v>3452135</v>
      </c>
      <c r="D29" s="47">
        <f t="shared" si="1"/>
        <v>-6.7939730566277376E-2</v>
      </c>
      <c r="E29" s="22"/>
      <c r="F29" s="22"/>
    </row>
    <row r="30" spans="1:6" ht="15.75" thickBot="1" x14ac:dyDescent="0.35">
      <c r="A30" s="27" t="s">
        <v>35</v>
      </c>
      <c r="B30" s="27">
        <f>+B27+B28+B29</f>
        <v>4988064</v>
      </c>
      <c r="C30" s="27">
        <f>+C27+C28+C29</f>
        <v>4788230</v>
      </c>
      <c r="D30" s="45">
        <f t="shared" si="1"/>
        <v>-4.0062437049725105E-2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7" x14ac:dyDescent="0.3">
      <c r="A33" s="41" t="s">
        <v>66</v>
      </c>
      <c r="B33" s="14"/>
      <c r="C33" s="14"/>
      <c r="D33" s="17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2007</v>
      </c>
      <c r="C36" s="6" t="s">
        <v>55</v>
      </c>
      <c r="D36" s="6">
        <v>2008</v>
      </c>
      <c r="E36" s="6" t="s">
        <v>55</v>
      </c>
      <c r="F36" s="7" t="s">
        <v>46</v>
      </c>
    </row>
    <row r="37" spans="1:7" s="9" customFormat="1" x14ac:dyDescent="0.3">
      <c r="A37" s="30" t="s">
        <v>4</v>
      </c>
      <c r="B37" s="30">
        <v>769218</v>
      </c>
      <c r="C37" s="42">
        <v>1</v>
      </c>
      <c r="D37" s="50">
        <v>876511</v>
      </c>
      <c r="E37" s="42">
        <v>1</v>
      </c>
      <c r="F37" s="17">
        <f>IF(D37&lt;&gt;0,(D37-B37)/B37,0)</f>
        <v>0.13948321542137598</v>
      </c>
      <c r="G37" s="8"/>
    </row>
    <row r="38" spans="1:7" x14ac:dyDescent="0.3">
      <c r="A38" s="14" t="s">
        <v>50</v>
      </c>
      <c r="B38" s="14">
        <v>-459878</v>
      </c>
      <c r="C38" s="17">
        <f t="shared" ref="C38:C55" si="2">+B38/$B$37</f>
        <v>-0.59785132433198396</v>
      </c>
      <c r="D38" s="51">
        <v>-508099</v>
      </c>
      <c r="E38" s="17">
        <f>+D38/$D$37</f>
        <v>-0.57968354076560358</v>
      </c>
      <c r="F38" s="17">
        <f t="shared" ref="F38:F52" si="3">IF(D38&lt;&gt;0,(D38-B38)/B38,0)</f>
        <v>0.10485607052305176</v>
      </c>
    </row>
    <row r="39" spans="1:7" s="9" customFormat="1" x14ac:dyDescent="0.3">
      <c r="A39" s="30" t="s">
        <v>6</v>
      </c>
      <c r="B39" s="30">
        <f>SUM(B37:B38)</f>
        <v>309340</v>
      </c>
      <c r="C39" s="42">
        <f t="shared" si="2"/>
        <v>0.4021486756680161</v>
      </c>
      <c r="D39" s="30">
        <f>SUM(D37:D38)</f>
        <v>368412</v>
      </c>
      <c r="E39" s="42">
        <f t="shared" ref="E39:E55" si="4">+D39/$D$37</f>
        <v>0.42031645923439637</v>
      </c>
      <c r="F39" s="42">
        <f t="shared" si="3"/>
        <v>0.190961401693929</v>
      </c>
      <c r="G39" s="8"/>
    </row>
    <row r="40" spans="1:7" x14ac:dyDescent="0.3">
      <c r="A40" s="14" t="s">
        <v>7</v>
      </c>
      <c r="B40" s="14">
        <v>-35861</v>
      </c>
      <c r="C40" s="17">
        <f t="shared" si="2"/>
        <v>-4.662007389322663E-2</v>
      </c>
      <c r="D40" s="14">
        <v>-40216</v>
      </c>
      <c r="E40" s="17">
        <f t="shared" si="4"/>
        <v>-4.588191135079879E-2</v>
      </c>
      <c r="F40" s="17">
        <f t="shared" si="3"/>
        <v>0.12144111987953488</v>
      </c>
    </row>
    <row r="41" spans="1:7" x14ac:dyDescent="0.3">
      <c r="A41" s="14" t="s">
        <v>8</v>
      </c>
      <c r="B41" s="14">
        <v>-190423</v>
      </c>
      <c r="C41" s="17">
        <f t="shared" si="2"/>
        <v>-0.24755400939655597</v>
      </c>
      <c r="D41" s="14">
        <v>-217362</v>
      </c>
      <c r="E41" s="17">
        <f t="shared" si="4"/>
        <v>-0.24798547879034033</v>
      </c>
      <c r="F41" s="17">
        <f t="shared" si="3"/>
        <v>0.1414692552895396</v>
      </c>
    </row>
    <row r="42" spans="1:7" s="9" customFormat="1" x14ac:dyDescent="0.3">
      <c r="A42" s="30" t="s">
        <v>9</v>
      </c>
      <c r="B42" s="30">
        <f>SUM(B40:B41)</f>
        <v>-226284</v>
      </c>
      <c r="C42" s="42">
        <f t="shared" si="2"/>
        <v>-0.29417408328978262</v>
      </c>
      <c r="D42" s="30">
        <f>SUM(D40:D41)</f>
        <v>-257578</v>
      </c>
      <c r="E42" s="42">
        <f t="shared" si="4"/>
        <v>-0.29386739014113911</v>
      </c>
      <c r="F42" s="42">
        <f t="shared" si="3"/>
        <v>0.13829523961040108</v>
      </c>
      <c r="G42" s="8"/>
    </row>
    <row r="43" spans="1:7" s="9" customFormat="1" x14ac:dyDescent="0.3">
      <c r="A43" s="30" t="s">
        <v>1</v>
      </c>
      <c r="B43" s="30">
        <f>+B39+B42</f>
        <v>83056</v>
      </c>
      <c r="C43" s="42">
        <f t="shared" si="2"/>
        <v>0.10797459237823348</v>
      </c>
      <c r="D43" s="30">
        <f>+D39+D42</f>
        <v>110834</v>
      </c>
      <c r="E43" s="42">
        <f t="shared" si="4"/>
        <v>0.12644906909325723</v>
      </c>
      <c r="F43" s="42">
        <f t="shared" si="3"/>
        <v>0.33444904642650741</v>
      </c>
      <c r="G43" s="8"/>
    </row>
    <row r="44" spans="1:7" x14ac:dyDescent="0.3">
      <c r="A44" s="14" t="s">
        <v>51</v>
      </c>
      <c r="B44" s="14">
        <v>2596</v>
      </c>
      <c r="C44" s="17">
        <f t="shared" si="2"/>
        <v>3.3748560226099754E-3</v>
      </c>
      <c r="D44" s="14">
        <v>3285</v>
      </c>
      <c r="E44" s="17">
        <f t="shared" si="4"/>
        <v>3.7478137752977431E-3</v>
      </c>
      <c r="F44" s="17">
        <f t="shared" si="3"/>
        <v>0.26540832049306623</v>
      </c>
    </row>
    <row r="45" spans="1:7" x14ac:dyDescent="0.3">
      <c r="A45" s="14" t="s">
        <v>11</v>
      </c>
      <c r="B45" s="14">
        <v>-22387</v>
      </c>
      <c r="C45" s="17">
        <f t="shared" si="2"/>
        <v>-2.9103583119479783E-2</v>
      </c>
      <c r="D45" s="14">
        <v>-37902</v>
      </c>
      <c r="E45" s="17">
        <f t="shared" si="4"/>
        <v>-4.324189884667734E-2</v>
      </c>
      <c r="F45" s="17">
        <f t="shared" si="3"/>
        <v>0.69303613704382006</v>
      </c>
    </row>
    <row r="46" spans="1:7" x14ac:dyDescent="0.3">
      <c r="A46" s="14" t="s">
        <v>12</v>
      </c>
      <c r="B46" s="14">
        <v>-8188</v>
      </c>
      <c r="C46" s="17">
        <f t="shared" si="2"/>
        <v>-1.0644576699973219E-2</v>
      </c>
      <c r="D46" s="14">
        <v>25165</v>
      </c>
      <c r="E46" s="17">
        <f t="shared" si="4"/>
        <v>2.8710421204069317E-2</v>
      </c>
      <c r="F46" s="17">
        <f t="shared" si="3"/>
        <v>-4.0734000977039573</v>
      </c>
    </row>
    <row r="47" spans="1:7" x14ac:dyDescent="0.3">
      <c r="A47" s="14" t="s">
        <v>52</v>
      </c>
      <c r="B47" s="14">
        <v>-6484</v>
      </c>
      <c r="C47" s="17">
        <f t="shared" si="2"/>
        <v>-8.429339927042789E-3</v>
      </c>
      <c r="D47" s="14">
        <v>-89258</v>
      </c>
      <c r="E47" s="17">
        <f t="shared" si="4"/>
        <v>-0.10183329131066239</v>
      </c>
      <c r="F47" s="17">
        <f t="shared" si="3"/>
        <v>12.765885256014805</v>
      </c>
    </row>
    <row r="48" spans="1:7" x14ac:dyDescent="0.3">
      <c r="A48" s="14" t="s">
        <v>14</v>
      </c>
      <c r="B48" s="14">
        <v>6117</v>
      </c>
      <c r="C48" s="17">
        <f t="shared" si="2"/>
        <v>7.9522320070513179E-3</v>
      </c>
      <c r="D48" s="14">
        <v>6007</v>
      </c>
      <c r="E48" s="17">
        <f t="shared" si="4"/>
        <v>6.853308172972159E-3</v>
      </c>
      <c r="F48" s="17">
        <f t="shared" si="3"/>
        <v>-1.7982671244073892E-2</v>
      </c>
    </row>
    <row r="49" spans="1:7" x14ac:dyDescent="0.3">
      <c r="A49" s="14" t="s">
        <v>16</v>
      </c>
      <c r="B49" s="14">
        <v>6542</v>
      </c>
      <c r="C49" s="17">
        <f t="shared" si="2"/>
        <v>8.5047411787035673E-3</v>
      </c>
      <c r="D49" s="14">
        <v>80487</v>
      </c>
      <c r="E49" s="17">
        <f t="shared" si="4"/>
        <v>9.1826571486267716E-2</v>
      </c>
      <c r="F49" s="17">
        <f t="shared" si="3"/>
        <v>11.303118312442678</v>
      </c>
    </row>
    <row r="50" spans="1:7" s="9" customFormat="1" x14ac:dyDescent="0.3">
      <c r="A50" s="30" t="s">
        <v>2</v>
      </c>
      <c r="B50" s="30">
        <f>SUM(B44:B49)</f>
        <v>-21804</v>
      </c>
      <c r="C50" s="42">
        <f t="shared" si="2"/>
        <v>-2.8345670538130932E-2</v>
      </c>
      <c r="D50" s="30">
        <f>SUM(D44:D49)</f>
        <v>-12216</v>
      </c>
      <c r="E50" s="42">
        <f t="shared" si="4"/>
        <v>-1.3937075518732795E-2</v>
      </c>
      <c r="F50" s="42">
        <f t="shared" si="3"/>
        <v>-0.43973582828838748</v>
      </c>
      <c r="G50" s="8"/>
    </row>
    <row r="51" spans="1:7" s="9" customFormat="1" x14ac:dyDescent="0.3">
      <c r="A51" s="30" t="s">
        <v>41</v>
      </c>
      <c r="B51" s="30">
        <f>+B43+B50</f>
        <v>61252</v>
      </c>
      <c r="C51" s="42">
        <f t="shared" si="2"/>
        <v>7.9628921840102548E-2</v>
      </c>
      <c r="D51" s="30">
        <f>+D43+D50</f>
        <v>98618</v>
      </c>
      <c r="E51" s="42">
        <f t="shared" si="4"/>
        <v>0.11251199357452445</v>
      </c>
      <c r="F51" s="42">
        <f t="shared" si="3"/>
        <v>0.61003722327434207</v>
      </c>
      <c r="G51" s="8"/>
    </row>
    <row r="52" spans="1:7" x14ac:dyDescent="0.3">
      <c r="A52" s="14" t="s">
        <v>15</v>
      </c>
      <c r="B52" s="14">
        <v>-19046</v>
      </c>
      <c r="C52" s="17">
        <f t="shared" si="2"/>
        <v>-2.4760211019502924E-2</v>
      </c>
      <c r="D52" s="14">
        <v>-34040</v>
      </c>
      <c r="E52" s="17">
        <f t="shared" si="4"/>
        <v>-3.8835793275840233E-2</v>
      </c>
      <c r="F52" s="17">
        <f t="shared" si="3"/>
        <v>0.78725191641289505</v>
      </c>
    </row>
    <row r="53" spans="1:7" x14ac:dyDescent="0.3">
      <c r="A53" s="14" t="s">
        <v>18</v>
      </c>
      <c r="B53" s="14">
        <v>0</v>
      </c>
      <c r="C53" s="17">
        <f t="shared" si="2"/>
        <v>0</v>
      </c>
      <c r="D53" s="14">
        <v>-94</v>
      </c>
      <c r="E53" s="17">
        <f t="shared" si="4"/>
        <v>-1.0724337743622156E-4</v>
      </c>
      <c r="F53" s="17">
        <f>IF(B53&lt;&gt;0,(D53-B53)/B53,0)</f>
        <v>0</v>
      </c>
    </row>
    <row r="54" spans="1:7" s="9" customFormat="1" x14ac:dyDescent="0.3">
      <c r="A54" s="43" t="s">
        <v>17</v>
      </c>
      <c r="B54" s="43">
        <f>+B51+B52+B53</f>
        <v>42206</v>
      </c>
      <c r="C54" s="44">
        <f t="shared" si="2"/>
        <v>5.4868710820599624E-2</v>
      </c>
      <c r="D54" s="43">
        <f>+D51+D52+D53</f>
        <v>64484</v>
      </c>
      <c r="E54" s="44">
        <f t="shared" si="4"/>
        <v>7.3568956921247999E-2</v>
      </c>
      <c r="F54" s="44">
        <f>+(D54-B54)/B54</f>
        <v>0.5278396436525612</v>
      </c>
      <c r="G54" s="8"/>
    </row>
    <row r="55" spans="1:7" s="9" customFormat="1" ht="15.75" thickBot="1" x14ac:dyDescent="0.35">
      <c r="A55" s="27" t="s">
        <v>19</v>
      </c>
      <c r="B55" s="27">
        <v>105459</v>
      </c>
      <c r="C55" s="45">
        <f t="shared" si="2"/>
        <v>0.13709897584299899</v>
      </c>
      <c r="D55" s="27">
        <v>134654</v>
      </c>
      <c r="E55" s="45">
        <f t="shared" si="4"/>
        <v>0.15362499729039339</v>
      </c>
      <c r="F55" s="45">
        <f>+(D55-B55)/B55</f>
        <v>0.27683744393555787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7"/>
    </row>
    <row r="58" spans="1:7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3" zoomScale="86" zoomScaleNormal="86" workbookViewId="0">
      <selection activeCell="A6" sqref="A6:D43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11.5703125" style="11" bestFit="1" customWidth="1"/>
    <col min="8" max="8" width="11.5703125" style="5" bestFit="1" customWidth="1"/>
    <col min="9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63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2007</v>
      </c>
      <c r="C6" s="6">
        <v>2008</v>
      </c>
      <c r="D6" s="7" t="s">
        <v>46</v>
      </c>
    </row>
    <row r="7" spans="1:4" x14ac:dyDescent="0.3">
      <c r="A7" s="18" t="s">
        <v>21</v>
      </c>
      <c r="B7" s="14">
        <v>1609</v>
      </c>
      <c r="C7" s="14">
        <v>225</v>
      </c>
      <c r="D7" s="17">
        <f>IF(B7&lt;&gt;0,(C7-B7)/B7,0)</f>
        <v>-0.86016159105034184</v>
      </c>
    </row>
    <row r="8" spans="1:4" x14ac:dyDescent="0.3">
      <c r="A8" s="18" t="s">
        <v>22</v>
      </c>
      <c r="B8" s="14">
        <v>2666070</v>
      </c>
      <c r="C8" s="14">
        <v>2777079.4338039998</v>
      </c>
      <c r="D8" s="17">
        <f>IF(B8&lt;&gt;0,(C8-B8)/B8,0)</f>
        <v>4.1637854146365172E-2</v>
      </c>
    </row>
    <row r="9" spans="1:4" x14ac:dyDescent="0.3">
      <c r="A9" s="18" t="s">
        <v>23</v>
      </c>
      <c r="B9" s="14">
        <v>21521</v>
      </c>
      <c r="C9" s="14">
        <v>56394</v>
      </c>
      <c r="D9" s="17">
        <f>IF(B9&lt;&gt;0,(C9-B9)/B9,0)</f>
        <v>1.6204172668556294</v>
      </c>
    </row>
    <row r="10" spans="1:4" x14ac:dyDescent="0.3">
      <c r="A10" s="18" t="s">
        <v>37</v>
      </c>
      <c r="B10" s="14"/>
      <c r="C10" s="14">
        <v>19</v>
      </c>
      <c r="D10" s="52" t="str">
        <f>IF(B10&lt;&gt;0,(C10-B10)/B10,"N.A.")</f>
        <v>N.A.</v>
      </c>
    </row>
    <row r="11" spans="1:4" x14ac:dyDescent="0.3">
      <c r="A11" s="18" t="s">
        <v>59</v>
      </c>
      <c r="B11" s="14">
        <f>497+275+155</f>
        <v>927</v>
      </c>
      <c r="C11" s="14">
        <f>54+155</f>
        <v>209</v>
      </c>
      <c r="D11" s="17">
        <f>IF(B11&lt;&gt;0,(C11-B11)/B11,0)</f>
        <v>-0.77454153182308527</v>
      </c>
    </row>
    <row r="12" spans="1:4" x14ac:dyDescent="0.3">
      <c r="A12" s="18" t="s">
        <v>26</v>
      </c>
      <c r="B12" s="14">
        <v>1222939</v>
      </c>
      <c r="C12" s="14">
        <v>937125</v>
      </c>
      <c r="D12" s="17">
        <f>IF(B12&lt;&gt;0,(C12-B12)/B12,0)</f>
        <v>-0.23371075744579248</v>
      </c>
    </row>
    <row r="13" spans="1:4" ht="15.75" thickBot="1" x14ac:dyDescent="0.35">
      <c r="A13" s="26" t="s">
        <v>27</v>
      </c>
      <c r="B13" s="27">
        <f>SUM(B7:B12)</f>
        <v>3913066</v>
      </c>
      <c r="C13" s="27">
        <f>SUM(C7:C12)</f>
        <v>3771051.4338039998</v>
      </c>
      <c r="D13" s="46">
        <f>IF(B13&lt;&gt;0,(C13-B13)/B13,0)</f>
        <v>-3.6292402478261342E-2</v>
      </c>
    </row>
    <row r="15" spans="1:4" x14ac:dyDescent="0.3">
      <c r="A15" s="6" t="s">
        <v>48</v>
      </c>
      <c r="B15" s="6">
        <v>2007</v>
      </c>
      <c r="C15" s="6">
        <v>2008</v>
      </c>
      <c r="D15" s="7" t="s">
        <v>46</v>
      </c>
    </row>
    <row r="16" spans="1:4" x14ac:dyDescent="0.3">
      <c r="A16" s="18" t="s">
        <v>28</v>
      </c>
      <c r="B16" s="14">
        <v>7000</v>
      </c>
      <c r="C16" s="14">
        <v>7016</v>
      </c>
      <c r="D16" s="17">
        <f t="shared" ref="D16:D24" si="0">IF(B16&lt;&gt;0,(C16-B16)/B16,0)</f>
        <v>2.2857142857142859E-3</v>
      </c>
    </row>
    <row r="17" spans="1:8" x14ac:dyDescent="0.3">
      <c r="A17" s="18" t="s">
        <v>29</v>
      </c>
      <c r="B17" s="14">
        <v>113296</v>
      </c>
      <c r="C17" s="14">
        <v>131788</v>
      </c>
      <c r="D17" s="17">
        <f t="shared" si="0"/>
        <v>0.16321847196723627</v>
      </c>
    </row>
    <row r="18" spans="1:8" x14ac:dyDescent="0.3">
      <c r="A18" s="18" t="s">
        <v>30</v>
      </c>
      <c r="B18" s="14">
        <v>157</v>
      </c>
      <c r="C18" s="14">
        <v>739</v>
      </c>
      <c r="D18" s="17">
        <f t="shared" si="0"/>
        <v>3.7070063694267517</v>
      </c>
    </row>
    <row r="19" spans="1:8" x14ac:dyDescent="0.3">
      <c r="A19" s="18" t="s">
        <v>31</v>
      </c>
      <c r="B19" s="14">
        <v>176</v>
      </c>
      <c r="C19" s="14">
        <v>111</v>
      </c>
      <c r="D19" s="17">
        <f t="shared" si="0"/>
        <v>-0.36931818181818182</v>
      </c>
    </row>
    <row r="20" spans="1:8" x14ac:dyDescent="0.3">
      <c r="A20" s="18" t="s">
        <v>32</v>
      </c>
      <c r="B20" s="14">
        <v>293</v>
      </c>
      <c r="C20" s="14">
        <v>876</v>
      </c>
      <c r="D20" s="17">
        <f t="shared" si="0"/>
        <v>1.9897610921501707</v>
      </c>
    </row>
    <row r="21" spans="1:8" x14ac:dyDescent="0.3">
      <c r="A21" s="18" t="s">
        <v>24</v>
      </c>
      <c r="B21" s="14">
        <v>8132</v>
      </c>
      <c r="C21" s="14">
        <v>8802</v>
      </c>
      <c r="D21" s="17">
        <f t="shared" si="0"/>
        <v>8.2390555828824402E-2</v>
      </c>
    </row>
    <row r="22" spans="1:8" s="9" customFormat="1" x14ac:dyDescent="0.3">
      <c r="A22" s="29" t="s">
        <v>33</v>
      </c>
      <c r="B22" s="30">
        <f>SUM(B16:B21)</f>
        <v>129054</v>
      </c>
      <c r="C22" s="30">
        <f>SUM(C16:C21)</f>
        <v>149332</v>
      </c>
      <c r="D22" s="42">
        <f t="shared" si="0"/>
        <v>0.15712802392796812</v>
      </c>
      <c r="G22" s="12"/>
    </row>
    <row r="23" spans="1:8" s="9" customFormat="1" x14ac:dyDescent="0.3">
      <c r="A23" s="31" t="s">
        <v>34</v>
      </c>
      <c r="B23" s="32">
        <v>3784012</v>
      </c>
      <c r="C23" s="32">
        <v>3621719.4338039998</v>
      </c>
      <c r="D23" s="47">
        <f t="shared" si="0"/>
        <v>-4.288901995976762E-2</v>
      </c>
      <c r="G23" s="12"/>
      <c r="H23" s="12"/>
    </row>
    <row r="24" spans="1:8" s="9" customFormat="1" ht="15.75" thickBot="1" x14ac:dyDescent="0.35">
      <c r="A24" s="26" t="s">
        <v>35</v>
      </c>
      <c r="B24" s="27">
        <f>+B22+B23</f>
        <v>3913066</v>
      </c>
      <c r="C24" s="27">
        <f>+C22+C23</f>
        <v>3771051.4338039998</v>
      </c>
      <c r="D24" s="45">
        <f t="shared" si="0"/>
        <v>-3.6292402478261342E-2</v>
      </c>
      <c r="G24" s="12"/>
      <c r="H24" s="12"/>
    </row>
    <row r="25" spans="1:8" x14ac:dyDescent="0.3">
      <c r="A25" s="33" t="s">
        <v>54</v>
      </c>
      <c r="B25" s="14">
        <v>435123458</v>
      </c>
      <c r="C25" s="14">
        <v>435123458</v>
      </c>
      <c r="D25" s="17"/>
      <c r="H25" s="11"/>
    </row>
    <row r="26" spans="1:8" x14ac:dyDescent="0.3">
      <c r="A26" s="33" t="s">
        <v>71</v>
      </c>
      <c r="B26" s="33">
        <f>+B23/+(B25/1000000)</f>
        <v>8696.4100197971857</v>
      </c>
      <c r="C26" s="33">
        <f>+C23/+(C25/1000000)</f>
        <v>8323.4295168797798</v>
      </c>
      <c r="D26" s="17"/>
      <c r="H26" s="11"/>
    </row>
    <row r="27" spans="1:8" x14ac:dyDescent="0.3">
      <c r="G27" s="13"/>
      <c r="H27" s="13"/>
    </row>
    <row r="28" spans="1:8" x14ac:dyDescent="0.3">
      <c r="A28" s="6" t="s">
        <v>70</v>
      </c>
      <c r="B28" s="6">
        <v>2007</v>
      </c>
      <c r="C28" s="6">
        <v>2008</v>
      </c>
      <c r="D28" s="7" t="s">
        <v>46</v>
      </c>
      <c r="H28" s="13"/>
    </row>
    <row r="29" spans="1:8" x14ac:dyDescent="0.3">
      <c r="A29" s="19" t="s">
        <v>64</v>
      </c>
      <c r="B29" s="14"/>
      <c r="C29" s="17"/>
      <c r="D29" s="34"/>
    </row>
    <row r="30" spans="1:8" x14ac:dyDescent="0.3">
      <c r="A30" s="19" t="s">
        <v>44</v>
      </c>
      <c r="B30" s="14"/>
      <c r="C30" s="17"/>
      <c r="D30" s="34"/>
    </row>
    <row r="31" spans="1:8" x14ac:dyDescent="0.3">
      <c r="A31" s="19" t="s">
        <v>45</v>
      </c>
      <c r="B31" s="14"/>
      <c r="C31" s="17"/>
      <c r="D31" s="34"/>
    </row>
    <row r="32" spans="1:8" s="9" customFormat="1" x14ac:dyDescent="0.3">
      <c r="A32" s="19" t="s">
        <v>72</v>
      </c>
      <c r="B32" s="30">
        <f>37372+2891</f>
        <v>40263</v>
      </c>
      <c r="C32" s="30">
        <v>128668</v>
      </c>
      <c r="D32" s="25">
        <f t="shared" ref="D32:D43" si="1">IF(C32&lt;&gt;0,(C32-B32)/B32,0)</f>
        <v>2.1956883491046368</v>
      </c>
      <c r="G32" s="12"/>
    </row>
    <row r="33" spans="1:7" s="9" customFormat="1" x14ac:dyDescent="0.3">
      <c r="A33" s="19" t="s">
        <v>5</v>
      </c>
      <c r="B33" s="14">
        <v>2701</v>
      </c>
      <c r="C33" s="14">
        <v>2704</v>
      </c>
      <c r="D33" s="54">
        <f t="shared" si="1"/>
        <v>1.1106997408367272E-3</v>
      </c>
      <c r="G33" s="12"/>
    </row>
    <row r="34" spans="1:7" s="9" customFormat="1" x14ac:dyDescent="0.3">
      <c r="A34" s="19" t="s">
        <v>57</v>
      </c>
      <c r="B34" s="14">
        <v>6224</v>
      </c>
      <c r="C34" s="14">
        <v>8877</v>
      </c>
      <c r="D34" s="54">
        <f t="shared" si="1"/>
        <v>0.42625321336760924</v>
      </c>
      <c r="G34" s="12"/>
    </row>
    <row r="35" spans="1:7" s="9" customFormat="1" x14ac:dyDescent="0.3">
      <c r="A35" s="19" t="s">
        <v>56</v>
      </c>
      <c r="B35" s="14">
        <f>312+1679</f>
        <v>1991</v>
      </c>
      <c r="C35" s="14">
        <f>71+2603</f>
        <v>2674</v>
      </c>
      <c r="D35" s="54">
        <f t="shared" si="1"/>
        <v>0.34304369663485684</v>
      </c>
      <c r="G35" s="12"/>
    </row>
    <row r="36" spans="1:7" s="9" customFormat="1" x14ac:dyDescent="0.3">
      <c r="A36" s="35" t="s">
        <v>4</v>
      </c>
      <c r="B36" s="30">
        <f>SUM(B32:B35)</f>
        <v>51179</v>
      </c>
      <c r="C36" s="14">
        <f>SUM(C32:C35)</f>
        <v>142923</v>
      </c>
      <c r="D36" s="54">
        <f t="shared" si="1"/>
        <v>1.7926102502979737</v>
      </c>
      <c r="G36" s="12"/>
    </row>
    <row r="37" spans="1:7" x14ac:dyDescent="0.3">
      <c r="A37" s="19" t="s">
        <v>58</v>
      </c>
      <c r="B37" s="14">
        <v>-2954</v>
      </c>
      <c r="C37" s="14">
        <v>-3759</v>
      </c>
      <c r="D37" s="54">
        <f t="shared" si="1"/>
        <v>0.27251184834123221</v>
      </c>
    </row>
    <row r="38" spans="1:7" s="9" customFormat="1" x14ac:dyDescent="0.3">
      <c r="A38" s="35" t="s">
        <v>42</v>
      </c>
      <c r="B38" s="14">
        <f>SUM(B36:B37)</f>
        <v>48225</v>
      </c>
      <c r="C38" s="14">
        <f>SUM(C36:C37)</f>
        <v>139164</v>
      </c>
      <c r="D38" s="54">
        <f t="shared" si="1"/>
        <v>1.8857231726283048</v>
      </c>
      <c r="G38" s="12"/>
    </row>
    <row r="39" spans="1:7" x14ac:dyDescent="0.3">
      <c r="A39" s="19" t="s">
        <v>10</v>
      </c>
      <c r="B39" s="14">
        <v>9</v>
      </c>
      <c r="C39" s="14">
        <v>437</v>
      </c>
      <c r="D39" s="54">
        <f t="shared" si="1"/>
        <v>47.555555555555557</v>
      </c>
    </row>
    <row r="40" spans="1:7" s="9" customFormat="1" x14ac:dyDescent="0.3">
      <c r="A40" s="19" t="s">
        <v>13</v>
      </c>
      <c r="B40" s="14">
        <v>-567</v>
      </c>
      <c r="C40" s="14">
        <v>-597</v>
      </c>
      <c r="D40" s="54">
        <f t="shared" si="1"/>
        <v>5.2910052910052907E-2</v>
      </c>
      <c r="G40" s="12"/>
    </row>
    <row r="41" spans="1:7" s="9" customFormat="1" x14ac:dyDescent="0.3">
      <c r="A41" s="35" t="s">
        <v>43</v>
      </c>
      <c r="B41" s="30">
        <f>SUM(B38:B40)</f>
        <v>47667</v>
      </c>
      <c r="C41" s="14">
        <f>SUM(C38:C40)</f>
        <v>139004</v>
      </c>
      <c r="D41" s="54">
        <f t="shared" si="1"/>
        <v>1.9161474395283948</v>
      </c>
      <c r="G41" s="12"/>
    </row>
    <row r="42" spans="1:7" x14ac:dyDescent="0.3">
      <c r="A42" s="19" t="s">
        <v>15</v>
      </c>
      <c r="B42" s="14">
        <v>-108</v>
      </c>
      <c r="C42" s="14">
        <v>-96</v>
      </c>
      <c r="D42" s="54">
        <f t="shared" si="1"/>
        <v>-0.1111111111111111</v>
      </c>
    </row>
    <row r="43" spans="1:7" ht="15.75" thickBot="1" x14ac:dyDescent="0.35">
      <c r="A43" s="36" t="s">
        <v>17</v>
      </c>
      <c r="B43" s="37">
        <f>SUM(B41:B42)</f>
        <v>47559</v>
      </c>
      <c r="C43" s="37">
        <f>SUM(C41:C42)</f>
        <v>138908</v>
      </c>
      <c r="D43" s="28">
        <f t="shared" si="1"/>
        <v>1.9207510670956076</v>
      </c>
    </row>
    <row r="45" spans="1:7" x14ac:dyDescent="0.3">
      <c r="A45" s="19" t="s">
        <v>53</v>
      </c>
      <c r="B45" s="14"/>
      <c r="C45" s="17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28" zoomScale="87" zoomScaleNormal="87" workbookViewId="0">
      <selection activeCell="A6" sqref="A6:F55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7" width="3.42578125" style="4" customWidth="1"/>
    <col min="8" max="16384" width="11.42578125" style="5"/>
  </cols>
  <sheetData>
    <row r="1" spans="1:5" x14ac:dyDescent="0.3">
      <c r="A1" s="38" t="s">
        <v>40</v>
      </c>
      <c r="E1" s="21"/>
    </row>
    <row r="2" spans="1:5" x14ac:dyDescent="0.3">
      <c r="A2" s="38" t="s">
        <v>63</v>
      </c>
      <c r="E2" s="21"/>
    </row>
    <row r="3" spans="1:5" x14ac:dyDescent="0.3">
      <c r="A3" s="24" t="s">
        <v>44</v>
      </c>
      <c r="E3" s="21"/>
    </row>
    <row r="4" spans="1:5" x14ac:dyDescent="0.3">
      <c r="A4" s="24" t="s">
        <v>45</v>
      </c>
      <c r="E4" s="21"/>
    </row>
    <row r="5" spans="1:5" x14ac:dyDescent="0.3">
      <c r="E5" s="21"/>
    </row>
    <row r="6" spans="1:5" x14ac:dyDescent="0.3">
      <c r="A6" s="6" t="s">
        <v>20</v>
      </c>
      <c r="B6" s="6">
        <v>2007</v>
      </c>
      <c r="C6" s="6">
        <v>2008</v>
      </c>
      <c r="D6" s="7" t="s">
        <v>46</v>
      </c>
      <c r="E6" s="20"/>
    </row>
    <row r="7" spans="1:5" x14ac:dyDescent="0.3">
      <c r="A7" s="18" t="s">
        <v>21</v>
      </c>
      <c r="B7" s="14">
        <v>144117</v>
      </c>
      <c r="C7" s="14">
        <v>153862</v>
      </c>
      <c r="D7" s="17">
        <f>+(C7-B7)/B7</f>
        <v>6.761867094097157E-2</v>
      </c>
      <c r="E7" s="21"/>
    </row>
    <row r="8" spans="1:5" x14ac:dyDescent="0.3">
      <c r="A8" s="18" t="s">
        <v>22</v>
      </c>
      <c r="B8" s="14">
        <v>346162</v>
      </c>
      <c r="C8" s="14">
        <v>303270</v>
      </c>
      <c r="D8" s="17">
        <f t="shared" ref="D8:D16" si="0">+(C8-B8)/B8</f>
        <v>-0.12390730351685049</v>
      </c>
      <c r="E8" s="21"/>
    </row>
    <row r="9" spans="1:5" x14ac:dyDescent="0.3">
      <c r="A9" s="18" t="s">
        <v>23</v>
      </c>
      <c r="B9" s="14">
        <v>390751</v>
      </c>
      <c r="C9" s="14">
        <v>521798</v>
      </c>
      <c r="D9" s="17">
        <f t="shared" si="0"/>
        <v>0.33537214236175977</v>
      </c>
      <c r="E9" s="21"/>
    </row>
    <row r="10" spans="1:5" x14ac:dyDescent="0.3">
      <c r="A10" s="18" t="s">
        <v>36</v>
      </c>
      <c r="B10" s="14">
        <v>426868</v>
      </c>
      <c r="C10" s="14">
        <v>464860</v>
      </c>
      <c r="D10" s="17">
        <f t="shared" si="0"/>
        <v>8.9001752298134312E-2</v>
      </c>
      <c r="E10" s="21"/>
    </row>
    <row r="11" spans="1:5" x14ac:dyDescent="0.3">
      <c r="A11" s="18" t="s">
        <v>60</v>
      </c>
      <c r="B11" s="14">
        <v>591538</v>
      </c>
      <c r="C11" s="14">
        <v>684779</v>
      </c>
      <c r="D11" s="17">
        <f t="shared" si="0"/>
        <v>0.1576247003573735</v>
      </c>
      <c r="E11" s="21"/>
    </row>
    <row r="12" spans="1:5" x14ac:dyDescent="0.3">
      <c r="A12" s="18" t="s">
        <v>47</v>
      </c>
      <c r="B12" s="14">
        <v>560066</v>
      </c>
      <c r="C12" s="14">
        <v>510911</v>
      </c>
      <c r="D12" s="17">
        <f t="shared" si="0"/>
        <v>-8.776644181221499E-2</v>
      </c>
      <c r="E12" s="21"/>
    </row>
    <row r="13" spans="1:5" x14ac:dyDescent="0.3">
      <c r="A13" s="18" t="s">
        <v>24</v>
      </c>
      <c r="B13" s="14">
        <v>45191</v>
      </c>
      <c r="C13" s="14">
        <v>73369</v>
      </c>
      <c r="D13" s="17">
        <f t="shared" si="0"/>
        <v>0.62353123409528444</v>
      </c>
      <c r="E13" s="21"/>
    </row>
    <row r="14" spans="1:5" x14ac:dyDescent="0.3">
      <c r="A14" s="18" t="s">
        <v>25</v>
      </c>
      <c r="B14" s="14">
        <v>11023</v>
      </c>
      <c r="C14" s="14">
        <v>12432</v>
      </c>
      <c r="D14" s="17">
        <f t="shared" si="0"/>
        <v>0.12782364147691191</v>
      </c>
      <c r="E14" s="21"/>
    </row>
    <row r="15" spans="1:5" x14ac:dyDescent="0.3">
      <c r="A15" s="18" t="s">
        <v>26</v>
      </c>
      <c r="B15" s="14">
        <v>2467655</v>
      </c>
      <c r="C15" s="14">
        <v>2204864</v>
      </c>
      <c r="D15" s="17">
        <f t="shared" si="0"/>
        <v>-0.10649422224743735</v>
      </c>
      <c r="E15" s="21"/>
    </row>
    <row r="16" spans="1:5" ht="15.75" thickBot="1" x14ac:dyDescent="0.35">
      <c r="A16" s="26" t="s">
        <v>27</v>
      </c>
      <c r="B16" s="27">
        <f>SUM(B7:B15)</f>
        <v>4983371</v>
      </c>
      <c r="C16" s="27">
        <f>SUM(C7:C15)</f>
        <v>4930145</v>
      </c>
      <c r="D16" s="45">
        <f t="shared" si="0"/>
        <v>-1.068072194504483E-2</v>
      </c>
      <c r="E16" s="22"/>
    </row>
    <row r="17" spans="1:5" x14ac:dyDescent="0.3">
      <c r="A17" s="1"/>
      <c r="E17" s="21"/>
    </row>
    <row r="18" spans="1:5" x14ac:dyDescent="0.3">
      <c r="A18" s="6" t="s">
        <v>48</v>
      </c>
      <c r="B18" s="6">
        <v>2007</v>
      </c>
      <c r="C18" s="6">
        <v>2008</v>
      </c>
      <c r="D18" s="7" t="s">
        <v>46</v>
      </c>
      <c r="E18" s="20"/>
    </row>
    <row r="19" spans="1:5" x14ac:dyDescent="0.3">
      <c r="A19" s="18" t="s">
        <v>28</v>
      </c>
      <c r="B19" s="14">
        <v>713125</v>
      </c>
      <c r="C19" s="14">
        <v>686806</v>
      </c>
      <c r="D19" s="17">
        <f t="shared" ref="D19:D30" si="1">+(C19-B19)/B19</f>
        <v>-3.6906573181419808E-2</v>
      </c>
      <c r="E19" s="21"/>
    </row>
    <row r="20" spans="1:5" x14ac:dyDescent="0.3">
      <c r="A20" s="18" t="s">
        <v>49</v>
      </c>
      <c r="B20" s="14">
        <v>131752</v>
      </c>
      <c r="C20" s="14">
        <v>146733</v>
      </c>
      <c r="D20" s="17">
        <f t="shared" si="1"/>
        <v>0.11370605379804481</v>
      </c>
      <c r="E20" s="21"/>
    </row>
    <row r="21" spans="1:5" x14ac:dyDescent="0.3">
      <c r="A21" s="18" t="s">
        <v>38</v>
      </c>
      <c r="B21" s="14">
        <v>156446</v>
      </c>
      <c r="C21" s="14">
        <v>186290</v>
      </c>
      <c r="D21" s="17">
        <f t="shared" si="1"/>
        <v>0.19076230776114442</v>
      </c>
      <c r="E21" s="21"/>
    </row>
    <row r="22" spans="1:5" x14ac:dyDescent="0.3">
      <c r="A22" s="18" t="s">
        <v>30</v>
      </c>
      <c r="B22" s="14">
        <v>39925</v>
      </c>
      <c r="C22" s="14">
        <v>53902</v>
      </c>
      <c r="D22" s="17">
        <f t="shared" si="1"/>
        <v>0.35008140262993109</v>
      </c>
      <c r="E22" s="21"/>
    </row>
    <row r="23" spans="1:5" x14ac:dyDescent="0.3">
      <c r="A23" s="18" t="s">
        <v>31</v>
      </c>
      <c r="B23" s="14">
        <v>29862</v>
      </c>
      <c r="C23" s="14">
        <v>36264</v>
      </c>
      <c r="D23" s="17">
        <f t="shared" si="1"/>
        <v>0.21438617641149288</v>
      </c>
      <c r="E23" s="21"/>
    </row>
    <row r="24" spans="1:5" x14ac:dyDescent="0.3">
      <c r="A24" s="18" t="s">
        <v>32</v>
      </c>
      <c r="B24" s="14">
        <v>119727</v>
      </c>
      <c r="C24" s="14">
        <v>159959</v>
      </c>
      <c r="D24" s="17">
        <f t="shared" si="1"/>
        <v>0.33603113750448937</v>
      </c>
      <c r="E24" s="21"/>
    </row>
    <row r="25" spans="1:5" x14ac:dyDescent="0.3">
      <c r="A25" s="18" t="s">
        <v>24</v>
      </c>
      <c r="B25" s="14">
        <v>10961</v>
      </c>
      <c r="C25" s="14">
        <v>57796</v>
      </c>
      <c r="D25" s="17">
        <f t="shared" si="1"/>
        <v>4.2728765623574487</v>
      </c>
      <c r="E25" s="21"/>
    </row>
    <row r="26" spans="1:5" x14ac:dyDescent="0.3">
      <c r="A26" s="18" t="s">
        <v>0</v>
      </c>
      <c r="B26" s="14">
        <v>2018</v>
      </c>
      <c r="C26" s="14">
        <v>1833</v>
      </c>
      <c r="D26" s="17">
        <f t="shared" si="1"/>
        <v>-9.1674925668979182E-2</v>
      </c>
      <c r="E26" s="21"/>
    </row>
    <row r="27" spans="1:5" x14ac:dyDescent="0.3">
      <c r="A27" s="18" t="s">
        <v>33</v>
      </c>
      <c r="B27" s="14">
        <f>SUM(B19:B26)</f>
        <v>1203816</v>
      </c>
      <c r="C27" s="14">
        <f>SUM(C19:C26)</f>
        <v>1329583</v>
      </c>
      <c r="D27" s="17">
        <f t="shared" si="1"/>
        <v>0.10447360726223941</v>
      </c>
      <c r="E27" s="21"/>
    </row>
    <row r="28" spans="1:5" x14ac:dyDescent="0.3">
      <c r="A28" s="18" t="s">
        <v>39</v>
      </c>
      <c r="B28" s="14">
        <v>2848</v>
      </c>
      <c r="C28" s="14">
        <v>2937</v>
      </c>
      <c r="D28" s="17">
        <f t="shared" si="1"/>
        <v>3.125E-2</v>
      </c>
      <c r="E28" s="21"/>
    </row>
    <row r="29" spans="1:5" x14ac:dyDescent="0.3">
      <c r="A29" s="31" t="s">
        <v>34</v>
      </c>
      <c r="B29" s="32">
        <v>3776707</v>
      </c>
      <c r="C29" s="32">
        <v>3597625</v>
      </c>
      <c r="D29" s="47">
        <f t="shared" si="1"/>
        <v>-4.7417498895201561E-2</v>
      </c>
      <c r="E29" s="22"/>
    </row>
    <row r="30" spans="1:5" ht="15.75" thickBot="1" x14ac:dyDescent="0.35">
      <c r="A30" s="26" t="s">
        <v>35</v>
      </c>
      <c r="B30" s="27">
        <f>+B27+B28+B29</f>
        <v>4983371</v>
      </c>
      <c r="C30" s="27">
        <f>+C27+C28+C29</f>
        <v>4930145</v>
      </c>
      <c r="D30" s="45">
        <f t="shared" si="1"/>
        <v>-1.068072194504483E-2</v>
      </c>
      <c r="E30" s="22"/>
    </row>
    <row r="31" spans="1:5" x14ac:dyDescent="0.3">
      <c r="A31" s="19"/>
      <c r="B31" s="14"/>
      <c r="C31" s="14"/>
      <c r="D31" s="17"/>
      <c r="E31" s="21"/>
    </row>
    <row r="32" spans="1:5" x14ac:dyDescent="0.3">
      <c r="A32" s="41" t="s">
        <v>3</v>
      </c>
      <c r="B32" s="14"/>
      <c r="C32" s="14"/>
      <c r="D32" s="17"/>
      <c r="E32" s="21"/>
    </row>
    <row r="33" spans="1:7" x14ac:dyDescent="0.3">
      <c r="A33" s="41" t="s">
        <v>64</v>
      </c>
      <c r="B33" s="14"/>
      <c r="C33" s="14"/>
      <c r="D33" s="17"/>
      <c r="E33" s="21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2007</v>
      </c>
      <c r="C36" s="6" t="s">
        <v>55</v>
      </c>
      <c r="D36" s="6">
        <v>2008</v>
      </c>
      <c r="E36" s="7" t="s">
        <v>55</v>
      </c>
      <c r="F36" s="7" t="s">
        <v>46</v>
      </c>
    </row>
    <row r="37" spans="1:7" s="9" customFormat="1" x14ac:dyDescent="0.3">
      <c r="A37" s="30" t="s">
        <v>4</v>
      </c>
      <c r="B37" s="30">
        <v>1582226</v>
      </c>
      <c r="C37" s="42">
        <v>1</v>
      </c>
      <c r="D37" s="50">
        <v>1801423</v>
      </c>
      <c r="E37" s="42">
        <v>1</v>
      </c>
      <c r="F37" s="42">
        <f>+(D37-B37)/B37</f>
        <v>0.13853709899849959</v>
      </c>
      <c r="G37" s="8"/>
    </row>
    <row r="38" spans="1:7" x14ac:dyDescent="0.3">
      <c r="A38" s="14" t="s">
        <v>50</v>
      </c>
      <c r="B38" s="14">
        <v>-947458</v>
      </c>
      <c r="C38" s="17">
        <f t="shared" ref="C38:C55" si="2">+B38/$B$37</f>
        <v>-0.5988133174401129</v>
      </c>
      <c r="D38" s="51">
        <v>-1055915</v>
      </c>
      <c r="E38" s="17">
        <f>+D38/$D$37</f>
        <v>-0.58615605551833194</v>
      </c>
      <c r="F38" s="17">
        <f t="shared" ref="F38:F55" si="3">+(D38-B38)/B38</f>
        <v>0.11447156496646817</v>
      </c>
    </row>
    <row r="39" spans="1:7" s="9" customFormat="1" x14ac:dyDescent="0.3">
      <c r="A39" s="30" t="s">
        <v>6</v>
      </c>
      <c r="B39" s="30">
        <f>SUM(B37:B38)</f>
        <v>634768</v>
      </c>
      <c r="C39" s="42">
        <f t="shared" si="2"/>
        <v>0.40118668255988715</v>
      </c>
      <c r="D39" s="30">
        <f>SUM(D37:D38)</f>
        <v>745508</v>
      </c>
      <c r="E39" s="42">
        <f t="shared" ref="E39:E55" si="4">+D39/$D$37</f>
        <v>0.41384394448166811</v>
      </c>
      <c r="F39" s="42">
        <f t="shared" si="3"/>
        <v>0.17445743956847226</v>
      </c>
      <c r="G39" s="8"/>
    </row>
    <row r="40" spans="1:7" x14ac:dyDescent="0.3">
      <c r="A40" s="14" t="s">
        <v>7</v>
      </c>
      <c r="B40" s="14">
        <v>-75735</v>
      </c>
      <c r="C40" s="17">
        <f t="shared" si="2"/>
        <v>-4.7866107623057638E-2</v>
      </c>
      <c r="D40" s="14">
        <v>-83321</v>
      </c>
      <c r="E40" s="17">
        <f t="shared" si="4"/>
        <v>-4.6252878974011098E-2</v>
      </c>
      <c r="F40" s="17">
        <f t="shared" si="3"/>
        <v>0.10016504918465703</v>
      </c>
    </row>
    <row r="41" spans="1:7" x14ac:dyDescent="0.3">
      <c r="A41" s="14" t="s">
        <v>8</v>
      </c>
      <c r="B41" s="14">
        <v>-386109</v>
      </c>
      <c r="C41" s="17">
        <f t="shared" si="2"/>
        <v>-0.24402898195327344</v>
      </c>
      <c r="D41" s="14">
        <v>-449058</v>
      </c>
      <c r="E41" s="17">
        <f t="shared" si="4"/>
        <v>-0.24927959729613755</v>
      </c>
      <c r="F41" s="17">
        <f t="shared" si="3"/>
        <v>0.16303427270537593</v>
      </c>
    </row>
    <row r="42" spans="1:7" s="9" customFormat="1" x14ac:dyDescent="0.3">
      <c r="A42" s="30" t="s">
        <v>9</v>
      </c>
      <c r="B42" s="30">
        <f>SUM(B40:B41)</f>
        <v>-461844</v>
      </c>
      <c r="C42" s="42">
        <f t="shared" si="2"/>
        <v>-0.29189508957633109</v>
      </c>
      <c r="D42" s="30">
        <f>SUM(D40:D41)</f>
        <v>-532379</v>
      </c>
      <c r="E42" s="42">
        <f t="shared" si="4"/>
        <v>-0.29553247627014867</v>
      </c>
      <c r="F42" s="42">
        <f t="shared" si="3"/>
        <v>0.15272472956236305</v>
      </c>
      <c r="G42" s="8"/>
    </row>
    <row r="43" spans="1:7" s="9" customFormat="1" x14ac:dyDescent="0.3">
      <c r="A43" s="30" t="s">
        <v>1</v>
      </c>
      <c r="B43" s="30">
        <f>+B39+B42</f>
        <v>172924</v>
      </c>
      <c r="C43" s="42">
        <f t="shared" si="2"/>
        <v>0.10929159298355608</v>
      </c>
      <c r="D43" s="30">
        <f>+D39+D42</f>
        <v>213129</v>
      </c>
      <c r="E43" s="42">
        <f t="shared" si="4"/>
        <v>0.11831146821151944</v>
      </c>
      <c r="F43" s="42">
        <f t="shared" si="3"/>
        <v>0.23250098309083758</v>
      </c>
      <c r="G43" s="8"/>
    </row>
    <row r="44" spans="1:7" x14ac:dyDescent="0.3">
      <c r="A44" s="14" t="s">
        <v>51</v>
      </c>
      <c r="B44" s="14">
        <v>5502</v>
      </c>
      <c r="C44" s="17">
        <f t="shared" si="2"/>
        <v>3.4773793377178733E-3</v>
      </c>
      <c r="D44" s="14">
        <v>6606</v>
      </c>
      <c r="E44" s="17">
        <f t="shared" si="4"/>
        <v>3.6671009529688475E-3</v>
      </c>
      <c r="F44" s="17">
        <f t="shared" si="3"/>
        <v>0.20065430752453653</v>
      </c>
    </row>
    <row r="45" spans="1:7" x14ac:dyDescent="0.3">
      <c r="A45" s="14" t="s">
        <v>11</v>
      </c>
      <c r="B45" s="14">
        <v>-39447</v>
      </c>
      <c r="C45" s="17">
        <f t="shared" si="2"/>
        <v>-2.4931330922384035E-2</v>
      </c>
      <c r="D45" s="14">
        <v>-38878</v>
      </c>
      <c r="E45" s="17">
        <f t="shared" si="4"/>
        <v>-2.1581827255453049E-2</v>
      </c>
      <c r="F45" s="17">
        <f t="shared" si="3"/>
        <v>-1.4424417572945979E-2</v>
      </c>
    </row>
    <row r="46" spans="1:7" x14ac:dyDescent="0.3">
      <c r="A46" s="14" t="s">
        <v>12</v>
      </c>
      <c r="B46" s="14">
        <v>-63440</v>
      </c>
      <c r="C46" s="17">
        <f t="shared" si="2"/>
        <v>-4.0095409884555053E-2</v>
      </c>
      <c r="D46" s="14">
        <v>1565</v>
      </c>
      <c r="E46" s="17">
        <f t="shared" si="4"/>
        <v>8.687576432631314E-4</v>
      </c>
      <c r="F46" s="17">
        <f t="shared" si="3"/>
        <v>-1.0246689785624212</v>
      </c>
    </row>
    <row r="47" spans="1:7" x14ac:dyDescent="0.3">
      <c r="A47" s="14" t="s">
        <v>52</v>
      </c>
      <c r="B47" s="14">
        <v>-12805</v>
      </c>
      <c r="C47" s="17">
        <f t="shared" si="2"/>
        <v>-8.0930284295669518E-3</v>
      </c>
      <c r="D47" s="14">
        <v>-94130</v>
      </c>
      <c r="E47" s="17">
        <f t="shared" si="4"/>
        <v>-5.225313543792879E-2</v>
      </c>
      <c r="F47" s="17">
        <f t="shared" si="3"/>
        <v>6.3510347520499808</v>
      </c>
    </row>
    <row r="48" spans="1:7" x14ac:dyDescent="0.3">
      <c r="A48" s="14" t="s">
        <v>14</v>
      </c>
      <c r="B48" s="14">
        <v>13054</v>
      </c>
      <c r="C48" s="17">
        <f t="shared" si="2"/>
        <v>8.2504016493219045E-3</v>
      </c>
      <c r="D48" s="14">
        <v>15276</v>
      </c>
      <c r="E48" s="17">
        <f t="shared" si="4"/>
        <v>8.4799627849760986E-3</v>
      </c>
      <c r="F48" s="17">
        <f t="shared" si="3"/>
        <v>0.17021602573923703</v>
      </c>
    </row>
    <row r="49" spans="1:7" x14ac:dyDescent="0.3">
      <c r="A49" s="14" t="s">
        <v>16</v>
      </c>
      <c r="B49" s="14">
        <v>6542</v>
      </c>
      <c r="C49" s="17">
        <f t="shared" si="2"/>
        <v>4.134681139104022E-3</v>
      </c>
      <c r="D49" s="14">
        <v>80487</v>
      </c>
      <c r="E49" s="17">
        <f t="shared" si="4"/>
        <v>4.4679678232153137E-2</v>
      </c>
      <c r="F49" s="17">
        <f t="shared" si="3"/>
        <v>11.303118312442678</v>
      </c>
    </row>
    <row r="50" spans="1:7" s="9" customFormat="1" x14ac:dyDescent="0.3">
      <c r="A50" s="30" t="s">
        <v>2</v>
      </c>
      <c r="B50" s="30">
        <f>SUM(B44:B49)</f>
        <v>-90594</v>
      </c>
      <c r="C50" s="42">
        <f t="shared" si="2"/>
        <v>-5.7257307110362234E-2</v>
      </c>
      <c r="D50" s="30">
        <f>SUM(D44:D49)</f>
        <v>-29074</v>
      </c>
      <c r="E50" s="42">
        <f t="shared" si="4"/>
        <v>-1.6139463080020629E-2</v>
      </c>
      <c r="F50" s="42">
        <f t="shared" si="3"/>
        <v>-0.67907366933792523</v>
      </c>
      <c r="G50" s="8"/>
    </row>
    <row r="51" spans="1:7" s="9" customFormat="1" x14ac:dyDescent="0.3">
      <c r="A51" s="30" t="s">
        <v>41</v>
      </c>
      <c r="B51" s="30">
        <f>+B43+B50</f>
        <v>82330</v>
      </c>
      <c r="C51" s="42">
        <f t="shared" si="2"/>
        <v>5.2034285873193843E-2</v>
      </c>
      <c r="D51" s="30">
        <f>+D43+D50</f>
        <v>184055</v>
      </c>
      <c r="E51" s="42">
        <f t="shared" si="4"/>
        <v>0.10217200513149882</v>
      </c>
      <c r="F51" s="42">
        <f t="shared" si="3"/>
        <v>1.2355763391230414</v>
      </c>
      <c r="G51" s="8"/>
    </row>
    <row r="52" spans="1:7" x14ac:dyDescent="0.3">
      <c r="A52" s="14" t="s">
        <v>15</v>
      </c>
      <c r="B52" s="14">
        <v>-32455</v>
      </c>
      <c r="C52" s="17">
        <f t="shared" si="2"/>
        <v>-2.0512240349987929E-2</v>
      </c>
      <c r="D52" s="14">
        <v>-61357</v>
      </c>
      <c r="E52" s="17">
        <f t="shared" si="4"/>
        <v>-3.4060295666259399E-2</v>
      </c>
      <c r="F52" s="17">
        <f t="shared" si="3"/>
        <v>0.89052534278231399</v>
      </c>
    </row>
    <row r="53" spans="1:7" x14ac:dyDescent="0.3">
      <c r="A53" s="14" t="s">
        <v>18</v>
      </c>
      <c r="B53" s="14">
        <v>-257</v>
      </c>
      <c r="C53" s="17">
        <f t="shared" si="2"/>
        <v>-1.6242938745792321E-4</v>
      </c>
      <c r="D53" s="14">
        <v>-111</v>
      </c>
      <c r="E53" s="17">
        <f t="shared" si="4"/>
        <v>-6.1617954250611881E-5</v>
      </c>
      <c r="F53" s="17">
        <f t="shared" si="3"/>
        <v>-0.56809338521400776</v>
      </c>
    </row>
    <row r="54" spans="1:7" s="9" customFormat="1" x14ac:dyDescent="0.3">
      <c r="A54" s="43" t="s">
        <v>17</v>
      </c>
      <c r="B54" s="43">
        <f>+B51+B52+B53</f>
        <v>49618</v>
      </c>
      <c r="C54" s="44">
        <f t="shared" si="2"/>
        <v>3.1359616135747989E-2</v>
      </c>
      <c r="D54" s="43">
        <f>+D51+D52+D53</f>
        <v>122587</v>
      </c>
      <c r="E54" s="44">
        <f t="shared" si="4"/>
        <v>6.8050091510988814E-2</v>
      </c>
      <c r="F54" s="44">
        <f t="shared" si="3"/>
        <v>1.4706155024386312</v>
      </c>
      <c r="G54" s="8"/>
    </row>
    <row r="55" spans="1:7" s="9" customFormat="1" ht="15.75" thickBot="1" x14ac:dyDescent="0.35">
      <c r="A55" s="27" t="s">
        <v>19</v>
      </c>
      <c r="B55" s="27">
        <v>220025</v>
      </c>
      <c r="C55" s="45">
        <f t="shared" si="2"/>
        <v>0.13906041235575703</v>
      </c>
      <c r="D55" s="27">
        <v>260911</v>
      </c>
      <c r="E55" s="45">
        <f t="shared" si="4"/>
        <v>0.1448360546079405</v>
      </c>
      <c r="F55" s="45">
        <f t="shared" si="3"/>
        <v>0.1858243381433928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7"/>
    </row>
    <row r="58" spans="1:7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9" zoomScale="86" zoomScaleNormal="86" workbookViewId="0">
      <selection activeCell="F26" sqref="F26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5" width="10.5703125" style="4" customWidth="1"/>
    <col min="6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61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2007</v>
      </c>
      <c r="C6" s="6">
        <v>2008</v>
      </c>
      <c r="D6" s="6" t="s">
        <v>46</v>
      </c>
    </row>
    <row r="7" spans="1:4" x14ac:dyDescent="0.3">
      <c r="A7" s="18" t="s">
        <v>21</v>
      </c>
      <c r="B7" s="14">
        <v>3823</v>
      </c>
      <c r="C7" s="14">
        <v>1510</v>
      </c>
      <c r="D7" s="17">
        <f>IF(B7&lt;&gt;0,(C7-B7)/B7,0)</f>
        <v>-0.60502223384776355</v>
      </c>
    </row>
    <row r="8" spans="1:4" x14ac:dyDescent="0.3">
      <c r="A8" s="18" t="s">
        <v>22</v>
      </c>
      <c r="B8" s="14">
        <v>2725536</v>
      </c>
      <c r="C8" s="14">
        <v>2916380</v>
      </c>
      <c r="D8" s="17">
        <f>IF(B8&lt;&gt;0,(C8-B8)/B8,0)</f>
        <v>7.0020722529440083E-2</v>
      </c>
    </row>
    <row r="9" spans="1:4" x14ac:dyDescent="0.3">
      <c r="A9" s="18" t="s">
        <v>23</v>
      </c>
      <c r="B9" s="14">
        <v>12573</v>
      </c>
      <c r="C9" s="14">
        <v>27949.618029000001</v>
      </c>
      <c r="D9" s="17">
        <f>IF(B9&lt;&gt;0,(C9-B9)/B9,0)</f>
        <v>1.2229871970890003</v>
      </c>
    </row>
    <row r="10" spans="1:4" x14ac:dyDescent="0.3">
      <c r="A10" s="18" t="s">
        <v>37</v>
      </c>
      <c r="B10" s="14"/>
      <c r="C10" s="14">
        <v>49.019278</v>
      </c>
      <c r="D10" s="52" t="str">
        <f>IF(B10&lt;&gt;0,(C10-B10)/B10,"N.A.")</f>
        <v>N.A.</v>
      </c>
    </row>
    <row r="11" spans="1:4" x14ac:dyDescent="0.3">
      <c r="A11" s="18" t="s">
        <v>59</v>
      </c>
      <c r="B11" s="14">
        <f>276+138+155</f>
        <v>569</v>
      </c>
      <c r="C11" s="14">
        <f>54+155</f>
        <v>209</v>
      </c>
      <c r="D11" s="17">
        <f>IF(B11&lt;&gt;0,(C11-B11)/B11,0)</f>
        <v>-0.63268892794376097</v>
      </c>
    </row>
    <row r="12" spans="1:4" x14ac:dyDescent="0.3">
      <c r="A12" s="18" t="s">
        <v>26</v>
      </c>
      <c r="B12" s="14">
        <v>1219700</v>
      </c>
      <c r="C12" s="14">
        <v>997550.44343600003</v>
      </c>
      <c r="D12" s="17">
        <f>IF(B12&lt;&gt;0,(C12-B12)/B12,0)</f>
        <v>-0.18213458765598095</v>
      </c>
    </row>
    <row r="13" spans="1:4" ht="15.75" thickBot="1" x14ac:dyDescent="0.35">
      <c r="A13" s="26" t="s">
        <v>27</v>
      </c>
      <c r="B13" s="27">
        <f>SUM(B7:B12)</f>
        <v>3962201</v>
      </c>
      <c r="C13" s="27">
        <f>SUM(C7:C12)</f>
        <v>3943648.0807429999</v>
      </c>
      <c r="D13" s="46">
        <f>IF(B13&lt;&gt;0,(C13-B13)/B13,0)</f>
        <v>-4.6824780613098855E-3</v>
      </c>
    </row>
    <row r="15" spans="1:4" x14ac:dyDescent="0.3">
      <c r="A15" s="6" t="s">
        <v>48</v>
      </c>
      <c r="B15" s="6">
        <v>2007</v>
      </c>
      <c r="C15" s="6">
        <v>2008</v>
      </c>
      <c r="D15" s="6" t="s">
        <v>46</v>
      </c>
    </row>
    <row r="16" spans="1:4" x14ac:dyDescent="0.3">
      <c r="A16" s="18" t="s">
        <v>28</v>
      </c>
      <c r="B16" s="14">
        <v>7000</v>
      </c>
      <c r="C16" s="14">
        <v>7142.725461</v>
      </c>
      <c r="D16" s="17">
        <f t="shared" ref="D16:D24" si="0">IF(B16&lt;&gt;0,(C16-B16)/B16,0)</f>
        <v>2.0389351571428571E-2</v>
      </c>
    </row>
    <row r="17" spans="1:5" x14ac:dyDescent="0.3">
      <c r="A17" s="18" t="s">
        <v>29</v>
      </c>
      <c r="B17" s="14">
        <v>87943</v>
      </c>
      <c r="C17" s="14">
        <v>104450.431241</v>
      </c>
      <c r="D17" s="17">
        <f t="shared" si="0"/>
        <v>0.18770602823419713</v>
      </c>
    </row>
    <row r="18" spans="1:5" x14ac:dyDescent="0.3">
      <c r="A18" s="18" t="s">
        <v>30</v>
      </c>
      <c r="B18" s="14">
        <v>174</v>
      </c>
      <c r="C18" s="14">
        <v>295.03023300000001</v>
      </c>
      <c r="D18" s="17">
        <f t="shared" si="0"/>
        <v>0.69557605172413794</v>
      </c>
    </row>
    <row r="19" spans="1:5" x14ac:dyDescent="0.3">
      <c r="A19" s="18" t="s">
        <v>31</v>
      </c>
      <c r="B19" s="14">
        <v>176</v>
      </c>
      <c r="C19" s="14">
        <v>93.912424000000001</v>
      </c>
      <c r="D19" s="17">
        <f t="shared" si="0"/>
        <v>-0.46640668181818179</v>
      </c>
    </row>
    <row r="20" spans="1:5" x14ac:dyDescent="0.3">
      <c r="A20" s="18" t="s">
        <v>32</v>
      </c>
      <c r="B20" s="14">
        <v>947</v>
      </c>
      <c r="C20" s="14">
        <v>1316.4207690000001</v>
      </c>
      <c r="D20" s="17">
        <f t="shared" si="0"/>
        <v>0.3900958489968322</v>
      </c>
    </row>
    <row r="21" spans="1:5" x14ac:dyDescent="0.3">
      <c r="A21" s="18" t="s">
        <v>24</v>
      </c>
      <c r="B21" s="14">
        <v>5414</v>
      </c>
      <c r="C21" s="14">
        <v>5868.0603709999996</v>
      </c>
      <c r="D21" s="17">
        <f t="shared" si="0"/>
        <v>8.3867818803102984E-2</v>
      </c>
    </row>
    <row r="22" spans="1:5" s="9" customFormat="1" x14ac:dyDescent="0.3">
      <c r="A22" s="29" t="s">
        <v>33</v>
      </c>
      <c r="B22" s="30">
        <f>SUM(B16:B21)</f>
        <v>101654</v>
      </c>
      <c r="C22" s="30">
        <f>SUM(C16:C21)</f>
        <v>119166.58049899999</v>
      </c>
      <c r="D22" s="42">
        <f t="shared" si="0"/>
        <v>0.17227635409329675</v>
      </c>
      <c r="E22" s="8"/>
    </row>
    <row r="23" spans="1:5" s="9" customFormat="1" x14ac:dyDescent="0.3">
      <c r="A23" s="31" t="s">
        <v>34</v>
      </c>
      <c r="B23" s="32">
        <v>3860547</v>
      </c>
      <c r="C23" s="32">
        <v>3824481.102343</v>
      </c>
      <c r="D23" s="47">
        <f t="shared" si="0"/>
        <v>-9.3421729244586305E-3</v>
      </c>
      <c r="E23" s="8"/>
    </row>
    <row r="24" spans="1:5" s="9" customFormat="1" ht="15.75" thickBot="1" x14ac:dyDescent="0.35">
      <c r="A24" s="26" t="s">
        <v>35</v>
      </c>
      <c r="B24" s="27">
        <f>+B22+B23</f>
        <v>3962201</v>
      </c>
      <c r="C24" s="27">
        <f>+C22+C23</f>
        <v>3943647.6828419999</v>
      </c>
      <c r="D24" s="45">
        <f t="shared" si="0"/>
        <v>-4.6825784855437872E-3</v>
      </c>
      <c r="E24" s="8"/>
    </row>
    <row r="25" spans="1:5" x14ac:dyDescent="0.3">
      <c r="A25" s="18" t="s">
        <v>54</v>
      </c>
      <c r="B25" s="14">
        <v>435123458</v>
      </c>
      <c r="C25" s="14">
        <v>435123458</v>
      </c>
      <c r="D25" s="17"/>
    </row>
    <row r="26" spans="1:5" x14ac:dyDescent="0.3">
      <c r="A26" s="19" t="s">
        <v>71</v>
      </c>
      <c r="B26" s="33">
        <f>+B23/+(B25/1000000)</f>
        <v>8872.3026281888015</v>
      </c>
      <c r="C26" s="33">
        <f>+C23/+(C25/1000000)</f>
        <v>8789.4160427981333</v>
      </c>
      <c r="D26" s="17"/>
    </row>
    <row r="28" spans="1:5" x14ac:dyDescent="0.3">
      <c r="A28" s="6" t="s">
        <v>70</v>
      </c>
      <c r="B28" s="6">
        <v>2007</v>
      </c>
      <c r="C28" s="6">
        <v>2008</v>
      </c>
      <c r="D28" s="6" t="s">
        <v>46</v>
      </c>
    </row>
    <row r="29" spans="1:5" x14ac:dyDescent="0.3">
      <c r="A29" s="19" t="s">
        <v>62</v>
      </c>
      <c r="B29" s="14"/>
      <c r="C29" s="17"/>
      <c r="D29" s="34"/>
    </row>
    <row r="30" spans="1:5" x14ac:dyDescent="0.3">
      <c r="A30" s="19" t="s">
        <v>44</v>
      </c>
      <c r="B30" s="14"/>
      <c r="C30" s="17"/>
      <c r="D30" s="34"/>
    </row>
    <row r="31" spans="1:5" x14ac:dyDescent="0.3">
      <c r="A31" s="19" t="s">
        <v>45</v>
      </c>
      <c r="B31" s="14"/>
      <c r="C31" s="17"/>
      <c r="D31" s="34"/>
    </row>
    <row r="32" spans="1:5" s="9" customFormat="1" x14ac:dyDescent="0.3">
      <c r="A32" s="19" t="s">
        <v>72</v>
      </c>
      <c r="B32" s="30">
        <f>111798+2891</f>
        <v>114689</v>
      </c>
      <c r="C32" s="30">
        <f>109588+77783</f>
        <v>187371</v>
      </c>
      <c r="D32" s="25">
        <f>IF(C32&lt;&gt;0,(C32-B32)/B32,0)</f>
        <v>0.63373122095405832</v>
      </c>
    </row>
    <row r="33" spans="1:4" s="9" customFormat="1" x14ac:dyDescent="0.3">
      <c r="A33" s="19" t="s">
        <v>5</v>
      </c>
      <c r="B33" s="14">
        <v>2701</v>
      </c>
      <c r="C33" s="14">
        <v>2573</v>
      </c>
      <c r="D33" s="54">
        <f t="shared" ref="D33:D43" si="1">IF(C33&lt;&gt;0,(C33-B33)/B33,0)</f>
        <v>-4.7389855609033693E-2</v>
      </c>
    </row>
    <row r="34" spans="1:4" s="9" customFormat="1" x14ac:dyDescent="0.3">
      <c r="A34" s="19" t="s">
        <v>57</v>
      </c>
      <c r="B34" s="14">
        <v>8944</v>
      </c>
      <c r="C34" s="14">
        <v>11812</v>
      </c>
      <c r="D34" s="54">
        <f t="shared" si="1"/>
        <v>0.32066189624329161</v>
      </c>
    </row>
    <row r="35" spans="1:4" s="9" customFormat="1" x14ac:dyDescent="0.3">
      <c r="A35" s="19" t="s">
        <v>56</v>
      </c>
      <c r="B35" s="14">
        <f>410+2731</f>
        <v>3141</v>
      </c>
      <c r="C35" s="14">
        <f>108+3903</f>
        <v>4011</v>
      </c>
      <c r="D35" s="54">
        <f t="shared" si="1"/>
        <v>0.27698185291308502</v>
      </c>
    </row>
    <row r="36" spans="1:4" s="9" customFormat="1" x14ac:dyDescent="0.3">
      <c r="A36" s="35" t="s">
        <v>4</v>
      </c>
      <c r="B36" s="30">
        <f>SUM(B32:B35)</f>
        <v>129475</v>
      </c>
      <c r="C36" s="30">
        <f>SUM(C32:C35)</f>
        <v>205767</v>
      </c>
      <c r="D36" s="25">
        <f t="shared" si="1"/>
        <v>0.58924116624831047</v>
      </c>
    </row>
    <row r="37" spans="1:4" x14ac:dyDescent="0.3">
      <c r="A37" s="19" t="s">
        <v>58</v>
      </c>
      <c r="B37" s="14">
        <v>-4655</v>
      </c>
      <c r="C37" s="14">
        <v>-6038</v>
      </c>
      <c r="D37" s="54">
        <f t="shared" si="1"/>
        <v>0.29709989258861441</v>
      </c>
    </row>
    <row r="38" spans="1:4" s="9" customFormat="1" x14ac:dyDescent="0.3">
      <c r="A38" s="35" t="s">
        <v>42</v>
      </c>
      <c r="B38" s="14">
        <f>SUM(B36:B37)</f>
        <v>124820</v>
      </c>
      <c r="C38" s="30">
        <f>SUM(C36:C37)</f>
        <v>199729</v>
      </c>
      <c r="D38" s="25">
        <f t="shared" si="1"/>
        <v>0.60013619612241631</v>
      </c>
    </row>
    <row r="39" spans="1:4" x14ac:dyDescent="0.3">
      <c r="A39" s="19" t="s">
        <v>10</v>
      </c>
      <c r="B39" s="14">
        <v>102</v>
      </c>
      <c r="C39" s="14">
        <v>704</v>
      </c>
      <c r="D39" s="54">
        <f t="shared" si="1"/>
        <v>5.9019607843137258</v>
      </c>
    </row>
    <row r="40" spans="1:4" s="9" customFormat="1" x14ac:dyDescent="0.3">
      <c r="A40" s="19" t="s">
        <v>13</v>
      </c>
      <c r="B40" s="14">
        <v>-923</v>
      </c>
      <c r="C40" s="14">
        <v>-614</v>
      </c>
      <c r="D40" s="54">
        <f t="shared" si="1"/>
        <v>-0.33477789815817982</v>
      </c>
    </row>
    <row r="41" spans="1:4" s="9" customFormat="1" x14ac:dyDescent="0.3">
      <c r="A41" s="35" t="s">
        <v>43</v>
      </c>
      <c r="B41" s="30">
        <f>SUM(B38:B40)</f>
        <v>123999</v>
      </c>
      <c r="C41" s="30">
        <f>SUM(C38:C40)</f>
        <v>199819</v>
      </c>
      <c r="D41" s="25">
        <f t="shared" si="1"/>
        <v>0.61145654400438709</v>
      </c>
    </row>
    <row r="42" spans="1:4" x14ac:dyDescent="0.3">
      <c r="A42" s="19" t="s">
        <v>15</v>
      </c>
      <c r="B42" s="14">
        <v>-162</v>
      </c>
      <c r="C42" s="14">
        <v>-142</v>
      </c>
      <c r="D42" s="54">
        <f t="shared" si="1"/>
        <v>-0.12345679012345678</v>
      </c>
    </row>
    <row r="43" spans="1:4" ht="15.75" thickBot="1" x14ac:dyDescent="0.35">
      <c r="A43" s="36" t="s">
        <v>17</v>
      </c>
      <c r="B43" s="37">
        <f>SUM(B41:B42)</f>
        <v>123837</v>
      </c>
      <c r="C43" s="37">
        <f>SUM(C41:C42)</f>
        <v>199677</v>
      </c>
      <c r="D43" s="28">
        <f t="shared" si="1"/>
        <v>0.61241793648101939</v>
      </c>
    </row>
    <row r="45" spans="1:4" x14ac:dyDescent="0.3">
      <c r="A45" s="19" t="s">
        <v>53</v>
      </c>
      <c r="B45" s="14"/>
      <c r="C45" s="17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28" zoomScale="86" zoomScaleNormal="86" workbookViewId="0">
      <selection sqref="A1:F57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7" width="17.28515625" style="5" bestFit="1" customWidth="1"/>
    <col min="8" max="16384" width="11.42578125" style="5"/>
  </cols>
  <sheetData>
    <row r="1" spans="1:8" x14ac:dyDescent="0.3">
      <c r="A1" s="38" t="s">
        <v>40</v>
      </c>
      <c r="E1" s="21"/>
    </row>
    <row r="2" spans="1:8" x14ac:dyDescent="0.3">
      <c r="A2" s="38" t="s">
        <v>61</v>
      </c>
      <c r="E2" s="21"/>
    </row>
    <row r="3" spans="1:8" x14ac:dyDescent="0.3">
      <c r="A3" s="24" t="s">
        <v>44</v>
      </c>
      <c r="D3" s="17"/>
      <c r="E3" s="21"/>
    </row>
    <row r="4" spans="1:8" x14ac:dyDescent="0.3">
      <c r="A4" s="24" t="s">
        <v>45</v>
      </c>
      <c r="E4" s="21"/>
      <c r="G4" s="19"/>
      <c r="H4" s="19"/>
    </row>
    <row r="5" spans="1:8" x14ac:dyDescent="0.3">
      <c r="E5" s="21"/>
      <c r="G5" s="19"/>
      <c r="H5" s="19"/>
    </row>
    <row r="6" spans="1:8" x14ac:dyDescent="0.3">
      <c r="A6" s="6" t="s">
        <v>20</v>
      </c>
      <c r="B6" s="6">
        <v>2007</v>
      </c>
      <c r="C6" s="6">
        <v>2008</v>
      </c>
      <c r="D6" s="6" t="s">
        <v>46</v>
      </c>
      <c r="E6" s="20"/>
      <c r="G6" s="19"/>
      <c r="H6" s="19"/>
    </row>
    <row r="7" spans="1:8" x14ac:dyDescent="0.3">
      <c r="A7" s="18" t="s">
        <v>21</v>
      </c>
      <c r="B7" s="14">
        <v>130538</v>
      </c>
      <c r="C7" s="14">
        <v>214086</v>
      </c>
      <c r="D7" s="17">
        <f t="shared" ref="D7:D16" si="0">+(C7-B7)/B7</f>
        <v>0.64002819102483566</v>
      </c>
      <c r="E7" s="21"/>
      <c r="G7" s="19"/>
      <c r="H7" s="19"/>
    </row>
    <row r="8" spans="1:8" x14ac:dyDescent="0.3">
      <c r="A8" s="18" t="s">
        <v>22</v>
      </c>
      <c r="B8" s="14">
        <v>333803</v>
      </c>
      <c r="C8" s="14">
        <v>320988</v>
      </c>
      <c r="D8" s="17">
        <f t="shared" si="0"/>
        <v>-3.8390907211738663E-2</v>
      </c>
      <c r="E8" s="21"/>
      <c r="G8" s="19"/>
      <c r="H8" s="19"/>
    </row>
    <row r="9" spans="1:8" x14ac:dyDescent="0.3">
      <c r="A9" s="18" t="s">
        <v>23</v>
      </c>
      <c r="B9" s="14">
        <v>431472</v>
      </c>
      <c r="C9" s="14">
        <v>612909</v>
      </c>
      <c r="D9" s="17">
        <f t="shared" si="0"/>
        <v>0.42050700856602513</v>
      </c>
      <c r="E9" s="21"/>
      <c r="G9" s="19"/>
      <c r="H9" s="19"/>
    </row>
    <row r="10" spans="1:8" x14ac:dyDescent="0.3">
      <c r="A10" s="18" t="s">
        <v>36</v>
      </c>
      <c r="B10" s="14">
        <v>440200</v>
      </c>
      <c r="C10" s="14">
        <v>512928</v>
      </c>
      <c r="D10" s="17">
        <f t="shared" si="0"/>
        <v>0.16521581099500227</v>
      </c>
      <c r="E10" s="21"/>
      <c r="G10" s="19"/>
      <c r="H10" s="19"/>
    </row>
    <row r="11" spans="1:8" x14ac:dyDescent="0.3">
      <c r="A11" s="18" t="s">
        <v>60</v>
      </c>
      <c r="B11" s="14">
        <v>630109</v>
      </c>
      <c r="C11" s="14">
        <v>719980</v>
      </c>
      <c r="D11" s="17">
        <f t="shared" si="0"/>
        <v>0.1426277040956406</v>
      </c>
      <c r="E11" s="21"/>
      <c r="G11" s="19"/>
      <c r="H11" s="19"/>
    </row>
    <row r="12" spans="1:8" x14ac:dyDescent="0.3">
      <c r="A12" s="18" t="s">
        <v>47</v>
      </c>
      <c r="B12" s="14">
        <v>568376</v>
      </c>
      <c r="C12" s="14">
        <v>519323</v>
      </c>
      <c r="D12" s="17">
        <f t="shared" si="0"/>
        <v>-8.6303784818500429E-2</v>
      </c>
      <c r="E12" s="21"/>
      <c r="G12" s="19"/>
      <c r="H12" s="19"/>
    </row>
    <row r="13" spans="1:8" x14ac:dyDescent="0.3">
      <c r="A13" s="18" t="s">
        <v>24</v>
      </c>
      <c r="B13" s="14">
        <v>47440</v>
      </c>
      <c r="C13" s="14">
        <v>71593</v>
      </c>
      <c r="D13" s="17">
        <f t="shared" si="0"/>
        <v>0.50912731871838113</v>
      </c>
      <c r="E13" s="21"/>
      <c r="G13" s="19"/>
      <c r="H13" s="19"/>
    </row>
    <row r="14" spans="1:8" x14ac:dyDescent="0.3">
      <c r="A14" s="18" t="s">
        <v>25</v>
      </c>
      <c r="B14" s="14">
        <v>12269</v>
      </c>
      <c r="C14" s="14">
        <v>12506</v>
      </c>
      <c r="D14" s="17">
        <f t="shared" si="0"/>
        <v>1.9316977748797783E-2</v>
      </c>
      <c r="E14" s="21"/>
      <c r="G14" s="19"/>
      <c r="H14" s="19"/>
    </row>
    <row r="15" spans="1:8" x14ac:dyDescent="0.3">
      <c r="A15" s="18" t="s">
        <v>26</v>
      </c>
      <c r="B15" s="14">
        <v>2466765</v>
      </c>
      <c r="C15" s="14">
        <v>2360009</v>
      </c>
      <c r="D15" s="17">
        <f t="shared" si="0"/>
        <v>-4.3277734198433983E-2</v>
      </c>
      <c r="E15" s="21"/>
      <c r="G15" s="19"/>
      <c r="H15" s="19"/>
    </row>
    <row r="16" spans="1:8" ht="15.75" thickBot="1" x14ac:dyDescent="0.35">
      <c r="A16" s="26" t="s">
        <v>27</v>
      </c>
      <c r="B16" s="27">
        <f>SUM(B7:B15)</f>
        <v>5060972</v>
      </c>
      <c r="C16" s="27">
        <f>SUM(C7:C15)</f>
        <v>5344322</v>
      </c>
      <c r="D16" s="45">
        <f t="shared" si="0"/>
        <v>5.5987268848750792E-2</v>
      </c>
      <c r="E16" s="22"/>
      <c r="G16" s="19"/>
      <c r="H16" s="19"/>
    </row>
    <row r="17" spans="1:8" x14ac:dyDescent="0.3">
      <c r="A17" s="1"/>
      <c r="E17" s="21"/>
      <c r="G17" s="19"/>
      <c r="H17" s="19"/>
    </row>
    <row r="18" spans="1:8" x14ac:dyDescent="0.3">
      <c r="A18" s="6" t="s">
        <v>48</v>
      </c>
      <c r="B18" s="6">
        <v>2007</v>
      </c>
      <c r="C18" s="6">
        <v>2008</v>
      </c>
      <c r="D18" s="6" t="s">
        <v>46</v>
      </c>
      <c r="E18" s="20"/>
      <c r="G18" s="19"/>
      <c r="H18" s="19"/>
    </row>
    <row r="19" spans="1:8" x14ac:dyDescent="0.3">
      <c r="A19" s="18" t="s">
        <v>28</v>
      </c>
      <c r="B19" s="14">
        <v>703403</v>
      </c>
      <c r="C19" s="14">
        <v>796807</v>
      </c>
      <c r="D19" s="17">
        <f t="shared" ref="D19:D30" si="1">+(C19-B19)/B19</f>
        <v>0.13278874272643137</v>
      </c>
      <c r="E19" s="21"/>
      <c r="G19" s="19"/>
      <c r="H19" s="19"/>
    </row>
    <row r="20" spans="1:8" x14ac:dyDescent="0.3">
      <c r="A20" s="18" t="s">
        <v>49</v>
      </c>
      <c r="B20" s="14">
        <v>141667</v>
      </c>
      <c r="C20" s="14">
        <v>186788</v>
      </c>
      <c r="D20" s="17">
        <f t="shared" si="1"/>
        <v>0.31850042705781867</v>
      </c>
      <c r="E20" s="21"/>
    </row>
    <row r="21" spans="1:8" x14ac:dyDescent="0.3">
      <c r="A21" s="18" t="s">
        <v>38</v>
      </c>
      <c r="B21" s="14">
        <v>148629</v>
      </c>
      <c r="C21" s="14">
        <v>127818</v>
      </c>
      <c r="D21" s="17">
        <f t="shared" si="1"/>
        <v>-0.14001978079647984</v>
      </c>
      <c r="E21" s="21"/>
    </row>
    <row r="22" spans="1:8" x14ac:dyDescent="0.3">
      <c r="A22" s="18" t="s">
        <v>30</v>
      </c>
      <c r="B22" s="14">
        <v>27130</v>
      </c>
      <c r="C22" s="14">
        <v>38488</v>
      </c>
      <c r="D22" s="17">
        <f t="shared" si="1"/>
        <v>0.41865093991890895</v>
      </c>
      <c r="E22" s="21"/>
    </row>
    <row r="23" spans="1:8" x14ac:dyDescent="0.3">
      <c r="A23" s="18" t="s">
        <v>31</v>
      </c>
      <c r="B23" s="14">
        <v>31757</v>
      </c>
      <c r="C23" s="14">
        <v>40209</v>
      </c>
      <c r="D23" s="17">
        <f t="shared" si="1"/>
        <v>0.26614604654092011</v>
      </c>
      <c r="E23" s="21"/>
    </row>
    <row r="24" spans="1:8" x14ac:dyDescent="0.3">
      <c r="A24" s="18" t="s">
        <v>32</v>
      </c>
      <c r="B24" s="14">
        <v>159844</v>
      </c>
      <c r="C24" s="14">
        <v>226589</v>
      </c>
      <c r="D24" s="17">
        <f t="shared" si="1"/>
        <v>0.41756337428993268</v>
      </c>
      <c r="E24" s="21"/>
    </row>
    <row r="25" spans="1:8" x14ac:dyDescent="0.3">
      <c r="A25" s="18" t="s">
        <v>24</v>
      </c>
      <c r="B25" s="14">
        <v>10895</v>
      </c>
      <c r="C25" s="14">
        <v>45256</v>
      </c>
      <c r="D25" s="17">
        <f t="shared" si="1"/>
        <v>3.1538320330426801</v>
      </c>
      <c r="E25" s="21"/>
    </row>
    <row r="26" spans="1:8" x14ac:dyDescent="0.3">
      <c r="A26" s="18" t="s">
        <v>0</v>
      </c>
      <c r="B26" s="14">
        <v>461</v>
      </c>
      <c r="C26" s="14">
        <v>3964</v>
      </c>
      <c r="D26" s="17">
        <f t="shared" si="1"/>
        <v>7.5986984815618221</v>
      </c>
      <c r="E26" s="21"/>
    </row>
    <row r="27" spans="1:8" x14ac:dyDescent="0.3">
      <c r="A27" s="18" t="s">
        <v>33</v>
      </c>
      <c r="B27" s="14">
        <f>SUM(B19:B26)</f>
        <v>1223786</v>
      </c>
      <c r="C27" s="14">
        <f>SUM(C19:C26)</f>
        <v>1465919</v>
      </c>
      <c r="D27" s="17">
        <f t="shared" si="1"/>
        <v>0.19785567084441233</v>
      </c>
      <c r="E27" s="21"/>
    </row>
    <row r="28" spans="1:8" x14ac:dyDescent="0.3">
      <c r="A28" s="18" t="s">
        <v>39</v>
      </c>
      <c r="B28" s="14">
        <v>2891</v>
      </c>
      <c r="C28" s="14">
        <v>2365</v>
      </c>
      <c r="D28" s="17">
        <f t="shared" si="1"/>
        <v>-0.18194396402628848</v>
      </c>
      <c r="E28" s="21"/>
    </row>
    <row r="29" spans="1:8" ht="15.75" thickBot="1" x14ac:dyDescent="0.35">
      <c r="A29" s="26" t="s">
        <v>34</v>
      </c>
      <c r="B29" s="27">
        <v>3834295</v>
      </c>
      <c r="C29" s="27">
        <v>3876038</v>
      </c>
      <c r="D29" s="45">
        <f t="shared" si="1"/>
        <v>1.0886747107356111E-2</v>
      </c>
      <c r="E29" s="22"/>
    </row>
    <row r="30" spans="1:8" ht="15.75" thickBot="1" x14ac:dyDescent="0.35">
      <c r="A30" s="26" t="s">
        <v>35</v>
      </c>
      <c r="B30" s="27">
        <f>+B27+B28+B29</f>
        <v>5060972</v>
      </c>
      <c r="C30" s="27">
        <f>+C27+C28+C29</f>
        <v>5344322</v>
      </c>
      <c r="D30" s="45">
        <f t="shared" si="1"/>
        <v>5.5987268848750792E-2</v>
      </c>
      <c r="E30" s="22"/>
    </row>
    <row r="31" spans="1:8" x14ac:dyDescent="0.3">
      <c r="A31" s="19"/>
      <c r="B31" s="14"/>
      <c r="C31" s="14"/>
      <c r="D31" s="17"/>
    </row>
    <row r="32" spans="1:8" x14ac:dyDescent="0.3">
      <c r="A32" s="41" t="s">
        <v>3</v>
      </c>
      <c r="B32" s="14"/>
      <c r="C32" s="14"/>
      <c r="D32" s="17"/>
    </row>
    <row r="33" spans="1:6" x14ac:dyDescent="0.3">
      <c r="A33" s="41" t="s">
        <v>62</v>
      </c>
      <c r="B33" s="14"/>
      <c r="C33" s="14"/>
      <c r="D33" s="17"/>
    </row>
    <row r="34" spans="1:6" x14ac:dyDescent="0.3">
      <c r="A34" s="41" t="s">
        <v>44</v>
      </c>
      <c r="B34" s="14"/>
      <c r="C34" s="14"/>
      <c r="D34" s="17"/>
    </row>
    <row r="35" spans="1:6" x14ac:dyDescent="0.3">
      <c r="A35" s="41" t="s">
        <v>45</v>
      </c>
      <c r="B35" s="14"/>
      <c r="C35" s="14"/>
      <c r="D35" s="17"/>
    </row>
    <row r="36" spans="1:6" x14ac:dyDescent="0.3">
      <c r="A36" s="6"/>
      <c r="B36" s="6">
        <v>2007</v>
      </c>
      <c r="C36" s="6" t="s">
        <v>55</v>
      </c>
      <c r="D36" s="6">
        <v>2008</v>
      </c>
      <c r="E36" s="6" t="s">
        <v>55</v>
      </c>
      <c r="F36" s="6" t="s">
        <v>46</v>
      </c>
    </row>
    <row r="37" spans="1:6" s="9" customFormat="1" x14ac:dyDescent="0.3">
      <c r="A37" s="30" t="s">
        <v>4</v>
      </c>
      <c r="B37" s="30">
        <v>2462153</v>
      </c>
      <c r="C37" s="42">
        <f t="shared" ref="C37:C46" si="2">+B37/$B$37</f>
        <v>1</v>
      </c>
      <c r="D37" s="50">
        <v>2831071</v>
      </c>
      <c r="E37" s="42">
        <f>+D37/$D$37</f>
        <v>1</v>
      </c>
      <c r="F37" s="42">
        <f t="shared" ref="F37:F55" si="3">+(D37-B37)/B37</f>
        <v>0.14983553012343262</v>
      </c>
    </row>
    <row r="38" spans="1:6" x14ac:dyDescent="0.3">
      <c r="A38" s="14" t="s">
        <v>50</v>
      </c>
      <c r="B38" s="14">
        <v>-1458664</v>
      </c>
      <c r="C38" s="17">
        <f t="shared" si="2"/>
        <v>-0.59243434506304038</v>
      </c>
      <c r="D38" s="51">
        <v>-1665171</v>
      </c>
      <c r="E38" s="17">
        <f>+D38/$D$37</f>
        <v>-0.58817705384287433</v>
      </c>
      <c r="F38" s="17">
        <f t="shared" si="3"/>
        <v>0.14157269940164424</v>
      </c>
    </row>
    <row r="39" spans="1:6" s="9" customFormat="1" x14ac:dyDescent="0.3">
      <c r="A39" s="30" t="s">
        <v>6</v>
      </c>
      <c r="B39" s="30">
        <f>SUM(B37:B38)</f>
        <v>1003489</v>
      </c>
      <c r="C39" s="42">
        <f t="shared" si="2"/>
        <v>0.40756565493695962</v>
      </c>
      <c r="D39" s="30">
        <f>SUM(D37:D38)</f>
        <v>1165900</v>
      </c>
      <c r="E39" s="42">
        <f t="shared" ref="E39:E55" si="4">+D39/$D$37</f>
        <v>0.41182294615712567</v>
      </c>
      <c r="F39" s="42">
        <f t="shared" si="3"/>
        <v>0.1618463181958148</v>
      </c>
    </row>
    <row r="40" spans="1:6" x14ac:dyDescent="0.3">
      <c r="A40" s="14" t="s">
        <v>7</v>
      </c>
      <c r="B40" s="14">
        <v>-117207</v>
      </c>
      <c r="C40" s="17">
        <f t="shared" si="2"/>
        <v>-4.7603459248876899E-2</v>
      </c>
      <c r="D40" s="14">
        <v>-131989</v>
      </c>
      <c r="E40" s="17">
        <f t="shared" si="4"/>
        <v>-4.6621578900705778E-2</v>
      </c>
      <c r="F40" s="17">
        <f t="shared" si="3"/>
        <v>0.12611874717380361</v>
      </c>
    </row>
    <row r="41" spans="1:6" x14ac:dyDescent="0.3">
      <c r="A41" s="14" t="s">
        <v>8</v>
      </c>
      <c r="B41" s="14">
        <v>-597743</v>
      </c>
      <c r="C41" s="17">
        <f t="shared" si="2"/>
        <v>-0.2427724840820209</v>
      </c>
      <c r="D41" s="14">
        <v>-691355</v>
      </c>
      <c r="E41" s="17">
        <f t="shared" si="4"/>
        <v>-0.24420263568098433</v>
      </c>
      <c r="F41" s="17">
        <f t="shared" si="3"/>
        <v>0.1566091112735741</v>
      </c>
    </row>
    <row r="42" spans="1:6" s="9" customFormat="1" x14ac:dyDescent="0.3">
      <c r="A42" s="30" t="s">
        <v>9</v>
      </c>
      <c r="B42" s="30">
        <f>SUM(B40:B41)</f>
        <v>-714950</v>
      </c>
      <c r="C42" s="42">
        <f t="shared" si="2"/>
        <v>-0.29037594333089778</v>
      </c>
      <c r="D42" s="30">
        <f>SUM(D40:D41)</f>
        <v>-823344</v>
      </c>
      <c r="E42" s="42">
        <f t="shared" si="4"/>
        <v>-0.29082421458169011</v>
      </c>
      <c r="F42" s="42">
        <f t="shared" si="3"/>
        <v>0.15161060214000979</v>
      </c>
    </row>
    <row r="43" spans="1:6" s="9" customFormat="1" x14ac:dyDescent="0.3">
      <c r="A43" s="30" t="s">
        <v>1</v>
      </c>
      <c r="B43" s="30">
        <f>+B39+B42</f>
        <v>288539</v>
      </c>
      <c r="C43" s="42">
        <f t="shared" si="2"/>
        <v>0.11718971160606186</v>
      </c>
      <c r="D43" s="30">
        <f>+D39+D42</f>
        <v>342556</v>
      </c>
      <c r="E43" s="42">
        <f t="shared" si="4"/>
        <v>0.12099873157543559</v>
      </c>
      <c r="F43" s="42">
        <f t="shared" si="3"/>
        <v>0.18720866156741375</v>
      </c>
    </row>
    <row r="44" spans="1:6" x14ac:dyDescent="0.3">
      <c r="A44" s="14" t="s">
        <v>51</v>
      </c>
      <c r="B44" s="14">
        <v>7971</v>
      </c>
      <c r="C44" s="17">
        <f t="shared" si="2"/>
        <v>3.2374105102323048E-3</v>
      </c>
      <c r="D44" s="14">
        <v>8246</v>
      </c>
      <c r="E44" s="17">
        <f t="shared" si="4"/>
        <v>2.9126786293950241E-3</v>
      </c>
      <c r="F44" s="17">
        <f t="shared" si="3"/>
        <v>3.4500062727386774E-2</v>
      </c>
    </row>
    <row r="45" spans="1:6" x14ac:dyDescent="0.3">
      <c r="A45" s="14" t="s">
        <v>11</v>
      </c>
      <c r="B45" s="14">
        <v>-61081</v>
      </c>
      <c r="C45" s="17">
        <f t="shared" si="2"/>
        <v>-2.480796278704045E-2</v>
      </c>
      <c r="D45" s="14">
        <v>-58740</v>
      </c>
      <c r="E45" s="17">
        <f t="shared" si="4"/>
        <v>-2.0748331638450607E-2</v>
      </c>
      <c r="F45" s="17">
        <f t="shared" si="3"/>
        <v>-3.8326157070120007E-2</v>
      </c>
    </row>
    <row r="46" spans="1:6" x14ac:dyDescent="0.3">
      <c r="A46" s="14" t="s">
        <v>12</v>
      </c>
      <c r="B46" s="14">
        <v>-61954</v>
      </c>
      <c r="C46" s="17">
        <f t="shared" si="2"/>
        <v>-2.5162530516990616E-2</v>
      </c>
      <c r="D46" s="14">
        <v>-16111</v>
      </c>
      <c r="E46" s="17">
        <f t="shared" si="4"/>
        <v>-5.6907792139441219E-3</v>
      </c>
      <c r="F46" s="17">
        <f t="shared" si="3"/>
        <v>-0.73995222261678018</v>
      </c>
    </row>
    <row r="47" spans="1:6" x14ac:dyDescent="0.3">
      <c r="A47" s="14" t="s">
        <v>52</v>
      </c>
      <c r="B47" s="14">
        <v>-23025</v>
      </c>
      <c r="C47" s="17">
        <f t="shared" ref="C47:C55" si="5">+B47/$B$37</f>
        <v>-9.3515715717098005E-3</v>
      </c>
      <c r="D47" s="14">
        <v>-115324</v>
      </c>
      <c r="E47" s="17">
        <f t="shared" si="4"/>
        <v>-4.0735114025752091E-2</v>
      </c>
      <c r="F47" s="17">
        <f t="shared" si="3"/>
        <v>4.0086427795874053</v>
      </c>
    </row>
    <row r="48" spans="1:6" x14ac:dyDescent="0.3">
      <c r="A48" s="14" t="s">
        <v>14</v>
      </c>
      <c r="B48" s="14">
        <v>20010</v>
      </c>
      <c r="C48" s="17">
        <f t="shared" si="5"/>
        <v>8.1270335352839566E-3</v>
      </c>
      <c r="D48" s="14">
        <v>21671</v>
      </c>
      <c r="E48" s="17">
        <f t="shared" si="4"/>
        <v>7.6547002883361106E-3</v>
      </c>
      <c r="F48" s="17">
        <f t="shared" si="3"/>
        <v>8.3008495752123934E-2</v>
      </c>
    </row>
    <row r="49" spans="1:6" x14ac:dyDescent="0.3">
      <c r="A49" s="14" t="s">
        <v>16</v>
      </c>
      <c r="B49" s="14">
        <v>6542</v>
      </c>
      <c r="C49" s="17">
        <f t="shared" si="5"/>
        <v>2.6570241573127258E-3</v>
      </c>
      <c r="D49" s="14">
        <v>80356</v>
      </c>
      <c r="E49" s="17">
        <f t="shared" si="4"/>
        <v>2.8383604649971691E-2</v>
      </c>
      <c r="F49" s="17">
        <f t="shared" si="3"/>
        <v>11.283093855090186</v>
      </c>
    </row>
    <row r="50" spans="1:6" s="9" customFormat="1" x14ac:dyDescent="0.3">
      <c r="A50" s="30" t="s">
        <v>2</v>
      </c>
      <c r="B50" s="30">
        <f>SUM(B44:B49)</f>
        <v>-111537</v>
      </c>
      <c r="C50" s="42">
        <f t="shared" si="5"/>
        <v>-4.5300596672911878E-2</v>
      </c>
      <c r="D50" s="30">
        <f>SUM(D44:D49)</f>
        <v>-79902</v>
      </c>
      <c r="E50" s="42">
        <f t="shared" si="4"/>
        <v>-2.8223241310443997E-2</v>
      </c>
      <c r="F50" s="42">
        <f t="shared" si="3"/>
        <v>-0.28362785443395466</v>
      </c>
    </row>
    <row r="51" spans="1:6" s="9" customFormat="1" x14ac:dyDescent="0.3">
      <c r="A51" s="30" t="s">
        <v>41</v>
      </c>
      <c r="B51" s="30">
        <f>+B43+B50</f>
        <v>177002</v>
      </c>
      <c r="C51" s="42">
        <f t="shared" si="5"/>
        <v>7.1889114933149964E-2</v>
      </c>
      <c r="D51" s="30">
        <f>+D43+D50</f>
        <v>262654</v>
      </c>
      <c r="E51" s="42">
        <f t="shared" si="4"/>
        <v>9.2775490264991586E-2</v>
      </c>
      <c r="F51" s="42">
        <f t="shared" si="3"/>
        <v>0.48390413667642174</v>
      </c>
    </row>
    <row r="52" spans="1:6" x14ac:dyDescent="0.3">
      <c r="A52" s="14" t="s">
        <v>15</v>
      </c>
      <c r="B52" s="14">
        <v>-53359</v>
      </c>
      <c r="C52" s="17">
        <f t="shared" si="5"/>
        <v>-2.1671683278821421E-2</v>
      </c>
      <c r="D52" s="14">
        <v>-82750</v>
      </c>
      <c r="E52" s="17">
        <f t="shared" si="4"/>
        <v>-2.9229221026247663E-2</v>
      </c>
      <c r="F52" s="17">
        <f t="shared" si="3"/>
        <v>0.55081616971832303</v>
      </c>
    </row>
    <row r="53" spans="1:6" x14ac:dyDescent="0.3">
      <c r="A53" s="14" t="s">
        <v>18</v>
      </c>
      <c r="B53" s="14">
        <v>-299</v>
      </c>
      <c r="C53" s="17">
        <f t="shared" si="5"/>
        <v>-1.2143843213642694E-4</v>
      </c>
      <c r="D53" s="14">
        <v>451</v>
      </c>
      <c r="E53" s="17">
        <f t="shared" si="4"/>
        <v>1.59303669883235E-4</v>
      </c>
      <c r="F53" s="17">
        <f t="shared" si="3"/>
        <v>-2.508361204013378</v>
      </c>
    </row>
    <row r="54" spans="1:6" s="9" customFormat="1" x14ac:dyDescent="0.3">
      <c r="A54" s="43" t="s">
        <v>17</v>
      </c>
      <c r="B54" s="43">
        <f>+B51+B52+B53</f>
        <v>123344</v>
      </c>
      <c r="C54" s="44">
        <f t="shared" si="5"/>
        <v>5.0095993222192124E-2</v>
      </c>
      <c r="D54" s="43">
        <f>+D51+D52+D53</f>
        <v>180355</v>
      </c>
      <c r="E54" s="44">
        <f t="shared" si="4"/>
        <v>6.3705572908627162E-2</v>
      </c>
      <c r="F54" s="44">
        <f t="shared" si="3"/>
        <v>0.46221137631339992</v>
      </c>
    </row>
    <row r="55" spans="1:6" s="9" customFormat="1" ht="15.75" thickBot="1" x14ac:dyDescent="0.35">
      <c r="A55" s="27" t="s">
        <v>19</v>
      </c>
      <c r="B55" s="27">
        <v>359195</v>
      </c>
      <c r="C55" s="45">
        <f t="shared" si="5"/>
        <v>0.14588654726168521</v>
      </c>
      <c r="D55" s="27">
        <v>415965</v>
      </c>
      <c r="E55" s="45">
        <f t="shared" si="4"/>
        <v>0.14692849455206175</v>
      </c>
      <c r="F55" s="45">
        <f t="shared" si="3"/>
        <v>0.15804785701359986</v>
      </c>
    </row>
    <row r="56" spans="1:6" x14ac:dyDescent="0.3">
      <c r="A56" s="2"/>
      <c r="C56" s="3"/>
      <c r="D56" s="10"/>
    </row>
    <row r="57" spans="1:6" x14ac:dyDescent="0.3">
      <c r="A57" s="19" t="s">
        <v>53</v>
      </c>
      <c r="B57" s="14"/>
      <c r="C57" s="17"/>
      <c r="D57" s="10"/>
    </row>
    <row r="58" spans="1:6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16" zoomScale="86" zoomScaleNormal="86" workbookViewId="0">
      <selection activeCell="B35" sqref="B35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5" width="10.5703125" style="4" customWidth="1"/>
    <col min="6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67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2007</v>
      </c>
      <c r="C6" s="6">
        <v>2008</v>
      </c>
      <c r="D6" s="6" t="s">
        <v>46</v>
      </c>
    </row>
    <row r="7" spans="1:4" x14ac:dyDescent="0.3">
      <c r="A7" s="18" t="s">
        <v>21</v>
      </c>
      <c r="B7" s="14">
        <v>1835</v>
      </c>
      <c r="C7" s="14">
        <v>382</v>
      </c>
      <c r="D7" s="17">
        <f>IF(B7&lt;&gt;0,(C7-B7)/B7,0)</f>
        <v>-0.79182561307901911</v>
      </c>
    </row>
    <row r="8" spans="1:4" x14ac:dyDescent="0.3">
      <c r="A8" s="18" t="s">
        <v>22</v>
      </c>
      <c r="B8" s="14">
        <v>2904738</v>
      </c>
      <c r="C8" s="14">
        <v>3041332</v>
      </c>
      <c r="D8" s="17">
        <f>IF(B8&lt;&gt;0,(C8-B8)/B8,0)</f>
        <v>4.7024550923353503E-2</v>
      </c>
    </row>
    <row r="9" spans="1:4" x14ac:dyDescent="0.3">
      <c r="A9" s="18" t="s">
        <v>23</v>
      </c>
      <c r="B9" s="14">
        <f>9715+472</f>
        <v>10187</v>
      </c>
      <c r="C9" s="14">
        <f>468+23750</f>
        <v>24218</v>
      </c>
      <c r="D9" s="17">
        <f>IF(B9&lt;&gt;0,(C9-B9)/B9,0)</f>
        <v>1.3773436733091196</v>
      </c>
    </row>
    <row r="10" spans="1:4" x14ac:dyDescent="0.3">
      <c r="A10" s="18" t="s">
        <v>37</v>
      </c>
      <c r="B10" s="14">
        <v>0</v>
      </c>
      <c r="C10" s="14">
        <v>50</v>
      </c>
      <c r="D10" s="52" t="str">
        <f>IF(B10&lt;&gt;0,(C10-B10)/B10,"N.A.")</f>
        <v>N.A.</v>
      </c>
    </row>
    <row r="11" spans="1:4" x14ac:dyDescent="0.3">
      <c r="A11" s="18" t="s">
        <v>59</v>
      </c>
      <c r="B11" s="14">
        <f>155+54</f>
        <v>209</v>
      </c>
      <c r="C11" s="14">
        <f>155+54</f>
        <v>209</v>
      </c>
      <c r="D11" s="17">
        <f>IF(B11&lt;&gt;0,(C11-B11)/B11,0)</f>
        <v>0</v>
      </c>
    </row>
    <row r="12" spans="1:4" x14ac:dyDescent="0.3">
      <c r="A12" s="18" t="s">
        <v>26</v>
      </c>
      <c r="B12" s="14">
        <v>1324771</v>
      </c>
      <c r="C12" s="14">
        <v>891321</v>
      </c>
      <c r="D12" s="17">
        <f>IF(B12&lt;&gt;0,(C12-B12)/B12,0)</f>
        <v>-0.3271886235432388</v>
      </c>
    </row>
    <row r="13" spans="1:4" ht="15.75" thickBot="1" x14ac:dyDescent="0.35">
      <c r="A13" s="26" t="s">
        <v>27</v>
      </c>
      <c r="B13" s="27">
        <f>SUM(B7:B12)</f>
        <v>4241740</v>
      </c>
      <c r="C13" s="27">
        <f>SUM(C7:C12)</f>
        <v>3957512</v>
      </c>
      <c r="D13" s="46">
        <f>IF(B13&lt;&gt;0,(C13-B13)/B13,0)</f>
        <v>-6.7007407337554878E-2</v>
      </c>
    </row>
    <row r="15" spans="1:4" x14ac:dyDescent="0.3">
      <c r="A15" s="6" t="s">
        <v>48</v>
      </c>
      <c r="B15" s="6">
        <v>2007</v>
      </c>
      <c r="C15" s="6">
        <v>2008</v>
      </c>
      <c r="D15" s="6" t="s">
        <v>46</v>
      </c>
    </row>
    <row r="16" spans="1:4" x14ac:dyDescent="0.3">
      <c r="A16" s="18" t="s">
        <v>28</v>
      </c>
      <c r="B16" s="14">
        <v>7000</v>
      </c>
      <c r="C16" s="14">
        <v>7000</v>
      </c>
      <c r="D16" s="17">
        <f t="shared" ref="D16:D23" si="0">IF(B16&lt;&gt;0,(C16-B16)/B16,0)</f>
        <v>0</v>
      </c>
    </row>
    <row r="17" spans="1:5" x14ac:dyDescent="0.3">
      <c r="A17" s="18" t="s">
        <v>29</v>
      </c>
      <c r="B17" s="14">
        <v>62571</v>
      </c>
      <c r="C17" s="14">
        <f>37492+33775</f>
        <v>71267</v>
      </c>
      <c r="D17" s="17">
        <f t="shared" si="0"/>
        <v>0.13897812085470906</v>
      </c>
    </row>
    <row r="18" spans="1:5" x14ac:dyDescent="0.3">
      <c r="A18" s="18" t="s">
        <v>30</v>
      </c>
      <c r="B18" s="14">
        <v>645</v>
      </c>
      <c r="C18" s="14">
        <v>1762</v>
      </c>
      <c r="D18" s="17">
        <f t="shared" si="0"/>
        <v>1.7317829457364342</v>
      </c>
    </row>
    <row r="19" spans="1:5" x14ac:dyDescent="0.3">
      <c r="A19" s="18" t="s">
        <v>31</v>
      </c>
      <c r="B19" s="14">
        <v>686</v>
      </c>
      <c r="C19" s="14">
        <v>940</v>
      </c>
      <c r="D19" s="17">
        <f t="shared" si="0"/>
        <v>0.37026239067055394</v>
      </c>
    </row>
    <row r="20" spans="1:5" x14ac:dyDescent="0.3">
      <c r="A20" s="18" t="s">
        <v>24</v>
      </c>
      <c r="B20" s="14">
        <v>2679</v>
      </c>
      <c r="C20" s="14">
        <v>2934</v>
      </c>
      <c r="D20" s="17">
        <f t="shared" si="0"/>
        <v>9.5184770436730126E-2</v>
      </c>
    </row>
    <row r="21" spans="1:5" s="9" customFormat="1" x14ac:dyDescent="0.3">
      <c r="A21" s="29" t="s">
        <v>33</v>
      </c>
      <c r="B21" s="30">
        <f>SUM(B16:B20)</f>
        <v>73581</v>
      </c>
      <c r="C21" s="30">
        <f>SUM(C16:C20)</f>
        <v>83903</v>
      </c>
      <c r="D21" s="42">
        <f t="shared" si="0"/>
        <v>0.14028077900544977</v>
      </c>
      <c r="E21" s="8"/>
    </row>
    <row r="22" spans="1:5" s="9" customFormat="1" x14ac:dyDescent="0.3">
      <c r="A22" s="31" t="s">
        <v>34</v>
      </c>
      <c r="B22" s="32">
        <v>4168159</v>
      </c>
      <c r="C22" s="32">
        <v>3873609</v>
      </c>
      <c r="D22" s="47">
        <f t="shared" si="0"/>
        <v>-7.0666690018303044E-2</v>
      </c>
      <c r="E22" s="8"/>
    </row>
    <row r="23" spans="1:5" s="9" customFormat="1" ht="15.75" thickBot="1" x14ac:dyDescent="0.35">
      <c r="A23" s="26" t="s">
        <v>35</v>
      </c>
      <c r="B23" s="27">
        <f>+B21+B22</f>
        <v>4241740</v>
      </c>
      <c r="C23" s="27">
        <f>+C21+C22</f>
        <v>3957512</v>
      </c>
      <c r="D23" s="45">
        <f t="shared" si="0"/>
        <v>-6.7007407337554878E-2</v>
      </c>
      <c r="E23" s="8"/>
    </row>
    <row r="24" spans="1:5" x14ac:dyDescent="0.3">
      <c r="A24" s="18" t="s">
        <v>54</v>
      </c>
      <c r="B24" s="14">
        <v>435123458</v>
      </c>
      <c r="C24" s="14">
        <v>435123458</v>
      </c>
      <c r="D24" s="17"/>
    </row>
    <row r="25" spans="1:5" x14ac:dyDescent="0.3">
      <c r="A25" s="19" t="s">
        <v>71</v>
      </c>
      <c r="B25" s="33">
        <f>+B22/+(B24/1000000)</f>
        <v>9579.2560096817397</v>
      </c>
      <c r="C25" s="33">
        <f>+C22/+(C24/1000000)</f>
        <v>8902.3216946395933</v>
      </c>
      <c r="D25" s="17"/>
    </row>
    <row r="27" spans="1:5" x14ac:dyDescent="0.3">
      <c r="A27" s="6" t="s">
        <v>70</v>
      </c>
      <c r="B27" s="6">
        <v>2007</v>
      </c>
      <c r="C27" s="6">
        <v>2008</v>
      </c>
      <c r="D27" s="6" t="s">
        <v>46</v>
      </c>
    </row>
    <row r="28" spans="1:5" x14ac:dyDescent="0.3">
      <c r="A28" s="19" t="s">
        <v>68</v>
      </c>
      <c r="B28" s="14"/>
      <c r="C28" s="17"/>
      <c r="D28" s="34"/>
    </row>
    <row r="29" spans="1:5" x14ac:dyDescent="0.3">
      <c r="A29" s="19" t="s">
        <v>44</v>
      </c>
      <c r="B29" s="14"/>
      <c r="C29" s="17"/>
      <c r="D29" s="34"/>
    </row>
    <row r="30" spans="1:5" x14ac:dyDescent="0.3">
      <c r="A30" s="19" t="s">
        <v>45</v>
      </c>
      <c r="B30" s="14"/>
      <c r="C30" s="17"/>
      <c r="D30" s="34"/>
    </row>
    <row r="31" spans="1:5" s="9" customFormat="1" x14ac:dyDescent="0.3">
      <c r="A31" s="19" t="s">
        <v>72</v>
      </c>
      <c r="B31" s="30">
        <v>231987</v>
      </c>
      <c r="C31" s="30">
        <v>268897</v>
      </c>
      <c r="D31" s="25">
        <f>IF(C31&lt;&gt;0,(C31-B31)/B31,0)</f>
        <v>0.15910374288214427</v>
      </c>
    </row>
    <row r="32" spans="1:5" s="9" customFormat="1" x14ac:dyDescent="0.3">
      <c r="A32" s="19" t="s">
        <v>5</v>
      </c>
      <c r="B32" s="14">
        <v>2685</v>
      </c>
      <c r="C32" s="14">
        <v>2704</v>
      </c>
      <c r="D32" s="54">
        <f t="shared" ref="D32:D42" si="1">IF(C32&lt;&gt;0,(C32-B32)/B32,0)</f>
        <v>7.07635009310987E-3</v>
      </c>
    </row>
    <row r="33" spans="1:8" s="9" customFormat="1" x14ac:dyDescent="0.3">
      <c r="A33" s="19" t="s">
        <v>57</v>
      </c>
      <c r="B33" s="14">
        <v>11678</v>
      </c>
      <c r="C33" s="14">
        <v>14746</v>
      </c>
      <c r="D33" s="54">
        <f t="shared" si="1"/>
        <v>0.26271621853057031</v>
      </c>
    </row>
    <row r="34" spans="1:8" s="9" customFormat="1" x14ac:dyDescent="0.3">
      <c r="A34" s="19" t="s">
        <v>56</v>
      </c>
      <c r="B34" s="14">
        <f>478+5041</f>
        <v>5519</v>
      </c>
      <c r="C34" s="14">
        <f>13055+124</f>
        <v>13179</v>
      </c>
      <c r="D34" s="54">
        <f t="shared" si="1"/>
        <v>1.3879325964848706</v>
      </c>
    </row>
    <row r="35" spans="1:8" s="9" customFormat="1" x14ac:dyDescent="0.3">
      <c r="A35" s="35" t="s">
        <v>4</v>
      </c>
      <c r="B35" s="30">
        <f>SUM(B31:B34)</f>
        <v>251869</v>
      </c>
      <c r="C35" s="30">
        <f>SUM(C31:C34)</f>
        <v>299526</v>
      </c>
      <c r="D35" s="25">
        <f t="shared" si="1"/>
        <v>0.18921344032016643</v>
      </c>
    </row>
    <row r="36" spans="1:8" s="4" customFormat="1" x14ac:dyDescent="0.3">
      <c r="A36" s="19" t="s">
        <v>58</v>
      </c>
      <c r="B36" s="14">
        <v>-7188</v>
      </c>
      <c r="C36" s="14">
        <v>-8773</v>
      </c>
      <c r="D36" s="54">
        <f t="shared" si="1"/>
        <v>0.22050639955481358</v>
      </c>
      <c r="F36" s="5"/>
      <c r="G36" s="5"/>
      <c r="H36" s="5"/>
    </row>
    <row r="37" spans="1:8" s="9" customFormat="1" x14ac:dyDescent="0.3">
      <c r="A37" s="35" t="s">
        <v>42</v>
      </c>
      <c r="B37" s="30">
        <f>SUM(B35:B36)</f>
        <v>244681</v>
      </c>
      <c r="C37" s="30">
        <f>SUM(C35:C36)</f>
        <v>290753</v>
      </c>
      <c r="D37" s="25">
        <f t="shared" si="1"/>
        <v>0.18829414625573707</v>
      </c>
    </row>
    <row r="38" spans="1:8" s="4" customFormat="1" x14ac:dyDescent="0.3">
      <c r="A38" s="19" t="s">
        <v>10</v>
      </c>
      <c r="B38" s="14">
        <v>80</v>
      </c>
      <c r="C38" s="14">
        <v>960</v>
      </c>
      <c r="D38" s="54">
        <f t="shared" si="1"/>
        <v>11</v>
      </c>
      <c r="F38" s="5"/>
      <c r="G38" s="5"/>
      <c r="H38" s="5"/>
    </row>
    <row r="39" spans="1:8" s="9" customFormat="1" x14ac:dyDescent="0.3">
      <c r="A39" s="19" t="s">
        <v>13</v>
      </c>
      <c r="B39" s="14">
        <v>-279</v>
      </c>
      <c r="C39" s="14">
        <v>-633</v>
      </c>
      <c r="D39" s="54">
        <f t="shared" si="1"/>
        <v>1.2688172043010753</v>
      </c>
    </row>
    <row r="40" spans="1:8" s="9" customFormat="1" x14ac:dyDescent="0.3">
      <c r="A40" s="35" t="s">
        <v>43</v>
      </c>
      <c r="B40" s="30">
        <f>SUM(B37:B39)</f>
        <v>244482</v>
      </c>
      <c r="C40" s="30">
        <f>SUM(C37:C39)</f>
        <v>291080</v>
      </c>
      <c r="D40" s="25">
        <f t="shared" si="1"/>
        <v>0.19059889889644227</v>
      </c>
    </row>
    <row r="41" spans="1:8" s="4" customFormat="1" x14ac:dyDescent="0.3">
      <c r="A41" s="19" t="s">
        <v>15</v>
      </c>
      <c r="B41" s="14">
        <v>-190</v>
      </c>
      <c r="C41" s="14">
        <v>-74</v>
      </c>
      <c r="D41" s="54">
        <f t="shared" si="1"/>
        <v>-0.61052631578947369</v>
      </c>
      <c r="F41" s="5"/>
      <c r="G41" s="5"/>
      <c r="H41" s="5"/>
    </row>
    <row r="42" spans="1:8" s="4" customFormat="1" ht="15.75" thickBot="1" x14ac:dyDescent="0.35">
      <c r="A42" s="36" t="s">
        <v>17</v>
      </c>
      <c r="B42" s="37">
        <f>SUM(B40:B41)</f>
        <v>244292</v>
      </c>
      <c r="C42" s="37">
        <f>SUM(C40:C41)</f>
        <v>291006</v>
      </c>
      <c r="D42" s="28">
        <f t="shared" si="1"/>
        <v>0.19122198025313969</v>
      </c>
      <c r="F42" s="5"/>
      <c r="G42" s="5"/>
      <c r="H42" s="5"/>
    </row>
    <row r="44" spans="1:8" s="4" customFormat="1" x14ac:dyDescent="0.3">
      <c r="A44" s="19" t="s">
        <v>75</v>
      </c>
      <c r="B44" s="53">
        <f>+B42/(B24/1000000)</f>
        <v>561.43146389501248</v>
      </c>
      <c r="C44" s="53">
        <f>+C42/(C24/1000000)</f>
        <v>668.78950019743593</v>
      </c>
      <c r="D44" s="3"/>
      <c r="F44" s="5"/>
      <c r="G44" s="5"/>
      <c r="H44" s="5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19" zoomScale="86" zoomScaleNormal="86" workbookViewId="0">
      <selection activeCell="D36" activeCellId="1" sqref="B36:B55 D36:D55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5703125" style="3" bestFit="1" customWidth="1"/>
    <col min="6" max="6" width="9.28515625" style="4" bestFit="1" customWidth="1"/>
    <col min="7" max="7" width="8.28515625" style="5" customWidth="1"/>
    <col min="8" max="16384" width="11.42578125" style="5"/>
  </cols>
  <sheetData>
    <row r="1" spans="1:8" x14ac:dyDescent="0.3">
      <c r="A1" s="38" t="s">
        <v>40</v>
      </c>
      <c r="E1" s="21"/>
    </row>
    <row r="2" spans="1:8" x14ac:dyDescent="0.3">
      <c r="A2" s="38" t="s">
        <v>67</v>
      </c>
      <c r="E2" s="21"/>
    </row>
    <row r="3" spans="1:8" x14ac:dyDescent="0.3">
      <c r="A3" s="24" t="s">
        <v>44</v>
      </c>
      <c r="D3" s="17"/>
      <c r="E3" s="21"/>
    </row>
    <row r="4" spans="1:8" x14ac:dyDescent="0.3">
      <c r="A4" s="24" t="s">
        <v>45</v>
      </c>
      <c r="E4" s="21"/>
      <c r="G4" s="19"/>
      <c r="H4" s="19"/>
    </row>
    <row r="5" spans="1:8" x14ac:dyDescent="0.3">
      <c r="E5" s="21"/>
      <c r="G5" s="19"/>
      <c r="H5" s="19"/>
    </row>
    <row r="6" spans="1:8" x14ac:dyDescent="0.3">
      <c r="A6" s="6" t="s">
        <v>20</v>
      </c>
      <c r="B6" s="6">
        <v>2007</v>
      </c>
      <c r="C6" s="6">
        <v>2008</v>
      </c>
      <c r="D6" s="6" t="s">
        <v>46</v>
      </c>
      <c r="E6" s="20"/>
      <c r="G6" s="19"/>
      <c r="H6" s="19"/>
    </row>
    <row r="7" spans="1:8" x14ac:dyDescent="0.3">
      <c r="A7" s="18" t="s">
        <v>21</v>
      </c>
      <c r="B7" s="14">
        <f>134295+6771</f>
        <v>141066</v>
      </c>
      <c r="C7" s="14">
        <v>200123</v>
      </c>
      <c r="D7" s="17">
        <f t="shared" ref="D7:D16" si="0">+(C7-B7)/B7</f>
        <v>0.41864800873350061</v>
      </c>
      <c r="E7" s="21"/>
      <c r="G7" s="19"/>
      <c r="H7" s="19"/>
    </row>
    <row r="8" spans="1:8" x14ac:dyDescent="0.3">
      <c r="A8" s="18" t="s">
        <v>22</v>
      </c>
      <c r="B8" s="14">
        <v>322254</v>
      </c>
      <c r="C8" s="14">
        <v>299414</v>
      </c>
      <c r="D8" s="17">
        <f t="shared" si="0"/>
        <v>-7.0875768803490419E-2</v>
      </c>
      <c r="E8" s="21"/>
      <c r="G8" s="19"/>
      <c r="H8" s="19"/>
    </row>
    <row r="9" spans="1:8" x14ac:dyDescent="0.3">
      <c r="A9" s="18" t="s">
        <v>23</v>
      </c>
      <c r="B9" s="14">
        <f>8613+418070</f>
        <v>426683</v>
      </c>
      <c r="C9" s="14">
        <f>645639+10992</f>
        <v>656631</v>
      </c>
      <c r="D9" s="17">
        <f t="shared" si="0"/>
        <v>0.53891999446896177</v>
      </c>
      <c r="E9" s="21"/>
      <c r="G9" s="19"/>
      <c r="H9" s="19"/>
    </row>
    <row r="10" spans="1:8" x14ac:dyDescent="0.3">
      <c r="A10" s="18" t="s">
        <v>36</v>
      </c>
      <c r="B10" s="14">
        <v>434839</v>
      </c>
      <c r="C10" s="14">
        <v>528465</v>
      </c>
      <c r="D10" s="17">
        <f t="shared" si="0"/>
        <v>0.21531187404993574</v>
      </c>
      <c r="E10" s="21"/>
      <c r="G10" s="19"/>
      <c r="H10" s="19"/>
    </row>
    <row r="11" spans="1:8" x14ac:dyDescent="0.3">
      <c r="A11" s="18" t="s">
        <v>60</v>
      </c>
      <c r="B11" s="14">
        <v>653908</v>
      </c>
      <c r="C11" s="14">
        <v>767527</v>
      </c>
      <c r="D11" s="17">
        <f t="shared" si="0"/>
        <v>0.17375380022877837</v>
      </c>
      <c r="E11" s="21"/>
      <c r="G11" s="19"/>
      <c r="H11" s="19"/>
    </row>
    <row r="12" spans="1:8" x14ac:dyDescent="0.3">
      <c r="A12" s="18" t="s">
        <v>47</v>
      </c>
      <c r="B12" s="14">
        <v>564218</v>
      </c>
      <c r="C12" s="14">
        <v>543336</v>
      </c>
      <c r="D12" s="17">
        <f t="shared" si="0"/>
        <v>-3.7010517211432462E-2</v>
      </c>
      <c r="E12" s="21"/>
      <c r="G12" s="19"/>
      <c r="H12" s="19"/>
    </row>
    <row r="13" spans="1:8" x14ac:dyDescent="0.3">
      <c r="A13" s="18" t="s">
        <v>24</v>
      </c>
      <c r="B13" s="14">
        <f>6101+51159</f>
        <v>57260</v>
      </c>
      <c r="C13" s="14">
        <f>7344+20831</f>
        <v>28175</v>
      </c>
      <c r="D13" s="17">
        <f t="shared" si="0"/>
        <v>-0.50794621026894871</v>
      </c>
      <c r="E13" s="21"/>
      <c r="G13" s="19"/>
      <c r="H13" s="19"/>
    </row>
    <row r="14" spans="1:8" x14ac:dyDescent="0.3">
      <c r="A14" s="18" t="s">
        <v>25</v>
      </c>
      <c r="B14" s="14">
        <f>94+11979</f>
        <v>12073</v>
      </c>
      <c r="C14" s="14">
        <f>10167+33928</f>
        <v>44095</v>
      </c>
      <c r="D14" s="17">
        <f t="shared" si="0"/>
        <v>2.652364780916094</v>
      </c>
      <c r="E14" s="21"/>
      <c r="G14" s="19"/>
      <c r="H14" s="19"/>
    </row>
    <row r="15" spans="1:8" x14ac:dyDescent="0.3">
      <c r="A15" s="18" t="s">
        <v>26</v>
      </c>
      <c r="B15" s="14">
        <v>2736001</v>
      </c>
      <c r="C15" s="14">
        <v>2268787</v>
      </c>
      <c r="D15" s="17">
        <f t="shared" si="0"/>
        <v>-0.17076528846297936</v>
      </c>
      <c r="E15" s="21"/>
      <c r="G15" s="19"/>
      <c r="H15" s="19"/>
    </row>
    <row r="16" spans="1:8" ht="15.75" thickBot="1" x14ac:dyDescent="0.35">
      <c r="A16" s="26" t="s">
        <v>27</v>
      </c>
      <c r="B16" s="27">
        <f>SUM(B7:B15)</f>
        <v>5348302</v>
      </c>
      <c r="C16" s="27">
        <f>SUM(C7:C15)</f>
        <v>5336553</v>
      </c>
      <c r="D16" s="45">
        <f t="shared" si="0"/>
        <v>-2.1967719848280821E-3</v>
      </c>
      <c r="E16" s="22"/>
      <c r="G16" s="19"/>
      <c r="H16" s="19"/>
    </row>
    <row r="17" spans="1:8" x14ac:dyDescent="0.3">
      <c r="A17" s="1"/>
      <c r="E17" s="21"/>
      <c r="G17" s="19"/>
      <c r="H17" s="19"/>
    </row>
    <row r="18" spans="1:8" x14ac:dyDescent="0.3">
      <c r="A18" s="6" t="s">
        <v>48</v>
      </c>
      <c r="B18" s="6">
        <v>2007</v>
      </c>
      <c r="C18" s="6">
        <v>2008</v>
      </c>
      <c r="D18" s="6" t="s">
        <v>46</v>
      </c>
      <c r="E18" s="20"/>
      <c r="G18" s="19"/>
      <c r="H18" s="19"/>
    </row>
    <row r="19" spans="1:8" x14ac:dyDescent="0.3">
      <c r="A19" s="18" t="s">
        <v>28</v>
      </c>
      <c r="B19" s="14">
        <v>718503</v>
      </c>
      <c r="C19" s="14">
        <f>535026+349791</f>
        <v>884817</v>
      </c>
      <c r="D19" s="17">
        <f t="shared" ref="D19:D30" si="1">+(C19-B19)/B19</f>
        <v>0.23147293748251574</v>
      </c>
      <c r="E19" s="21"/>
      <c r="G19" s="19"/>
      <c r="H19" s="19"/>
    </row>
    <row r="20" spans="1:8" x14ac:dyDescent="0.3">
      <c r="A20" s="18" t="s">
        <v>49</v>
      </c>
      <c r="B20" s="14">
        <v>146091</v>
      </c>
      <c r="C20" s="14">
        <v>163812</v>
      </c>
      <c r="D20" s="17">
        <f t="shared" si="1"/>
        <v>0.12130110684436413</v>
      </c>
      <c r="E20" s="21"/>
    </row>
    <row r="21" spans="1:8" x14ac:dyDescent="0.3">
      <c r="A21" s="18" t="s">
        <v>38</v>
      </c>
      <c r="B21" s="14">
        <v>140644</v>
      </c>
      <c r="C21" s="14">
        <f>160+172987</f>
        <v>173147</v>
      </c>
      <c r="D21" s="17">
        <f t="shared" si="1"/>
        <v>0.23110122010181736</v>
      </c>
      <c r="E21" s="21"/>
    </row>
    <row r="22" spans="1:8" x14ac:dyDescent="0.3">
      <c r="A22" s="18" t="s">
        <v>30</v>
      </c>
      <c r="B22" s="14">
        <v>55981</v>
      </c>
      <c r="C22" s="14">
        <v>61484</v>
      </c>
      <c r="D22" s="17">
        <f t="shared" si="1"/>
        <v>9.8301209338882839E-2</v>
      </c>
      <c r="E22" s="21"/>
    </row>
    <row r="23" spans="1:8" x14ac:dyDescent="0.3">
      <c r="A23" s="18" t="s">
        <v>31</v>
      </c>
      <c r="B23" s="14">
        <v>58521</v>
      </c>
      <c r="C23" s="14">
        <f>72945+2417</f>
        <v>75362</v>
      </c>
      <c r="D23" s="17">
        <f t="shared" si="1"/>
        <v>0.28777703730284854</v>
      </c>
      <c r="E23" s="21"/>
    </row>
    <row r="24" spans="1:8" x14ac:dyDescent="0.3">
      <c r="A24" s="18" t="s">
        <v>32</v>
      </c>
      <c r="B24" s="14">
        <v>57731</v>
      </c>
      <c r="C24" s="14">
        <f>41238+22590</f>
        <v>63828</v>
      </c>
      <c r="D24" s="17">
        <f t="shared" si="1"/>
        <v>0.1056105038887253</v>
      </c>
      <c r="E24" s="21"/>
    </row>
    <row r="25" spans="1:8" x14ac:dyDescent="0.3">
      <c r="A25" s="18" t="s">
        <v>24</v>
      </c>
      <c r="B25" s="14">
        <v>36889</v>
      </c>
      <c r="C25" s="14">
        <v>44153</v>
      </c>
      <c r="D25" s="17">
        <f t="shared" si="1"/>
        <v>0.19691506953292309</v>
      </c>
      <c r="E25" s="21"/>
    </row>
    <row r="26" spans="1:8" x14ac:dyDescent="0.3">
      <c r="A26" s="18" t="s">
        <v>0</v>
      </c>
      <c r="B26" s="14">
        <v>1583</v>
      </c>
      <c r="C26" s="14">
        <v>2766</v>
      </c>
      <c r="D26" s="17">
        <f t="shared" si="1"/>
        <v>0.74731522425773844</v>
      </c>
      <c r="E26" s="21"/>
    </row>
    <row r="27" spans="1:8" x14ac:dyDescent="0.3">
      <c r="A27" s="18" t="s">
        <v>33</v>
      </c>
      <c r="B27" s="14">
        <f>SUM(B19:B26)</f>
        <v>1215943</v>
      </c>
      <c r="C27" s="14">
        <f>SUM(C19:C26)</f>
        <v>1469369</v>
      </c>
      <c r="D27" s="17">
        <f t="shared" si="1"/>
        <v>0.20841930912879963</v>
      </c>
      <c r="E27" s="21"/>
    </row>
    <row r="28" spans="1:8" x14ac:dyDescent="0.3">
      <c r="A28" s="18" t="s">
        <v>39</v>
      </c>
      <c r="B28" s="14">
        <v>2964</v>
      </c>
      <c r="C28" s="14">
        <v>2751</v>
      </c>
      <c r="D28" s="17">
        <f t="shared" si="1"/>
        <v>-7.186234817813765E-2</v>
      </c>
      <c r="E28" s="21"/>
    </row>
    <row r="29" spans="1:8" ht="15.75" thickBot="1" x14ac:dyDescent="0.35">
      <c r="A29" s="26" t="s">
        <v>34</v>
      </c>
      <c r="B29" s="27">
        <v>4129395</v>
      </c>
      <c r="C29" s="27">
        <v>3864433</v>
      </c>
      <c r="D29" s="45">
        <f t="shared" si="1"/>
        <v>-6.416484739289896E-2</v>
      </c>
      <c r="E29" s="22"/>
    </row>
    <row r="30" spans="1:8" ht="15.75" thickBot="1" x14ac:dyDescent="0.35">
      <c r="A30" s="26" t="s">
        <v>35</v>
      </c>
      <c r="B30" s="27">
        <f>+B27+B28+B29</f>
        <v>5348302</v>
      </c>
      <c r="C30" s="27">
        <f>+C27+C28+C29</f>
        <v>5336553</v>
      </c>
      <c r="D30" s="45">
        <f t="shared" si="1"/>
        <v>-2.1967719848280821E-3</v>
      </c>
      <c r="E30" s="22"/>
    </row>
    <row r="31" spans="1:8" x14ac:dyDescent="0.3">
      <c r="A31" s="19"/>
      <c r="B31" s="14"/>
      <c r="C31" s="14"/>
      <c r="D31" s="17"/>
    </row>
    <row r="32" spans="1:8" x14ac:dyDescent="0.3">
      <c r="A32" s="41" t="s">
        <v>3</v>
      </c>
      <c r="B32" s="14"/>
      <c r="C32" s="14"/>
      <c r="D32" s="17"/>
    </row>
    <row r="33" spans="1:8" x14ac:dyDescent="0.3">
      <c r="A33" s="41" t="s">
        <v>68</v>
      </c>
      <c r="B33" s="14"/>
      <c r="C33" s="14"/>
      <c r="D33" s="17"/>
    </row>
    <row r="34" spans="1:8" x14ac:dyDescent="0.3">
      <c r="A34" s="41" t="s">
        <v>44</v>
      </c>
      <c r="B34" s="14"/>
      <c r="C34" s="14"/>
      <c r="D34" s="17"/>
    </row>
    <row r="35" spans="1:8" x14ac:dyDescent="0.3">
      <c r="A35" s="41" t="s">
        <v>45</v>
      </c>
      <c r="B35" s="14"/>
      <c r="C35" s="14"/>
      <c r="D35" s="17"/>
    </row>
    <row r="36" spans="1:8" x14ac:dyDescent="0.3">
      <c r="A36" s="6"/>
      <c r="B36" s="6">
        <v>2007</v>
      </c>
      <c r="C36" s="6" t="s">
        <v>55</v>
      </c>
      <c r="D36" s="6">
        <v>2008</v>
      </c>
      <c r="E36" s="6" t="s">
        <v>55</v>
      </c>
      <c r="F36" s="6" t="s">
        <v>46</v>
      </c>
    </row>
    <row r="37" spans="1:8" s="9" customFormat="1" x14ac:dyDescent="0.3">
      <c r="A37" s="30" t="s">
        <v>4</v>
      </c>
      <c r="B37" s="50">
        <v>3449517</v>
      </c>
      <c r="C37" s="42">
        <f t="shared" ref="C37:C55" si="2">+B37/$B$37</f>
        <v>1</v>
      </c>
      <c r="D37" s="50">
        <v>4009727</v>
      </c>
      <c r="E37" s="42">
        <f>+D37/$D$37</f>
        <v>1</v>
      </c>
      <c r="F37" s="42">
        <f t="shared" ref="F37:F55" si="3">+(D37-B37)/B37</f>
        <v>0.16240244648743576</v>
      </c>
    </row>
    <row r="38" spans="1:8" x14ac:dyDescent="0.3">
      <c r="A38" s="14" t="s">
        <v>50</v>
      </c>
      <c r="B38" s="51">
        <v>-2035308</v>
      </c>
      <c r="C38" s="17">
        <f t="shared" si="2"/>
        <v>-0.59002695159931084</v>
      </c>
      <c r="D38" s="51">
        <v>-2384094</v>
      </c>
      <c r="E38" s="17">
        <f>+D38/$D$37</f>
        <v>-0.59457763583406054</v>
      </c>
      <c r="F38" s="17">
        <f t="shared" si="3"/>
        <v>0.17136767506441286</v>
      </c>
    </row>
    <row r="39" spans="1:8" s="9" customFormat="1" x14ac:dyDescent="0.3">
      <c r="A39" s="30" t="s">
        <v>6</v>
      </c>
      <c r="B39" s="30">
        <f>SUM(B37:B38)</f>
        <v>1414209</v>
      </c>
      <c r="C39" s="42">
        <f t="shared" si="2"/>
        <v>0.40997304840068916</v>
      </c>
      <c r="D39" s="30">
        <f>SUM(D37:D38)</f>
        <v>1625633</v>
      </c>
      <c r="E39" s="42">
        <f t="shared" ref="E39:E55" si="4">+D39/$D$37</f>
        <v>0.40542236416593946</v>
      </c>
      <c r="F39" s="42">
        <f t="shared" si="3"/>
        <v>0.14949982640472517</v>
      </c>
    </row>
    <row r="40" spans="1:8" x14ac:dyDescent="0.3">
      <c r="A40" s="14" t="s">
        <v>7</v>
      </c>
      <c r="B40" s="14">
        <v>-165507</v>
      </c>
      <c r="C40" s="17">
        <f t="shared" si="2"/>
        <v>-4.7979760644751138E-2</v>
      </c>
      <c r="D40" s="14">
        <v>-183777</v>
      </c>
      <c r="E40" s="17">
        <f t="shared" si="4"/>
        <v>-4.583279609808847E-2</v>
      </c>
      <c r="F40" s="17">
        <f t="shared" si="3"/>
        <v>0.11038808026246624</v>
      </c>
    </row>
    <row r="41" spans="1:8" x14ac:dyDescent="0.3">
      <c r="A41" s="14" t="s">
        <v>8</v>
      </c>
      <c r="B41" s="14">
        <v>-815817</v>
      </c>
      <c r="C41" s="17">
        <f t="shared" si="2"/>
        <v>-0.23650180590500061</v>
      </c>
      <c r="D41" s="14">
        <v>-975970</v>
      </c>
      <c r="E41" s="17">
        <f t="shared" si="4"/>
        <v>-0.24340061056525794</v>
      </c>
      <c r="F41" s="17">
        <f t="shared" si="3"/>
        <v>0.1963099567672652</v>
      </c>
    </row>
    <row r="42" spans="1:8" s="9" customFormat="1" x14ac:dyDescent="0.3">
      <c r="A42" s="30" t="s">
        <v>9</v>
      </c>
      <c r="B42" s="30">
        <f>SUM(B40:B41)</f>
        <v>-981324</v>
      </c>
      <c r="C42" s="42">
        <f t="shared" si="2"/>
        <v>-0.28448156654975176</v>
      </c>
      <c r="D42" s="30">
        <f>SUM(D40:D41)</f>
        <v>-1159747</v>
      </c>
      <c r="E42" s="42">
        <f t="shared" si="4"/>
        <v>-0.2892334066633464</v>
      </c>
      <c r="F42" s="42">
        <f t="shared" si="3"/>
        <v>0.18181864501428682</v>
      </c>
    </row>
    <row r="43" spans="1:8" s="9" customFormat="1" x14ac:dyDescent="0.3">
      <c r="A43" s="30" t="s">
        <v>1</v>
      </c>
      <c r="B43" s="30">
        <f>+B39+B42</f>
        <v>432885</v>
      </c>
      <c r="C43" s="42">
        <f t="shared" si="2"/>
        <v>0.12549148185093739</v>
      </c>
      <c r="D43" s="30">
        <f>+D39+D42</f>
        <v>465886</v>
      </c>
      <c r="E43" s="42">
        <f t="shared" si="4"/>
        <v>0.11618895750259307</v>
      </c>
      <c r="F43" s="42">
        <f t="shared" si="3"/>
        <v>7.6235027778740305E-2</v>
      </c>
    </row>
    <row r="44" spans="1:8" x14ac:dyDescent="0.3">
      <c r="A44" s="14" t="s">
        <v>51</v>
      </c>
      <c r="B44" s="14">
        <v>11386</v>
      </c>
      <c r="C44" s="17">
        <f t="shared" si="2"/>
        <v>3.3007519603469124E-3</v>
      </c>
      <c r="D44" s="14">
        <f>124919-27907-45965-1642-37825</f>
        <v>11580</v>
      </c>
      <c r="E44" s="17">
        <f t="shared" si="4"/>
        <v>2.8879771615374313E-3</v>
      </c>
      <c r="F44" s="17">
        <f t="shared" si="3"/>
        <v>1.7038468294396626E-2</v>
      </c>
      <c r="H44" s="9"/>
    </row>
    <row r="45" spans="1:8" x14ac:dyDescent="0.3">
      <c r="A45" s="14" t="s">
        <v>11</v>
      </c>
      <c r="B45" s="14">
        <v>-84176</v>
      </c>
      <c r="C45" s="17">
        <f t="shared" si="2"/>
        <v>-2.4402256895675538E-2</v>
      </c>
      <c r="D45" s="14">
        <f>-202076+66698+12887+33753</f>
        <v>-88738</v>
      </c>
      <c r="E45" s="17">
        <f t="shared" si="4"/>
        <v>-2.213068370988848E-2</v>
      </c>
      <c r="F45" s="17">
        <f t="shared" si="3"/>
        <v>5.4195970347842619E-2</v>
      </c>
      <c r="H45" s="9"/>
    </row>
    <row r="46" spans="1:8" x14ac:dyDescent="0.3">
      <c r="A46" s="14" t="s">
        <v>12</v>
      </c>
      <c r="B46" s="14">
        <v>-17533</v>
      </c>
      <c r="C46" s="17">
        <f t="shared" si="2"/>
        <v>-5.0827405691869325E-3</v>
      </c>
      <c r="D46" s="14">
        <f>45965-66698+1642+37825-12887-33753</f>
        <v>-27906</v>
      </c>
      <c r="E46" s="17">
        <f t="shared" si="4"/>
        <v>-6.9595760509381316E-3</v>
      </c>
      <c r="F46" s="17">
        <f t="shared" si="3"/>
        <v>0.59162721724747613</v>
      </c>
      <c r="H46" s="9"/>
    </row>
    <row r="47" spans="1:8" x14ac:dyDescent="0.3">
      <c r="A47" s="14" t="s">
        <v>52</v>
      </c>
      <c r="B47" s="14">
        <v>-27554</v>
      </c>
      <c r="C47" s="17">
        <f t="shared" si="2"/>
        <v>-7.9877849565605855E-3</v>
      </c>
      <c r="D47" s="14">
        <f>-16167-80511</f>
        <v>-96678</v>
      </c>
      <c r="E47" s="17">
        <f t="shared" si="4"/>
        <v>-2.4110868395778567E-2</v>
      </c>
      <c r="F47" s="17">
        <f t="shared" si="3"/>
        <v>2.5086738767511068</v>
      </c>
      <c r="H47" s="9"/>
    </row>
    <row r="48" spans="1:8" x14ac:dyDescent="0.3">
      <c r="A48" s="14" t="s">
        <v>14</v>
      </c>
      <c r="B48" s="14">
        <v>25763</v>
      </c>
      <c r="C48" s="17">
        <f t="shared" si="2"/>
        <v>7.4685818333407256E-3</v>
      </c>
      <c r="D48" s="14">
        <v>27907</v>
      </c>
      <c r="E48" s="17">
        <f t="shared" si="4"/>
        <v>6.9598254444753968E-3</v>
      </c>
      <c r="F48" s="17">
        <f t="shared" si="3"/>
        <v>8.3220121880215811E-2</v>
      </c>
    </row>
    <row r="49" spans="1:6" x14ac:dyDescent="0.3">
      <c r="A49" s="14" t="s">
        <v>16</v>
      </c>
      <c r="B49" s="14">
        <v>6759</v>
      </c>
      <c r="C49" s="17">
        <f t="shared" si="2"/>
        <v>1.9594047514478112E-3</v>
      </c>
      <c r="D49" s="14">
        <v>80511</v>
      </c>
      <c r="E49" s="17">
        <f t="shared" si="4"/>
        <v>2.0078923078803119E-2</v>
      </c>
      <c r="F49" s="17">
        <f t="shared" si="3"/>
        <v>10.911673324456281</v>
      </c>
    </row>
    <row r="50" spans="1:6" s="9" customFormat="1" x14ac:dyDescent="0.3">
      <c r="A50" s="30" t="s">
        <v>2</v>
      </c>
      <c r="B50" s="30">
        <f>SUM(B44:B49)</f>
        <v>-85355</v>
      </c>
      <c r="C50" s="42">
        <f t="shared" si="2"/>
        <v>-2.4744043876287609E-2</v>
      </c>
      <c r="D50" s="30">
        <f>SUM(D44:D49)</f>
        <v>-93324</v>
      </c>
      <c r="E50" s="42">
        <f t="shared" si="4"/>
        <v>-2.3274402471789225E-2</v>
      </c>
      <c r="F50" s="42">
        <f t="shared" si="3"/>
        <v>9.3363013297404956E-2</v>
      </c>
    </row>
    <row r="51" spans="1:6" s="9" customFormat="1" x14ac:dyDescent="0.3">
      <c r="A51" s="30" t="s">
        <v>41</v>
      </c>
      <c r="B51" s="30">
        <f>+B43+B50</f>
        <v>347530</v>
      </c>
      <c r="C51" s="42">
        <f t="shared" si="2"/>
        <v>0.10074743797464979</v>
      </c>
      <c r="D51" s="30">
        <f>+D43+D50</f>
        <v>372562</v>
      </c>
      <c r="E51" s="42">
        <f t="shared" si="4"/>
        <v>9.2914555030803841E-2</v>
      </c>
      <c r="F51" s="42">
        <f t="shared" si="3"/>
        <v>7.2028314102379656E-2</v>
      </c>
    </row>
    <row r="52" spans="1:6" x14ac:dyDescent="0.3">
      <c r="A52" s="14" t="s">
        <v>15</v>
      </c>
      <c r="B52" s="14">
        <v>-99987</v>
      </c>
      <c r="C52" s="17">
        <f t="shared" si="2"/>
        <v>-2.8985797142034666E-2</v>
      </c>
      <c r="D52" s="14">
        <f>-74583+1351</f>
        <v>-73232</v>
      </c>
      <c r="E52" s="17">
        <f t="shared" si="4"/>
        <v>-1.8263587521045697E-2</v>
      </c>
      <c r="F52" s="17">
        <f t="shared" si="3"/>
        <v>-0.26758478602218289</v>
      </c>
    </row>
    <row r="53" spans="1:6" x14ac:dyDescent="0.3">
      <c r="A53" s="14" t="s">
        <v>18</v>
      </c>
      <c r="B53" s="14">
        <v>-230</v>
      </c>
      <c r="C53" s="17">
        <f t="shared" si="2"/>
        <v>-6.6676001306849631E-5</v>
      </c>
      <c r="D53" s="14">
        <v>-279</v>
      </c>
      <c r="E53" s="17">
        <f t="shared" si="4"/>
        <v>-6.9580796897145367E-5</v>
      </c>
      <c r="F53" s="17">
        <f t="shared" si="3"/>
        <v>0.21304347826086956</v>
      </c>
    </row>
    <row r="54" spans="1:6" s="9" customFormat="1" x14ac:dyDescent="0.3">
      <c r="A54" s="43" t="s">
        <v>17</v>
      </c>
      <c r="B54" s="43">
        <f>+B51+B52+B53</f>
        <v>247313</v>
      </c>
      <c r="C54" s="44">
        <f t="shared" si="2"/>
        <v>7.1694964831308272E-2</v>
      </c>
      <c r="D54" s="43">
        <f>+D51+D52+D53</f>
        <v>299051</v>
      </c>
      <c r="E54" s="44">
        <f t="shared" si="4"/>
        <v>7.4581386712861006E-2</v>
      </c>
      <c r="F54" s="44">
        <f t="shared" si="3"/>
        <v>0.20920048683247544</v>
      </c>
    </row>
    <row r="55" spans="1:6" s="9" customFormat="1" ht="15.75" thickBot="1" x14ac:dyDescent="0.35">
      <c r="A55" s="27" t="s">
        <v>19</v>
      </c>
      <c r="B55" s="27">
        <v>528754</v>
      </c>
      <c r="C55" s="45">
        <f t="shared" si="2"/>
        <v>0.15328348867392161</v>
      </c>
      <c r="D55" s="27">
        <v>569823</v>
      </c>
      <c r="E55" s="45">
        <f t="shared" si="4"/>
        <v>0.14211017358538375</v>
      </c>
      <c r="F55" s="45">
        <f t="shared" si="3"/>
        <v>7.7671280028141637E-2</v>
      </c>
    </row>
    <row r="56" spans="1:6" x14ac:dyDescent="0.3">
      <c r="A56" s="2"/>
      <c r="C56" s="3"/>
      <c r="D56" s="10"/>
    </row>
    <row r="57" spans="1:6" x14ac:dyDescent="0.3">
      <c r="A57" s="19"/>
      <c r="B57" s="14"/>
      <c r="C57" s="17"/>
      <c r="D57" s="10"/>
    </row>
    <row r="58" spans="1:6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6" zoomScaleNormal="86" workbookViewId="0">
      <selection activeCell="L25" sqref="L25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11.5703125" style="11" bestFit="1" customWidth="1"/>
    <col min="8" max="8" width="11.5703125" style="5" bestFit="1" customWidth="1"/>
    <col min="9" max="16384" width="11.42578125" style="5"/>
  </cols>
  <sheetData>
    <row r="1" spans="1:6" x14ac:dyDescent="0.3">
      <c r="A1" s="24" t="s">
        <v>69</v>
      </c>
    </row>
    <row r="2" spans="1:6" x14ac:dyDescent="0.3">
      <c r="A2" s="24" t="s">
        <v>76</v>
      </c>
    </row>
    <row r="3" spans="1:6" x14ac:dyDescent="0.3">
      <c r="A3" s="24" t="s">
        <v>44</v>
      </c>
    </row>
    <row r="4" spans="1:6" x14ac:dyDescent="0.3">
      <c r="A4" s="24" t="s">
        <v>45</v>
      </c>
    </row>
    <row r="5" spans="1:6" ht="12" customHeight="1" x14ac:dyDescent="0.3"/>
    <row r="6" spans="1:6" x14ac:dyDescent="0.3">
      <c r="A6" s="6" t="s">
        <v>20</v>
      </c>
      <c r="B6" s="6">
        <v>2008</v>
      </c>
      <c r="C6" s="6">
        <v>2009</v>
      </c>
      <c r="D6" s="7" t="s">
        <v>46</v>
      </c>
    </row>
    <row r="7" spans="1:6" x14ac:dyDescent="0.3">
      <c r="A7" s="18" t="s">
        <v>21</v>
      </c>
      <c r="B7" s="14">
        <f>2202+187</f>
        <v>2389</v>
      </c>
      <c r="C7" s="14">
        <v>526</v>
      </c>
      <c r="D7" s="17">
        <f t="shared" ref="D7:D12" si="0">IF(B7&lt;&gt;0,(C7-B7)/B7,0)</f>
        <v>-0.77982419422352445</v>
      </c>
    </row>
    <row r="8" spans="1:6" x14ac:dyDescent="0.3">
      <c r="A8" s="18" t="s">
        <v>22</v>
      </c>
      <c r="B8" s="14">
        <v>2740396</v>
      </c>
      <c r="C8" s="14">
        <v>3179065</v>
      </c>
      <c r="D8" s="17">
        <f t="shared" si="0"/>
        <v>0.16007504024965735</v>
      </c>
      <c r="F8" s="2"/>
    </row>
    <row r="9" spans="1:6" x14ac:dyDescent="0.3">
      <c r="A9" s="18" t="s">
        <v>23</v>
      </c>
      <c r="B9" s="14">
        <v>31300</v>
      </c>
      <c r="C9" s="14">
        <v>22582</v>
      </c>
      <c r="D9" s="17">
        <f t="shared" si="0"/>
        <v>-0.27853035143769966</v>
      </c>
    </row>
    <row r="10" spans="1:6" x14ac:dyDescent="0.3">
      <c r="A10" s="18" t="s">
        <v>59</v>
      </c>
      <c r="B10" s="14">
        <v>209</v>
      </c>
      <c r="C10" s="14">
        <f>155+54</f>
        <v>209</v>
      </c>
      <c r="D10" s="17">
        <f t="shared" si="0"/>
        <v>0</v>
      </c>
    </row>
    <row r="11" spans="1:6" x14ac:dyDescent="0.3">
      <c r="A11" s="18" t="s">
        <v>26</v>
      </c>
      <c r="B11" s="14">
        <v>881044</v>
      </c>
      <c r="C11" s="14">
        <v>932765</v>
      </c>
      <c r="D11" s="17">
        <f t="shared" si="0"/>
        <v>5.8704219085539432E-2</v>
      </c>
    </row>
    <row r="12" spans="1:6" ht="15.75" thickBot="1" x14ac:dyDescent="0.35">
      <c r="A12" s="26" t="s">
        <v>27</v>
      </c>
      <c r="B12" s="27">
        <f>SUM(B7:B11)</f>
        <v>3655338</v>
      </c>
      <c r="C12" s="27">
        <f>SUM(C7:C11)</f>
        <v>4135147</v>
      </c>
      <c r="D12" s="46">
        <f t="shared" si="0"/>
        <v>0.1312625535586586</v>
      </c>
    </row>
    <row r="14" spans="1:6" x14ac:dyDescent="0.3">
      <c r="A14" s="6" t="s">
        <v>48</v>
      </c>
      <c r="B14" s="6">
        <v>2008</v>
      </c>
      <c r="C14" s="6">
        <v>2009</v>
      </c>
      <c r="D14" s="7" t="s">
        <v>46</v>
      </c>
    </row>
    <row r="15" spans="1:6" x14ac:dyDescent="0.3">
      <c r="A15" s="18" t="s">
        <v>28</v>
      </c>
      <c r="B15" s="14">
        <v>7163</v>
      </c>
      <c r="C15" s="14">
        <v>7123</v>
      </c>
      <c r="D15" s="17">
        <f t="shared" ref="D15:D23" si="1">IF(B15&lt;&gt;0,(C15-B15)/B15,0)</f>
        <v>-5.5842524082088509E-3</v>
      </c>
    </row>
    <row r="16" spans="1:6" x14ac:dyDescent="0.3">
      <c r="A16" s="18" t="s">
        <v>29</v>
      </c>
      <c r="B16" s="14">
        <v>158269</v>
      </c>
      <c r="C16" s="14">
        <v>176740</v>
      </c>
      <c r="D16" s="17">
        <f t="shared" si="1"/>
        <v>0.11670636700806854</v>
      </c>
    </row>
    <row r="17" spans="1:8" x14ac:dyDescent="0.3">
      <c r="A17" s="18" t="s">
        <v>30</v>
      </c>
      <c r="B17" s="14">
        <v>575</v>
      </c>
      <c r="C17" s="14">
        <v>2026</v>
      </c>
      <c r="D17" s="17">
        <f t="shared" si="1"/>
        <v>2.5234782608695654</v>
      </c>
    </row>
    <row r="18" spans="1:8" x14ac:dyDescent="0.3">
      <c r="A18" s="18" t="s">
        <v>31</v>
      </c>
      <c r="B18" s="14">
        <v>690</v>
      </c>
      <c r="C18" s="14">
        <v>991</v>
      </c>
      <c r="D18" s="17">
        <f t="shared" si="1"/>
        <v>0.43623188405797103</v>
      </c>
    </row>
    <row r="19" spans="1:8" x14ac:dyDescent="0.3">
      <c r="A19" s="18" t="s">
        <v>32</v>
      </c>
      <c r="B19" s="14">
        <v>388</v>
      </c>
      <c r="C19" s="14">
        <v>305</v>
      </c>
      <c r="D19" s="17">
        <f t="shared" si="1"/>
        <v>-0.21391752577319587</v>
      </c>
    </row>
    <row r="20" spans="1:8" x14ac:dyDescent="0.3">
      <c r="A20" s="18" t="s">
        <v>24</v>
      </c>
      <c r="B20" s="14">
        <v>12048</v>
      </c>
      <c r="C20" s="14">
        <v>13225</v>
      </c>
      <c r="D20" s="17">
        <f t="shared" si="1"/>
        <v>9.7692563081009293E-2</v>
      </c>
    </row>
    <row r="21" spans="1:8" s="9" customFormat="1" x14ac:dyDescent="0.3">
      <c r="A21" s="29" t="s">
        <v>33</v>
      </c>
      <c r="B21" s="30">
        <f>SUM(B15:B20)</f>
        <v>179133</v>
      </c>
      <c r="C21" s="30">
        <f>SUM(C15:C20)</f>
        <v>200410</v>
      </c>
      <c r="D21" s="42">
        <f t="shared" si="1"/>
        <v>0.11877766798970597</v>
      </c>
      <c r="G21" s="12"/>
    </row>
    <row r="22" spans="1:8" s="9" customFormat="1" x14ac:dyDescent="0.3">
      <c r="A22" s="31" t="s">
        <v>34</v>
      </c>
      <c r="B22" s="32">
        <v>3476205</v>
      </c>
      <c r="C22" s="32">
        <v>3934737</v>
      </c>
      <c r="D22" s="47">
        <f t="shared" si="1"/>
        <v>0.13190591463967172</v>
      </c>
      <c r="G22" s="12"/>
      <c r="H22" s="12"/>
    </row>
    <row r="23" spans="1:8" s="9" customFormat="1" ht="15.75" thickBot="1" x14ac:dyDescent="0.35">
      <c r="A23" s="26" t="s">
        <v>35</v>
      </c>
      <c r="B23" s="27">
        <f>+B21+B22</f>
        <v>3655338</v>
      </c>
      <c r="C23" s="27">
        <f>+C21+C22</f>
        <v>4135147</v>
      </c>
      <c r="D23" s="45">
        <f t="shared" si="1"/>
        <v>0.1312625535586586</v>
      </c>
      <c r="F23" s="60"/>
      <c r="G23" s="12"/>
      <c r="H23" s="12"/>
    </row>
    <row r="24" spans="1:8" x14ac:dyDescent="0.3">
      <c r="A24" s="18" t="s">
        <v>54</v>
      </c>
      <c r="B24" s="14">
        <v>435123458</v>
      </c>
      <c r="C24" s="14">
        <v>435123458</v>
      </c>
      <c r="D24" s="17"/>
      <c r="H24" s="11"/>
    </row>
    <row r="25" spans="1:8" x14ac:dyDescent="0.3">
      <c r="A25" s="18" t="s">
        <v>71</v>
      </c>
      <c r="B25" s="33">
        <f>+B22/+(B24/1000000)</f>
        <v>7989.008489631924</v>
      </c>
      <c r="C25" s="33">
        <f>+C22/+(C24/1000000)</f>
        <v>9042.805961520924</v>
      </c>
      <c r="D25" s="17"/>
      <c r="H25" s="11"/>
    </row>
    <row r="26" spans="1:8" x14ac:dyDescent="0.3">
      <c r="G26" s="13"/>
      <c r="H26" s="13"/>
    </row>
    <row r="27" spans="1:8" x14ac:dyDescent="0.3">
      <c r="A27" s="6" t="s">
        <v>70</v>
      </c>
      <c r="B27" s="6">
        <v>2008</v>
      </c>
      <c r="C27" s="6">
        <v>2009</v>
      </c>
      <c r="D27" s="6" t="s">
        <v>46</v>
      </c>
      <c r="H27" s="13"/>
    </row>
    <row r="28" spans="1:8" x14ac:dyDescent="0.3">
      <c r="A28" s="19" t="s">
        <v>66</v>
      </c>
      <c r="B28" s="17"/>
      <c r="C28" s="17"/>
      <c r="D28" s="34"/>
    </row>
    <row r="29" spans="1:8" x14ac:dyDescent="0.3">
      <c r="A29" s="19" t="s">
        <v>44</v>
      </c>
      <c r="B29" s="17"/>
      <c r="C29" s="17"/>
      <c r="D29" s="34"/>
    </row>
    <row r="30" spans="1:8" x14ac:dyDescent="0.3">
      <c r="A30" s="19" t="s">
        <v>45</v>
      </c>
      <c r="B30" s="17"/>
      <c r="C30" s="17"/>
      <c r="D30" s="34"/>
    </row>
    <row r="31" spans="1:8" s="9" customFormat="1" x14ac:dyDescent="0.3">
      <c r="A31" s="19" t="s">
        <v>72</v>
      </c>
      <c r="B31" s="30">
        <f>-15295+77743</f>
        <v>62448</v>
      </c>
      <c r="C31" s="30">
        <v>54575</v>
      </c>
      <c r="D31" s="17">
        <f>IF(B31&lt;&gt;0,(C31-B31)/B31,0)</f>
        <v>-0.12607289264668203</v>
      </c>
      <c r="G31" s="12"/>
    </row>
    <row r="32" spans="1:8" x14ac:dyDescent="0.3">
      <c r="A32" s="19" t="s">
        <v>5</v>
      </c>
      <c r="B32" s="14">
        <v>2704</v>
      </c>
      <c r="C32" s="14">
        <v>0</v>
      </c>
      <c r="D32" s="17">
        <f t="shared" ref="D32:D42" si="2">IF(B32&lt;&gt;0,(C32-B32)/B32,0)</f>
        <v>-1</v>
      </c>
    </row>
    <row r="33" spans="1:7" s="9" customFormat="1" x14ac:dyDescent="0.3">
      <c r="A33" s="19" t="s">
        <v>57</v>
      </c>
      <c r="B33" s="14">
        <v>2991</v>
      </c>
      <c r="C33" s="14">
        <v>2934</v>
      </c>
      <c r="D33" s="17">
        <f t="shared" si="2"/>
        <v>-1.9057171514543631E-2</v>
      </c>
      <c r="G33" s="12"/>
    </row>
    <row r="34" spans="1:7" s="9" customFormat="1" x14ac:dyDescent="0.3">
      <c r="A34" s="19" t="s">
        <v>56</v>
      </c>
      <c r="B34" s="14">
        <f>47+1301</f>
        <v>1348</v>
      </c>
      <c r="C34" s="14">
        <f>3+1736</f>
        <v>1739</v>
      </c>
      <c r="D34" s="17">
        <f t="shared" si="2"/>
        <v>0.2900593471810089</v>
      </c>
      <c r="G34" s="12"/>
    </row>
    <row r="35" spans="1:7" s="9" customFormat="1" x14ac:dyDescent="0.3">
      <c r="A35" s="35" t="s">
        <v>4</v>
      </c>
      <c r="B35" s="30">
        <f>SUM(B31:B34)</f>
        <v>69491</v>
      </c>
      <c r="C35" s="30">
        <f>SUM(C31:C34)</f>
        <v>59248</v>
      </c>
      <c r="D35" s="17">
        <f t="shared" si="2"/>
        <v>-0.14740038278338202</v>
      </c>
      <c r="G35" s="12"/>
    </row>
    <row r="36" spans="1:7" x14ac:dyDescent="0.3">
      <c r="A36" s="19" t="s">
        <v>58</v>
      </c>
      <c r="B36" s="14">
        <v>-1634</v>
      </c>
      <c r="C36" s="14">
        <v>-2544</v>
      </c>
      <c r="D36" s="17">
        <f t="shared" si="2"/>
        <v>0.55691554467564264</v>
      </c>
    </row>
    <row r="37" spans="1:7" s="9" customFormat="1" x14ac:dyDescent="0.3">
      <c r="A37" s="35" t="s">
        <v>42</v>
      </c>
      <c r="B37" s="30">
        <f>SUM(B35:B36)</f>
        <v>67857</v>
      </c>
      <c r="C37" s="30">
        <f>SUM(C35:C36)</f>
        <v>56704</v>
      </c>
      <c r="D37" s="17">
        <f t="shared" si="2"/>
        <v>-0.1643603460217811</v>
      </c>
      <c r="G37" s="12"/>
    </row>
    <row r="38" spans="1:7" s="9" customFormat="1" x14ac:dyDescent="0.3">
      <c r="A38" s="19" t="s">
        <v>10</v>
      </c>
      <c r="B38" s="14">
        <v>164</v>
      </c>
      <c r="C38" s="14">
        <v>104</v>
      </c>
      <c r="D38" s="17">
        <f t="shared" si="2"/>
        <v>-0.36585365853658536</v>
      </c>
      <c r="F38" s="60"/>
      <c r="G38" s="12"/>
    </row>
    <row r="39" spans="1:7" x14ac:dyDescent="0.3">
      <c r="A39" s="19" t="s">
        <v>13</v>
      </c>
      <c r="B39" s="14">
        <v>-59</v>
      </c>
      <c r="C39" s="14">
        <v>-30</v>
      </c>
      <c r="D39" s="17">
        <f t="shared" si="2"/>
        <v>-0.49152542372881358</v>
      </c>
    </row>
    <row r="40" spans="1:7" s="9" customFormat="1" x14ac:dyDescent="0.3">
      <c r="A40" s="35" t="s">
        <v>43</v>
      </c>
      <c r="B40" s="30">
        <f>SUM(B37:B39)</f>
        <v>67962</v>
      </c>
      <c r="C40" s="30">
        <f>SUM(C37:C39)</f>
        <v>56778</v>
      </c>
      <c r="D40" s="17">
        <f t="shared" si="2"/>
        <v>-0.16456254966010417</v>
      </c>
      <c r="G40" s="12"/>
    </row>
    <row r="41" spans="1:7" x14ac:dyDescent="0.3">
      <c r="A41" s="19" t="s">
        <v>15</v>
      </c>
      <c r="B41" s="14">
        <v>-48</v>
      </c>
      <c r="C41" s="14">
        <v>-19</v>
      </c>
      <c r="D41" s="17">
        <f t="shared" si="2"/>
        <v>-0.60416666666666663</v>
      </c>
    </row>
    <row r="42" spans="1:7" ht="15.75" thickBot="1" x14ac:dyDescent="0.35">
      <c r="A42" s="36" t="s">
        <v>17</v>
      </c>
      <c r="B42" s="37">
        <f>SUM(B40:B41)</f>
        <v>67914</v>
      </c>
      <c r="C42" s="37">
        <f>SUM(C40:C41)</f>
        <v>56759</v>
      </c>
      <c r="D42" s="45">
        <f t="shared" si="2"/>
        <v>-0.1642518479253173</v>
      </c>
    </row>
    <row r="44" spans="1:7" x14ac:dyDescent="0.3">
      <c r="A44" s="19"/>
      <c r="B44" s="14"/>
      <c r="C44" s="14"/>
      <c r="D44" s="17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19" workbookViewId="0">
      <selection activeCell="A37" sqref="A37:A55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16384" width="11.42578125" style="5"/>
  </cols>
  <sheetData>
    <row r="1" spans="1:5" x14ac:dyDescent="0.3">
      <c r="A1" s="24" t="s">
        <v>40</v>
      </c>
    </row>
    <row r="2" spans="1:5" x14ac:dyDescent="0.3">
      <c r="A2" s="24" t="s">
        <v>67</v>
      </c>
    </row>
    <row r="3" spans="1:5" x14ac:dyDescent="0.3">
      <c r="A3" s="24" t="s">
        <v>44</v>
      </c>
    </row>
    <row r="4" spans="1:5" x14ac:dyDescent="0.3">
      <c r="A4" s="24" t="s">
        <v>45</v>
      </c>
    </row>
    <row r="6" spans="1:5" x14ac:dyDescent="0.3">
      <c r="A6" s="6" t="s">
        <v>20</v>
      </c>
      <c r="B6" s="6">
        <v>2005</v>
      </c>
      <c r="C6" s="6">
        <v>2006</v>
      </c>
      <c r="D6" s="7" t="s">
        <v>46</v>
      </c>
      <c r="E6" s="16"/>
    </row>
    <row r="7" spans="1:5" x14ac:dyDescent="0.3">
      <c r="A7" s="18" t="s">
        <v>21</v>
      </c>
      <c r="B7" s="14">
        <v>121469</v>
      </c>
      <c r="C7" s="14">
        <v>147021</v>
      </c>
      <c r="D7" s="17">
        <f t="shared" ref="D7:D16" si="0">+(C7-B7)/B7</f>
        <v>0.2103581983880661</v>
      </c>
      <c r="E7" s="17"/>
    </row>
    <row r="8" spans="1:5" x14ac:dyDescent="0.3">
      <c r="A8" s="18" t="s">
        <v>22</v>
      </c>
      <c r="B8" s="14">
        <v>328742</v>
      </c>
      <c r="C8" s="14">
        <v>323226</v>
      </c>
      <c r="D8" s="17">
        <f t="shared" si="0"/>
        <v>-1.6779115537412317E-2</v>
      </c>
      <c r="E8" s="17"/>
    </row>
    <row r="9" spans="1:5" x14ac:dyDescent="0.3">
      <c r="A9" s="18" t="s">
        <v>23</v>
      </c>
      <c r="B9" s="14">
        <v>292269</v>
      </c>
      <c r="C9" s="14">
        <v>381730</v>
      </c>
      <c r="D9" s="17">
        <f t="shared" si="0"/>
        <v>0.30609130629659664</v>
      </c>
      <c r="E9" s="17"/>
    </row>
    <row r="10" spans="1:5" x14ac:dyDescent="0.3">
      <c r="A10" s="18" t="s">
        <v>36</v>
      </c>
      <c r="B10" s="14">
        <v>274553</v>
      </c>
      <c r="C10" s="14">
        <v>371699</v>
      </c>
      <c r="D10" s="17">
        <f t="shared" si="0"/>
        <v>0.353833321799434</v>
      </c>
      <c r="E10" s="17"/>
    </row>
    <row r="11" spans="1:5" x14ac:dyDescent="0.3">
      <c r="A11" s="18" t="s">
        <v>60</v>
      </c>
      <c r="B11" s="14">
        <v>456824</v>
      </c>
      <c r="C11" s="14">
        <v>561031</v>
      </c>
      <c r="D11" s="17">
        <f t="shared" si="0"/>
        <v>0.22811192056459381</v>
      </c>
      <c r="E11" s="17"/>
    </row>
    <row r="12" spans="1:5" x14ac:dyDescent="0.3">
      <c r="A12" s="18" t="s">
        <v>47</v>
      </c>
      <c r="B12" s="14">
        <v>63266</v>
      </c>
      <c r="C12" s="14">
        <v>621440</v>
      </c>
      <c r="D12" s="17">
        <f t="shared" si="0"/>
        <v>8.8226535579932346</v>
      </c>
      <c r="E12" s="17"/>
    </row>
    <row r="13" spans="1:5" x14ac:dyDescent="0.3">
      <c r="A13" s="18" t="s">
        <v>24</v>
      </c>
      <c r="B13" s="14">
        <v>12635</v>
      </c>
      <c r="C13" s="14">
        <v>23420</v>
      </c>
      <c r="D13" s="17">
        <f t="shared" si="0"/>
        <v>0.85358132172536605</v>
      </c>
      <c r="E13" s="17"/>
    </row>
    <row r="14" spans="1:5" x14ac:dyDescent="0.3">
      <c r="A14" s="18" t="s">
        <v>25</v>
      </c>
      <c r="B14" s="14">
        <v>3714</v>
      </c>
      <c r="C14" s="14">
        <v>11893</v>
      </c>
      <c r="D14" s="17">
        <f t="shared" si="0"/>
        <v>2.2022078621432417</v>
      </c>
      <c r="E14" s="17"/>
    </row>
    <row r="15" spans="1:5" x14ac:dyDescent="0.3">
      <c r="A15" s="18" t="s">
        <v>26</v>
      </c>
      <c r="B15" s="14">
        <v>2468685</v>
      </c>
      <c r="C15" s="14">
        <v>2591441</v>
      </c>
      <c r="D15" s="17">
        <f t="shared" si="0"/>
        <v>4.9725258589086906E-2</v>
      </c>
      <c r="E15" s="17"/>
    </row>
    <row r="16" spans="1:5" ht="15.75" thickBot="1" x14ac:dyDescent="0.35">
      <c r="A16" s="26" t="s">
        <v>27</v>
      </c>
      <c r="B16" s="27">
        <f>SUM(B7:B15)</f>
        <v>4022157</v>
      </c>
      <c r="C16" s="27">
        <f>SUM(C7:C15)</f>
        <v>5032901</v>
      </c>
      <c r="D16" s="45">
        <f t="shared" si="0"/>
        <v>0.25129401960192005</v>
      </c>
      <c r="E16" s="17"/>
    </row>
    <row r="17" spans="1:5" x14ac:dyDescent="0.3">
      <c r="A17" s="1"/>
      <c r="D17" s="17"/>
      <c r="E17" s="17"/>
    </row>
    <row r="18" spans="1:5" x14ac:dyDescent="0.3">
      <c r="A18" s="6" t="s">
        <v>48</v>
      </c>
      <c r="B18" s="6">
        <v>2005</v>
      </c>
      <c r="C18" s="6">
        <v>2006</v>
      </c>
      <c r="D18" s="7" t="s">
        <v>46</v>
      </c>
      <c r="E18" s="17"/>
    </row>
    <row r="19" spans="1:5" x14ac:dyDescent="0.3">
      <c r="A19" s="18" t="s">
        <v>28</v>
      </c>
      <c r="B19" s="14">
        <v>41040</v>
      </c>
      <c r="C19" s="14">
        <v>705877</v>
      </c>
      <c r="D19" s="17">
        <f t="shared" ref="D19:D30" si="1">+(C19-B19)/B19</f>
        <v>16.199731968810916</v>
      </c>
      <c r="E19" s="17"/>
    </row>
    <row r="20" spans="1:5" x14ac:dyDescent="0.3">
      <c r="A20" s="18" t="s">
        <v>49</v>
      </c>
      <c r="B20" s="14">
        <v>111023</v>
      </c>
      <c r="C20" s="14">
        <v>146194</v>
      </c>
      <c r="D20" s="17">
        <f t="shared" si="1"/>
        <v>0.31679021464020968</v>
      </c>
      <c r="E20" s="17"/>
    </row>
    <row r="21" spans="1:5" x14ac:dyDescent="0.3">
      <c r="A21" s="18" t="s">
        <v>38</v>
      </c>
      <c r="B21" s="14">
        <v>59396</v>
      </c>
      <c r="C21" s="14">
        <v>108992</v>
      </c>
      <c r="D21" s="17">
        <f t="shared" si="1"/>
        <v>0.83500572429119801</v>
      </c>
      <c r="E21" s="17"/>
    </row>
    <row r="22" spans="1:5" x14ac:dyDescent="0.3">
      <c r="A22" s="18" t="s">
        <v>30</v>
      </c>
      <c r="B22" s="14">
        <v>55165</v>
      </c>
      <c r="C22" s="14">
        <v>54299</v>
      </c>
      <c r="D22" s="17">
        <f t="shared" si="1"/>
        <v>-1.5698359467053384E-2</v>
      </c>
      <c r="E22" s="17"/>
    </row>
    <row r="23" spans="1:5" x14ac:dyDescent="0.3">
      <c r="A23" s="18" t="s">
        <v>31</v>
      </c>
      <c r="B23" s="14">
        <v>34448</v>
      </c>
      <c r="C23" s="14">
        <v>46282</v>
      </c>
      <c r="D23" s="17">
        <f t="shared" si="1"/>
        <v>0.3435322805387831</v>
      </c>
      <c r="E23" s="17"/>
    </row>
    <row r="24" spans="1:5" x14ac:dyDescent="0.3">
      <c r="A24" s="18" t="s">
        <v>32</v>
      </c>
      <c r="B24" s="14">
        <v>33024</v>
      </c>
      <c r="C24" s="14">
        <v>38698</v>
      </c>
      <c r="D24" s="17">
        <f t="shared" si="1"/>
        <v>0.17181443798449614</v>
      </c>
      <c r="E24" s="17"/>
    </row>
    <row r="25" spans="1:5" x14ac:dyDescent="0.3">
      <c r="A25" s="18" t="s">
        <v>24</v>
      </c>
      <c r="B25" s="14">
        <v>12261</v>
      </c>
      <c r="C25" s="14">
        <v>10307</v>
      </c>
      <c r="D25" s="17">
        <f t="shared" si="1"/>
        <v>-0.15936709893157164</v>
      </c>
      <c r="E25" s="17"/>
    </row>
    <row r="26" spans="1:5" x14ac:dyDescent="0.3">
      <c r="A26" s="18" t="s">
        <v>0</v>
      </c>
      <c r="B26" s="14">
        <v>938</v>
      </c>
      <c r="C26" s="14">
        <v>1750</v>
      </c>
      <c r="D26" s="17">
        <f t="shared" si="1"/>
        <v>0.86567164179104472</v>
      </c>
      <c r="E26" s="17"/>
    </row>
    <row r="27" spans="1:5" x14ac:dyDescent="0.3">
      <c r="A27" s="18" t="s">
        <v>33</v>
      </c>
      <c r="B27" s="14">
        <f>SUM(B19:B26)</f>
        <v>347295</v>
      </c>
      <c r="C27" s="14">
        <f>SUM(C19:C26)</f>
        <v>1112399</v>
      </c>
      <c r="D27" s="17">
        <f t="shared" si="1"/>
        <v>2.2030377632848155</v>
      </c>
      <c r="E27" s="17"/>
    </row>
    <row r="28" spans="1:5" x14ac:dyDescent="0.3">
      <c r="A28" s="18" t="s">
        <v>39</v>
      </c>
      <c r="B28" s="14">
        <v>2519</v>
      </c>
      <c r="C28" s="14">
        <v>2618</v>
      </c>
      <c r="D28" s="17">
        <f t="shared" si="1"/>
        <v>3.9301310043668124E-2</v>
      </c>
      <c r="E28" s="17"/>
    </row>
    <row r="29" spans="1:5" x14ac:dyDescent="0.3">
      <c r="A29" s="31" t="s">
        <v>34</v>
      </c>
      <c r="B29" s="32">
        <v>3672343</v>
      </c>
      <c r="C29" s="32">
        <v>3917884</v>
      </c>
      <c r="D29" s="47">
        <f t="shared" si="1"/>
        <v>6.6862218480136529E-2</v>
      </c>
      <c r="E29" s="17"/>
    </row>
    <row r="30" spans="1:5" ht="15.75" thickBot="1" x14ac:dyDescent="0.35">
      <c r="A30" s="39" t="s">
        <v>35</v>
      </c>
      <c r="B30" s="40">
        <f>+B27+B28+B29</f>
        <v>4022157</v>
      </c>
      <c r="C30" s="40">
        <f>+C27+C28+C29</f>
        <v>5032901</v>
      </c>
      <c r="D30" s="49">
        <f t="shared" si="1"/>
        <v>0.25129401960192005</v>
      </c>
      <c r="E30" s="17"/>
    </row>
    <row r="31" spans="1:5" x14ac:dyDescent="0.3">
      <c r="A31" s="19"/>
      <c r="B31" s="14"/>
      <c r="C31" s="14"/>
      <c r="D31" s="17"/>
      <c r="E31" s="17"/>
    </row>
    <row r="32" spans="1:5" x14ac:dyDescent="0.3">
      <c r="A32" s="41" t="s">
        <v>3</v>
      </c>
      <c r="B32" s="14"/>
      <c r="C32" s="14"/>
      <c r="D32" s="17"/>
    </row>
    <row r="33" spans="1:6" x14ac:dyDescent="0.3">
      <c r="A33" s="41" t="s">
        <v>68</v>
      </c>
      <c r="B33" s="14"/>
      <c r="C33" s="14"/>
      <c r="D33" s="17"/>
    </row>
    <row r="34" spans="1:6" x14ac:dyDescent="0.3">
      <c r="A34" s="41" t="s">
        <v>44</v>
      </c>
      <c r="B34" s="14"/>
      <c r="C34" s="14"/>
      <c r="D34" s="17"/>
    </row>
    <row r="35" spans="1:6" x14ac:dyDescent="0.3">
      <c r="A35" s="41" t="s">
        <v>45</v>
      </c>
      <c r="B35" s="14"/>
      <c r="C35" s="14"/>
      <c r="D35" s="17"/>
    </row>
    <row r="36" spans="1:6" x14ac:dyDescent="0.3">
      <c r="A36" s="6"/>
      <c r="B36" s="6">
        <v>2005</v>
      </c>
      <c r="C36" s="6" t="s">
        <v>55</v>
      </c>
      <c r="D36" s="6">
        <v>2006</v>
      </c>
      <c r="E36" s="7" t="s">
        <v>55</v>
      </c>
      <c r="F36" s="7" t="s">
        <v>46</v>
      </c>
    </row>
    <row r="37" spans="1:6" s="9" customFormat="1" x14ac:dyDescent="0.3">
      <c r="A37" s="30" t="s">
        <v>4</v>
      </c>
      <c r="B37" s="30">
        <v>2297199</v>
      </c>
      <c r="C37" s="42">
        <v>1</v>
      </c>
      <c r="D37" s="30">
        <v>2872015</v>
      </c>
      <c r="E37" s="42">
        <v>1</v>
      </c>
      <c r="F37" s="42">
        <f t="shared" ref="F37:F55" si="2">+(D37-B37)/B37</f>
        <v>0.25022473020404412</v>
      </c>
    </row>
    <row r="38" spans="1:6" x14ac:dyDescent="0.3">
      <c r="A38" s="14" t="s">
        <v>50</v>
      </c>
      <c r="B38" s="14">
        <v>-1428204</v>
      </c>
      <c r="C38" s="17">
        <f t="shared" ref="C38:C55" si="3">+B38/$B$37</f>
        <v>-0.62171540210491127</v>
      </c>
      <c r="D38" s="14">
        <v>-1760636</v>
      </c>
      <c r="E38" s="17">
        <f>+D38/$D$37</f>
        <v>-0.61303161717470134</v>
      </c>
      <c r="F38" s="17">
        <f t="shared" si="2"/>
        <v>0.2327622664549322</v>
      </c>
    </row>
    <row r="39" spans="1:6" s="9" customFormat="1" x14ac:dyDescent="0.3">
      <c r="A39" s="30" t="s">
        <v>6</v>
      </c>
      <c r="B39" s="30">
        <f>SUM(B37:B38)</f>
        <v>868995</v>
      </c>
      <c r="C39" s="42">
        <f t="shared" si="3"/>
        <v>0.37828459789508878</v>
      </c>
      <c r="D39" s="30">
        <f>SUM(D37:D38)</f>
        <v>1111379</v>
      </c>
      <c r="E39" s="42">
        <f t="shared" ref="E39:E55" si="4">+D39/$D$37</f>
        <v>0.38696838282529861</v>
      </c>
      <c r="F39" s="42">
        <f t="shared" si="2"/>
        <v>0.27892450474398589</v>
      </c>
    </row>
    <row r="40" spans="1:6" x14ac:dyDescent="0.3">
      <c r="A40" s="14" t="s">
        <v>7</v>
      </c>
      <c r="B40" s="14">
        <v>-95853</v>
      </c>
      <c r="C40" s="17">
        <f t="shared" si="3"/>
        <v>-4.1726032442117554E-2</v>
      </c>
      <c r="D40" s="14">
        <v>-127200</v>
      </c>
      <c r="E40" s="17">
        <f t="shared" si="4"/>
        <v>-4.4289462276485322E-2</v>
      </c>
      <c r="F40" s="17">
        <f t="shared" si="2"/>
        <v>0.32703201777722135</v>
      </c>
    </row>
    <row r="41" spans="1:6" x14ac:dyDescent="0.3">
      <c r="A41" s="14" t="s">
        <v>8</v>
      </c>
      <c r="B41" s="14">
        <v>-509961</v>
      </c>
      <c r="C41" s="17">
        <f t="shared" si="3"/>
        <v>-0.22199252219768509</v>
      </c>
      <c r="D41" s="14">
        <v>-684105</v>
      </c>
      <c r="E41" s="17">
        <f t="shared" si="4"/>
        <v>-0.23819687571269649</v>
      </c>
      <c r="F41" s="17">
        <f t="shared" si="2"/>
        <v>0.34148493708342403</v>
      </c>
    </row>
    <row r="42" spans="1:6" s="9" customFormat="1" x14ac:dyDescent="0.3">
      <c r="A42" s="30" t="s">
        <v>9</v>
      </c>
      <c r="B42" s="30">
        <f>SUM(B40:B41)</f>
        <v>-605814</v>
      </c>
      <c r="C42" s="42">
        <f t="shared" si="3"/>
        <v>-0.26371855463980265</v>
      </c>
      <c r="D42" s="30">
        <f>SUM(D40:D41)</f>
        <v>-811305</v>
      </c>
      <c r="E42" s="42">
        <f t="shared" si="4"/>
        <v>-0.28248633798918182</v>
      </c>
      <c r="F42" s="42">
        <f t="shared" si="2"/>
        <v>0.33919816973526529</v>
      </c>
    </row>
    <row r="43" spans="1:6" s="9" customFormat="1" x14ac:dyDescent="0.3">
      <c r="A43" s="30" t="s">
        <v>1</v>
      </c>
      <c r="B43" s="30">
        <f>+B39+B42</f>
        <v>263181</v>
      </c>
      <c r="C43" s="42">
        <f t="shared" si="3"/>
        <v>0.11456604325528612</v>
      </c>
      <c r="D43" s="30">
        <f>+D39+D42</f>
        <v>300074</v>
      </c>
      <c r="E43" s="42">
        <f t="shared" si="4"/>
        <v>0.1044820448361168</v>
      </c>
      <c r="F43" s="42">
        <f t="shared" si="2"/>
        <v>0.14018109210011362</v>
      </c>
    </row>
    <row r="44" spans="1:6" x14ac:dyDescent="0.3">
      <c r="A44" s="14" t="s">
        <v>51</v>
      </c>
      <c r="B44" s="30">
        <v>14213</v>
      </c>
      <c r="C44" s="17">
        <f t="shared" si="3"/>
        <v>6.1871000292094847E-3</v>
      </c>
      <c r="D44" s="14">
        <v>13821</v>
      </c>
      <c r="E44" s="17">
        <f t="shared" si="4"/>
        <v>4.8123007714096205E-3</v>
      </c>
      <c r="F44" s="17">
        <f t="shared" si="2"/>
        <v>-2.7580384155350735E-2</v>
      </c>
    </row>
    <row r="45" spans="1:6" x14ac:dyDescent="0.3">
      <c r="A45" s="14" t="s">
        <v>11</v>
      </c>
      <c r="B45" s="30">
        <v>-25197</v>
      </c>
      <c r="C45" s="17">
        <f t="shared" si="3"/>
        <v>-1.0968575208329796E-2</v>
      </c>
      <c r="D45" s="14">
        <v>-64413</v>
      </c>
      <c r="E45" s="17">
        <f t="shared" si="4"/>
        <v>-2.2427807654207935E-2</v>
      </c>
      <c r="F45" s="17">
        <f t="shared" si="2"/>
        <v>1.5563757590189309</v>
      </c>
    </row>
    <row r="46" spans="1:6" x14ac:dyDescent="0.3">
      <c r="A46" s="14" t="s">
        <v>12</v>
      </c>
      <c r="B46" s="30">
        <v>-24458</v>
      </c>
      <c r="C46" s="17">
        <f t="shared" si="3"/>
        <v>-1.0646879090579441E-2</v>
      </c>
      <c r="D46" s="14">
        <v>-32576</v>
      </c>
      <c r="E46" s="17">
        <f t="shared" si="4"/>
        <v>-1.1342559144015612E-2</v>
      </c>
      <c r="F46" s="17">
        <f t="shared" si="2"/>
        <v>0.33191593752555398</v>
      </c>
    </row>
    <row r="47" spans="1:6" x14ac:dyDescent="0.3">
      <c r="A47" s="14" t="s">
        <v>52</v>
      </c>
      <c r="B47" s="30">
        <v>-1493</v>
      </c>
      <c r="C47" s="17">
        <f t="shared" si="3"/>
        <v>-6.4992192665937957E-4</v>
      </c>
      <c r="D47" s="14">
        <v>-70809</v>
      </c>
      <c r="E47" s="17">
        <f t="shared" si="4"/>
        <v>-2.4654815521506678E-2</v>
      </c>
      <c r="F47" s="17">
        <f t="shared" si="2"/>
        <v>46.427327528466172</v>
      </c>
    </row>
    <row r="48" spans="1:6" x14ac:dyDescent="0.3">
      <c r="A48" s="14" t="s">
        <v>14</v>
      </c>
      <c r="B48" s="30">
        <v>22218</v>
      </c>
      <c r="C48" s="17">
        <f t="shared" si="3"/>
        <v>9.6717785442184158E-3</v>
      </c>
      <c r="D48" s="14">
        <v>29348</v>
      </c>
      <c r="E48" s="17">
        <f t="shared" si="4"/>
        <v>1.0218609582470844E-2</v>
      </c>
      <c r="F48" s="17">
        <f t="shared" si="2"/>
        <v>0.32091097308488614</v>
      </c>
    </row>
    <row r="49" spans="1:6" x14ac:dyDescent="0.3">
      <c r="A49" s="14" t="s">
        <v>16</v>
      </c>
      <c r="B49" s="30">
        <v>18955</v>
      </c>
      <c r="C49" s="17">
        <f t="shared" si="3"/>
        <v>8.2513530608362626E-3</v>
      </c>
      <c r="D49" s="14">
        <v>71319</v>
      </c>
      <c r="E49" s="17">
        <f t="shared" si="4"/>
        <v>2.4832391195728436E-2</v>
      </c>
      <c r="F49" s="17">
        <f t="shared" si="2"/>
        <v>2.7625428646795043</v>
      </c>
    </row>
    <row r="50" spans="1:6" s="9" customFormat="1" x14ac:dyDescent="0.3">
      <c r="A50" s="30" t="s">
        <v>2</v>
      </c>
      <c r="B50" s="30">
        <f>SUM(B44:B49)</f>
        <v>4238</v>
      </c>
      <c r="C50" s="42">
        <f t="shared" si="3"/>
        <v>1.8448554086955462E-3</v>
      </c>
      <c r="D50" s="30">
        <f>SUM(D44:D49)</f>
        <v>-53310</v>
      </c>
      <c r="E50" s="42">
        <f t="shared" si="4"/>
        <v>-1.8561880770121327E-2</v>
      </c>
      <c r="F50" s="42">
        <f t="shared" si="2"/>
        <v>-13.579046720151014</v>
      </c>
    </row>
    <row r="51" spans="1:6" s="9" customFormat="1" x14ac:dyDescent="0.3">
      <c r="A51" s="30" t="s">
        <v>41</v>
      </c>
      <c r="B51" s="30">
        <f>+B43+B50</f>
        <v>267419</v>
      </c>
      <c r="C51" s="42">
        <f t="shared" si="3"/>
        <v>0.11641089866398166</v>
      </c>
      <c r="D51" s="30">
        <f>+D43+D50</f>
        <v>246764</v>
      </c>
      <c r="E51" s="42">
        <f t="shared" si="4"/>
        <v>8.592016406599548E-2</v>
      </c>
      <c r="F51" s="42">
        <f t="shared" si="2"/>
        <v>-7.7238341329524077E-2</v>
      </c>
    </row>
    <row r="52" spans="1:6" x14ac:dyDescent="0.3">
      <c r="A52" s="14" t="s">
        <v>15</v>
      </c>
      <c r="B52" s="30">
        <v>-84076</v>
      </c>
      <c r="C52" s="17">
        <f t="shared" si="3"/>
        <v>-3.6599354257075681E-2</v>
      </c>
      <c r="D52" s="14">
        <v>-70246</v>
      </c>
      <c r="E52" s="17">
        <f t="shared" si="4"/>
        <v>-2.4458785904669718E-2</v>
      </c>
      <c r="F52" s="17">
        <f t="shared" si="2"/>
        <v>-0.16449402921166564</v>
      </c>
    </row>
    <row r="53" spans="1:6" x14ac:dyDescent="0.3">
      <c r="A53" s="14" t="s">
        <v>18</v>
      </c>
      <c r="B53" s="30">
        <v>-23</v>
      </c>
      <c r="C53" s="17">
        <f t="shared" si="3"/>
        <v>-1.0012193109956951E-5</v>
      </c>
      <c r="D53" s="14">
        <v>17</v>
      </c>
      <c r="E53" s="17">
        <f t="shared" si="4"/>
        <v>5.9191891407252398E-6</v>
      </c>
      <c r="F53" s="17">
        <f t="shared" si="2"/>
        <v>-1.7391304347826086</v>
      </c>
    </row>
    <row r="54" spans="1:6" s="9" customFormat="1" x14ac:dyDescent="0.3">
      <c r="A54" s="43" t="s">
        <v>17</v>
      </c>
      <c r="B54" s="43">
        <f>+B51+B52+B53</f>
        <v>183320</v>
      </c>
      <c r="C54" s="44">
        <f t="shared" si="3"/>
        <v>7.9801532213796017E-2</v>
      </c>
      <c r="D54" s="43">
        <f>+D51+D52+D53</f>
        <v>176535</v>
      </c>
      <c r="E54" s="44">
        <f t="shared" si="4"/>
        <v>6.1467297350466486E-2</v>
      </c>
      <c r="F54" s="44">
        <f t="shared" si="2"/>
        <v>-3.7011782675103647E-2</v>
      </c>
    </row>
    <row r="55" spans="1:6" s="9" customFormat="1" ht="15.75" thickBot="1" x14ac:dyDescent="0.35">
      <c r="A55" s="27" t="s">
        <v>19</v>
      </c>
      <c r="B55" s="27">
        <f>326457*0+317502</f>
        <v>317502</v>
      </c>
      <c r="C55" s="45">
        <f t="shared" si="3"/>
        <v>0.13821266681728486</v>
      </c>
      <c r="D55" s="27">
        <v>382594</v>
      </c>
      <c r="E55" s="45">
        <f t="shared" si="4"/>
        <v>0.13321448530039015</v>
      </c>
      <c r="F55" s="45">
        <f t="shared" si="2"/>
        <v>0.20501288180861854</v>
      </c>
    </row>
    <row r="56" spans="1:6" x14ac:dyDescent="0.3">
      <c r="A56" s="2"/>
      <c r="C56" s="3"/>
      <c r="D56" s="10"/>
    </row>
    <row r="57" spans="1:6" x14ac:dyDescent="0.3">
      <c r="A57" s="19"/>
      <c r="C57" s="3"/>
      <c r="D57" s="10"/>
    </row>
    <row r="58" spans="1:6" x14ac:dyDescent="0.3">
      <c r="D58" s="10"/>
    </row>
  </sheetData>
  <phoneticPr fontId="0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zoomScale="87" zoomScaleNormal="87" workbookViewId="0">
      <selection activeCell="D31" sqref="D31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6" x14ac:dyDescent="0.3">
      <c r="A1" s="38" t="s">
        <v>40</v>
      </c>
    </row>
    <row r="2" spans="1:6" x14ac:dyDescent="0.3">
      <c r="A2" s="38" t="s">
        <v>65</v>
      </c>
    </row>
    <row r="3" spans="1:6" x14ac:dyDescent="0.3">
      <c r="A3" s="24" t="s">
        <v>44</v>
      </c>
    </row>
    <row r="4" spans="1:6" x14ac:dyDescent="0.3">
      <c r="A4" s="24" t="s">
        <v>45</v>
      </c>
    </row>
    <row r="6" spans="1:6" x14ac:dyDescent="0.3">
      <c r="A6" s="6" t="s">
        <v>20</v>
      </c>
      <c r="B6" s="6">
        <v>2008</v>
      </c>
      <c r="C6" s="6">
        <v>2009</v>
      </c>
      <c r="D6" s="7" t="s">
        <v>46</v>
      </c>
      <c r="E6" s="20"/>
      <c r="F6" s="23"/>
    </row>
    <row r="7" spans="1:6" x14ac:dyDescent="0.3">
      <c r="A7" s="18" t="s">
        <v>21</v>
      </c>
      <c r="B7" s="14">
        <v>206388</v>
      </c>
      <c r="C7" s="14">
        <v>134696</v>
      </c>
      <c r="D7" s="17">
        <f>+(C7-B7)/B7</f>
        <v>-0.34736515688896641</v>
      </c>
      <c r="E7" s="21"/>
      <c r="F7" s="23"/>
    </row>
    <row r="8" spans="1:6" x14ac:dyDescent="0.3">
      <c r="A8" s="18" t="s">
        <v>22</v>
      </c>
      <c r="B8" s="14">
        <v>272899</v>
      </c>
      <c r="C8" s="14">
        <v>546601</v>
      </c>
      <c r="D8" s="17">
        <f t="shared" ref="D8:D16" si="0">+(C8-B8)/B8</f>
        <v>1.0029424805514129</v>
      </c>
      <c r="E8" s="21"/>
      <c r="F8" s="23"/>
    </row>
    <row r="9" spans="1:6" x14ac:dyDescent="0.3">
      <c r="A9" s="18" t="s">
        <v>23</v>
      </c>
      <c r="B9" s="14">
        <v>462799</v>
      </c>
      <c r="C9" s="14">
        <v>662827</v>
      </c>
      <c r="D9" s="17">
        <f t="shared" si="0"/>
        <v>0.43221355275184259</v>
      </c>
      <c r="E9" s="21"/>
      <c r="F9" s="23"/>
    </row>
    <row r="10" spans="1:6" x14ac:dyDescent="0.3">
      <c r="A10" s="18" t="s">
        <v>36</v>
      </c>
      <c r="B10" s="14">
        <v>441512</v>
      </c>
      <c r="C10" s="14">
        <v>568768</v>
      </c>
      <c r="D10" s="17">
        <f t="shared" si="0"/>
        <v>0.28822772653970902</v>
      </c>
      <c r="E10" s="21"/>
      <c r="F10" s="23"/>
    </row>
    <row r="11" spans="1:6" x14ac:dyDescent="0.3">
      <c r="A11" s="18" t="s">
        <v>60</v>
      </c>
      <c r="B11" s="14">
        <v>683972</v>
      </c>
      <c r="C11" s="14">
        <v>835217</v>
      </c>
      <c r="D11" s="17">
        <f t="shared" si="0"/>
        <v>0.22112747305445252</v>
      </c>
      <c r="E11" s="21"/>
      <c r="F11" s="23"/>
    </row>
    <row r="12" spans="1:6" x14ac:dyDescent="0.3">
      <c r="A12" s="18" t="s">
        <v>47</v>
      </c>
      <c r="B12" s="14">
        <v>545371</v>
      </c>
      <c r="C12" s="14">
        <v>570566</v>
      </c>
      <c r="D12" s="17">
        <f t="shared" si="0"/>
        <v>4.619790931310979E-2</v>
      </c>
      <c r="E12" s="21"/>
      <c r="F12" s="23"/>
    </row>
    <row r="13" spans="1:6" x14ac:dyDescent="0.3">
      <c r="A13" s="18" t="s">
        <v>24</v>
      </c>
      <c r="B13" s="14">
        <v>74187</v>
      </c>
      <c r="C13" s="14">
        <v>46578</v>
      </c>
      <c r="D13" s="17">
        <f t="shared" si="0"/>
        <v>-0.37215415099680538</v>
      </c>
      <c r="E13" s="21"/>
      <c r="F13" s="23"/>
    </row>
    <row r="14" spans="1:6" x14ac:dyDescent="0.3">
      <c r="A14" s="18" t="s">
        <v>25</v>
      </c>
      <c r="B14" s="14">
        <v>12730</v>
      </c>
      <c r="C14" s="14">
        <v>36178</v>
      </c>
      <c r="D14" s="17">
        <f t="shared" si="0"/>
        <v>1.8419481539670071</v>
      </c>
      <c r="E14" s="21"/>
      <c r="F14" s="23"/>
    </row>
    <row r="15" spans="1:6" x14ac:dyDescent="0.3">
      <c r="A15" s="18" t="s">
        <v>26</v>
      </c>
      <c r="B15" s="14">
        <v>2088372</v>
      </c>
      <c r="C15" s="14">
        <v>2339489</v>
      </c>
      <c r="D15" s="17">
        <f t="shared" si="0"/>
        <v>0.12024533943186368</v>
      </c>
      <c r="E15" s="21"/>
      <c r="F15" s="23"/>
    </row>
    <row r="16" spans="1:6" ht="15.75" thickBot="1" x14ac:dyDescent="0.35">
      <c r="A16" s="26" t="s">
        <v>27</v>
      </c>
      <c r="B16" s="27">
        <f>SUM(B7:B15)</f>
        <v>4788230</v>
      </c>
      <c r="C16" s="27">
        <f>SUM(C7:C15)</f>
        <v>5740920</v>
      </c>
      <c r="D16" s="45">
        <f t="shared" si="0"/>
        <v>0.19896496200057223</v>
      </c>
      <c r="E16" s="22"/>
      <c r="F16" s="23"/>
    </row>
    <row r="17" spans="1:6" x14ac:dyDescent="0.3">
      <c r="A17" s="1"/>
      <c r="E17" s="21"/>
      <c r="F17" s="23"/>
    </row>
    <row r="18" spans="1:6" x14ac:dyDescent="0.3">
      <c r="A18" s="6" t="s">
        <v>48</v>
      </c>
      <c r="B18" s="6">
        <v>2008</v>
      </c>
      <c r="C18" s="6">
        <v>2009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667919</v>
      </c>
      <c r="C19" s="14">
        <v>1052994</v>
      </c>
      <c r="D19" s="17">
        <f t="shared" ref="D19:D30" si="1">+(C19-B19)/B19</f>
        <v>0.57652948935424808</v>
      </c>
      <c r="E19" s="21"/>
      <c r="F19" s="23"/>
    </row>
    <row r="20" spans="1:6" x14ac:dyDescent="0.3">
      <c r="A20" s="18" t="s">
        <v>49</v>
      </c>
      <c r="B20" s="14">
        <v>145266</v>
      </c>
      <c r="C20" s="14">
        <v>119465</v>
      </c>
      <c r="D20" s="17">
        <f t="shared" si="1"/>
        <v>-0.17761210469070532</v>
      </c>
      <c r="E20" s="21"/>
      <c r="F20" s="23"/>
    </row>
    <row r="21" spans="1:6" x14ac:dyDescent="0.3">
      <c r="A21" s="18" t="s">
        <v>38</v>
      </c>
      <c r="B21" s="14">
        <v>217624</v>
      </c>
      <c r="C21" s="14">
        <v>311187</v>
      </c>
      <c r="D21" s="17">
        <f t="shared" si="1"/>
        <v>0.42992960335257141</v>
      </c>
      <c r="E21" s="21"/>
      <c r="F21" s="23"/>
    </row>
    <row r="22" spans="1:6" x14ac:dyDescent="0.3">
      <c r="A22" s="18" t="s">
        <v>30</v>
      </c>
      <c r="B22" s="14">
        <v>43411</v>
      </c>
      <c r="C22" s="14">
        <v>77747</v>
      </c>
      <c r="D22" s="17">
        <f t="shared" si="1"/>
        <v>0.7909516021284928</v>
      </c>
      <c r="E22" s="21"/>
      <c r="F22" s="23"/>
    </row>
    <row r="23" spans="1:6" x14ac:dyDescent="0.3">
      <c r="A23" s="18" t="s">
        <v>31</v>
      </c>
      <c r="B23" s="14">
        <v>43752</v>
      </c>
      <c r="C23" s="14">
        <v>61327</v>
      </c>
      <c r="D23" s="17">
        <f t="shared" si="1"/>
        <v>0.40169592247211555</v>
      </c>
      <c r="E23" s="21"/>
      <c r="F23" s="23"/>
    </row>
    <row r="24" spans="1:6" x14ac:dyDescent="0.3">
      <c r="A24" s="18" t="s">
        <v>32</v>
      </c>
      <c r="B24" s="14">
        <v>136815</v>
      </c>
      <c r="C24" s="14">
        <v>171393</v>
      </c>
      <c r="D24" s="17">
        <f t="shared" si="1"/>
        <v>0.25273544567481637</v>
      </c>
      <c r="E24" s="21"/>
      <c r="F24" s="23"/>
    </row>
    <row r="25" spans="1:6" x14ac:dyDescent="0.3">
      <c r="A25" s="18" t="s">
        <v>24</v>
      </c>
      <c r="B25" s="14">
        <v>77290</v>
      </c>
      <c r="C25" s="14">
        <v>35162</v>
      </c>
      <c r="D25" s="17">
        <f t="shared" si="1"/>
        <v>-0.5450640445076983</v>
      </c>
      <c r="E25" s="21"/>
      <c r="F25" s="23"/>
    </row>
    <row r="26" spans="1:6" x14ac:dyDescent="0.3">
      <c r="A26" s="18" t="s">
        <v>0</v>
      </c>
      <c r="B26" s="14">
        <v>1048</v>
      </c>
      <c r="C26" s="14">
        <v>2843</v>
      </c>
      <c r="D26" s="17">
        <f t="shared" si="1"/>
        <v>1.7127862595419847</v>
      </c>
      <c r="E26" s="21"/>
      <c r="F26" s="23"/>
    </row>
    <row r="27" spans="1:6" x14ac:dyDescent="0.3">
      <c r="A27" s="18" t="s">
        <v>33</v>
      </c>
      <c r="B27" s="14">
        <f>SUM(B19:B26)</f>
        <v>1333125</v>
      </c>
      <c r="C27" s="14">
        <f>SUM(C19:C26)</f>
        <v>1832118</v>
      </c>
      <c r="D27" s="17">
        <f t="shared" si="1"/>
        <v>0.37430323488045009</v>
      </c>
      <c r="E27" s="21"/>
      <c r="F27" s="23"/>
    </row>
    <row r="28" spans="1:6" x14ac:dyDescent="0.3">
      <c r="A28" s="18" t="s">
        <v>39</v>
      </c>
      <c r="B28" s="14">
        <v>2970</v>
      </c>
      <c r="C28" s="14">
        <v>2719</v>
      </c>
      <c r="D28" s="17">
        <f t="shared" si="1"/>
        <v>-8.451178451178451E-2</v>
      </c>
      <c r="E28" s="21"/>
      <c r="F28" s="23"/>
    </row>
    <row r="29" spans="1:6" x14ac:dyDescent="0.3">
      <c r="A29" s="32" t="s">
        <v>34</v>
      </c>
      <c r="B29" s="32">
        <v>3452135</v>
      </c>
      <c r="C29" s="32">
        <v>3906083</v>
      </c>
      <c r="D29" s="47">
        <f t="shared" si="1"/>
        <v>0.13149775428828825</v>
      </c>
      <c r="E29" s="22"/>
      <c r="F29" s="22"/>
    </row>
    <row r="30" spans="1:6" ht="15.75" thickBot="1" x14ac:dyDescent="0.35">
      <c r="A30" s="27" t="s">
        <v>35</v>
      </c>
      <c r="B30" s="27">
        <f>+B27+B28+B29</f>
        <v>4788230</v>
      </c>
      <c r="C30" s="27">
        <f>+C27+C28+C29</f>
        <v>5740920</v>
      </c>
      <c r="D30" s="45">
        <f t="shared" si="1"/>
        <v>0.19896496200057223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7" x14ac:dyDescent="0.3">
      <c r="A33" s="41" t="s">
        <v>66</v>
      </c>
      <c r="B33" s="14"/>
      <c r="C33" s="14"/>
      <c r="D33" s="17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2008</v>
      </c>
      <c r="C36" s="6" t="s">
        <v>55</v>
      </c>
      <c r="D36" s="6">
        <v>2009</v>
      </c>
      <c r="E36" s="6" t="s">
        <v>55</v>
      </c>
      <c r="F36" s="7" t="s">
        <v>46</v>
      </c>
    </row>
    <row r="37" spans="1:7" s="9" customFormat="1" x14ac:dyDescent="0.3">
      <c r="A37" s="30" t="s">
        <v>4</v>
      </c>
      <c r="B37" s="50">
        <v>876511</v>
      </c>
      <c r="C37" s="42">
        <v>1</v>
      </c>
      <c r="D37" s="50">
        <v>1043130</v>
      </c>
      <c r="E37" s="42">
        <v>1</v>
      </c>
      <c r="F37" s="17">
        <f>IF(B37&lt;&gt;0,(D37-B37)/B37,0)</f>
        <v>0.19009345005367873</v>
      </c>
      <c r="G37" s="8"/>
    </row>
    <row r="38" spans="1:7" x14ac:dyDescent="0.3">
      <c r="A38" s="14" t="s">
        <v>50</v>
      </c>
      <c r="B38" s="51">
        <v>-508099</v>
      </c>
      <c r="C38" s="17">
        <f t="shared" ref="C38:C55" si="2">+B38/$B$37</f>
        <v>-0.57968354076560358</v>
      </c>
      <c r="D38" s="51">
        <v>-640419</v>
      </c>
      <c r="E38" s="17">
        <f>+D38/$D$37</f>
        <v>-0.61393977740070749</v>
      </c>
      <c r="F38" s="17">
        <f t="shared" ref="F38:F53" si="3">IF(B38&lt;&gt;0,(D38-B38)/B38,0)</f>
        <v>0.26042168947390176</v>
      </c>
    </row>
    <row r="39" spans="1:7" s="9" customFormat="1" x14ac:dyDescent="0.3">
      <c r="A39" s="30" t="s">
        <v>6</v>
      </c>
      <c r="B39" s="30">
        <f>SUM(B37:B38)</f>
        <v>368412</v>
      </c>
      <c r="C39" s="42">
        <f t="shared" si="2"/>
        <v>0.42031645923439637</v>
      </c>
      <c r="D39" s="30">
        <f>SUM(D37:D38)</f>
        <v>402711</v>
      </c>
      <c r="E39" s="42">
        <f t="shared" ref="E39:E55" si="4">+D39/$D$37</f>
        <v>0.38606022259929251</v>
      </c>
      <c r="F39" s="17">
        <f t="shared" si="3"/>
        <v>9.3099573303801184E-2</v>
      </c>
      <c r="G39" s="8"/>
    </row>
    <row r="40" spans="1:7" x14ac:dyDescent="0.3">
      <c r="A40" s="14" t="s">
        <v>7</v>
      </c>
      <c r="B40" s="14">
        <v>-40216</v>
      </c>
      <c r="C40" s="17">
        <f t="shared" si="2"/>
        <v>-4.588191135079879E-2</v>
      </c>
      <c r="D40" s="14">
        <v>-50616</v>
      </c>
      <c r="E40" s="17">
        <f t="shared" si="4"/>
        <v>-4.8523194616203157E-2</v>
      </c>
      <c r="F40" s="17">
        <f t="shared" si="3"/>
        <v>0.25860354087925203</v>
      </c>
    </row>
    <row r="41" spans="1:7" x14ac:dyDescent="0.3">
      <c r="A41" s="14" t="s">
        <v>8</v>
      </c>
      <c r="B41" s="14">
        <v>-217362</v>
      </c>
      <c r="C41" s="17">
        <f t="shared" si="2"/>
        <v>-0.24798547879034033</v>
      </c>
      <c r="D41" s="14">
        <v>-250667</v>
      </c>
      <c r="E41" s="17">
        <f t="shared" si="4"/>
        <v>-0.24030274270704513</v>
      </c>
      <c r="F41" s="17">
        <f t="shared" si="3"/>
        <v>0.15322365454863315</v>
      </c>
    </row>
    <row r="42" spans="1:7" s="9" customFormat="1" x14ac:dyDescent="0.3">
      <c r="A42" s="30" t="s">
        <v>9</v>
      </c>
      <c r="B42" s="30">
        <f>SUM(B40:B41)</f>
        <v>-257578</v>
      </c>
      <c r="C42" s="42">
        <f t="shared" si="2"/>
        <v>-0.29386739014113911</v>
      </c>
      <c r="D42" s="30">
        <f>SUM(D40:D41)</f>
        <v>-301283</v>
      </c>
      <c r="E42" s="42">
        <f t="shared" si="4"/>
        <v>-0.28882593732324829</v>
      </c>
      <c r="F42" s="17">
        <f t="shared" si="3"/>
        <v>0.16967675810822352</v>
      </c>
      <c r="G42" s="8"/>
    </row>
    <row r="43" spans="1:7" s="9" customFormat="1" x14ac:dyDescent="0.3">
      <c r="A43" s="30" t="s">
        <v>1</v>
      </c>
      <c r="B43" s="30">
        <f>+B39+B42</f>
        <v>110834</v>
      </c>
      <c r="C43" s="42">
        <f t="shared" si="2"/>
        <v>0.12644906909325723</v>
      </c>
      <c r="D43" s="30">
        <f>+D39+D42</f>
        <v>101428</v>
      </c>
      <c r="E43" s="42">
        <f t="shared" si="4"/>
        <v>9.7234285276044219E-2</v>
      </c>
      <c r="F43" s="17">
        <f t="shared" si="3"/>
        <v>-8.4865654943428917E-2</v>
      </c>
      <c r="G43" s="8"/>
    </row>
    <row r="44" spans="1:7" x14ac:dyDescent="0.3">
      <c r="A44" s="14" t="s">
        <v>51</v>
      </c>
      <c r="B44" s="14">
        <v>3285</v>
      </c>
      <c r="C44" s="17">
        <f t="shared" si="2"/>
        <v>3.7478137752977431E-3</v>
      </c>
      <c r="D44" s="14">
        <v>3136</v>
      </c>
      <c r="E44" s="17">
        <f t="shared" si="4"/>
        <v>3.0063366982063596E-3</v>
      </c>
      <c r="F44" s="17">
        <f t="shared" si="3"/>
        <v>-4.5357686453576865E-2</v>
      </c>
    </row>
    <row r="45" spans="1:7" x14ac:dyDescent="0.3">
      <c r="A45" s="14" t="s">
        <v>11</v>
      </c>
      <c r="B45" s="14">
        <f>-11529-7724</f>
        <v>-19253</v>
      </c>
      <c r="C45" s="17">
        <f t="shared" si="2"/>
        <v>-2.1965497295527381E-2</v>
      </c>
      <c r="D45" s="14">
        <f>-24890-6385</f>
        <v>-31275</v>
      </c>
      <c r="E45" s="17">
        <f t="shared" si="4"/>
        <v>-2.9981881452934917E-2</v>
      </c>
      <c r="F45" s="17">
        <f t="shared" si="3"/>
        <v>0.62442216797382222</v>
      </c>
    </row>
    <row r="46" spans="1:7" x14ac:dyDescent="0.3">
      <c r="A46" s="14" t="s">
        <v>12</v>
      </c>
      <c r="B46" s="14">
        <v>6516</v>
      </c>
      <c r="C46" s="17">
        <f t="shared" si="2"/>
        <v>7.4340196529193584E-3</v>
      </c>
      <c r="D46" s="14">
        <v>5091</v>
      </c>
      <c r="E46" s="17">
        <f t="shared" si="4"/>
        <v>4.8805038681660005E-3</v>
      </c>
      <c r="F46" s="17">
        <f t="shared" si="3"/>
        <v>-0.21869244935543278</v>
      </c>
    </row>
    <row r="47" spans="1:7" x14ac:dyDescent="0.3">
      <c r="A47" s="14" t="s">
        <v>52</v>
      </c>
      <c r="B47" s="14">
        <f>-24535-54983-8944-796</f>
        <v>-89258</v>
      </c>
      <c r="C47" s="17">
        <f t="shared" si="2"/>
        <v>-0.10183329131066239</v>
      </c>
      <c r="D47" s="14">
        <f>-575-28102+10198</f>
        <v>-18479</v>
      </c>
      <c r="E47" s="17">
        <f t="shared" si="4"/>
        <v>-1.7714954032575038E-2</v>
      </c>
      <c r="F47" s="17">
        <f t="shared" si="3"/>
        <v>-0.79297093817921083</v>
      </c>
    </row>
    <row r="48" spans="1:7" x14ac:dyDescent="0.3">
      <c r="A48" s="14" t="s">
        <v>14</v>
      </c>
      <c r="B48" s="14">
        <v>6007</v>
      </c>
      <c r="C48" s="17">
        <f t="shared" si="2"/>
        <v>6.853308172972159E-3</v>
      </c>
      <c r="D48" s="14">
        <v>6237</v>
      </c>
      <c r="E48" s="17">
        <f t="shared" si="4"/>
        <v>5.9791205314773804E-3</v>
      </c>
      <c r="F48" s="17">
        <f t="shared" si="3"/>
        <v>3.8288663226236058E-2</v>
      </c>
    </row>
    <row r="49" spans="1:7" x14ac:dyDescent="0.3">
      <c r="A49" s="14" t="s">
        <v>16</v>
      </c>
      <c r="B49" s="14">
        <v>80487</v>
      </c>
      <c r="C49" s="17">
        <f t="shared" si="2"/>
        <v>9.1826571486267716E-2</v>
      </c>
      <c r="D49" s="14">
        <v>0</v>
      </c>
      <c r="E49" s="17">
        <f t="shared" si="4"/>
        <v>0</v>
      </c>
      <c r="F49" s="17">
        <f t="shared" si="3"/>
        <v>-1</v>
      </c>
    </row>
    <row r="50" spans="1:7" s="9" customFormat="1" x14ac:dyDescent="0.3">
      <c r="A50" s="30" t="s">
        <v>2</v>
      </c>
      <c r="B50" s="30">
        <f>SUM(B44:B49)</f>
        <v>-12216</v>
      </c>
      <c r="C50" s="42">
        <f t="shared" si="2"/>
        <v>-1.3937075518732795E-2</v>
      </c>
      <c r="D50" s="30">
        <f>SUM(D44:D49)</f>
        <v>-35290</v>
      </c>
      <c r="E50" s="42">
        <f t="shared" si="4"/>
        <v>-3.3830874387660213E-2</v>
      </c>
      <c r="F50" s="17">
        <f t="shared" si="3"/>
        <v>1.8888343156516045</v>
      </c>
      <c r="G50" s="8"/>
    </row>
    <row r="51" spans="1:7" s="9" customFormat="1" x14ac:dyDescent="0.3">
      <c r="A51" s="30" t="s">
        <v>41</v>
      </c>
      <c r="B51" s="30">
        <f>+B43+B50</f>
        <v>98618</v>
      </c>
      <c r="C51" s="42">
        <f t="shared" si="2"/>
        <v>0.11251199357452445</v>
      </c>
      <c r="D51" s="30">
        <f>+D43+D50</f>
        <v>66138</v>
      </c>
      <c r="E51" s="42">
        <f t="shared" si="4"/>
        <v>6.3403410888383999E-2</v>
      </c>
      <c r="F51" s="17">
        <f t="shared" si="3"/>
        <v>-0.32935163966010261</v>
      </c>
      <c r="G51" s="8"/>
    </row>
    <row r="52" spans="1:7" x14ac:dyDescent="0.3">
      <c r="A52" s="14" t="s">
        <v>15</v>
      </c>
      <c r="B52" s="14">
        <v>-34040</v>
      </c>
      <c r="C52" s="17">
        <f t="shared" si="2"/>
        <v>-3.8835793275840233E-2</v>
      </c>
      <c r="D52" s="14">
        <v>-21803</v>
      </c>
      <c r="E52" s="17">
        <f t="shared" si="4"/>
        <v>-2.0901517548148361E-2</v>
      </c>
      <c r="F52" s="17">
        <f t="shared" si="3"/>
        <v>-0.35948883666274972</v>
      </c>
    </row>
    <row r="53" spans="1:7" x14ac:dyDescent="0.3">
      <c r="A53" s="14" t="s">
        <v>18</v>
      </c>
      <c r="B53" s="14">
        <v>-94</v>
      </c>
      <c r="C53" s="17">
        <f t="shared" si="2"/>
        <v>-1.0724337743622156E-4</v>
      </c>
      <c r="D53" s="14">
        <v>-79</v>
      </c>
      <c r="E53" s="17">
        <f t="shared" si="4"/>
        <v>-7.573360942547909E-5</v>
      </c>
      <c r="F53" s="17">
        <f t="shared" si="3"/>
        <v>-0.15957446808510639</v>
      </c>
    </row>
    <row r="54" spans="1:7" s="9" customFormat="1" x14ac:dyDescent="0.3">
      <c r="A54" s="43" t="s">
        <v>17</v>
      </c>
      <c r="B54" s="43">
        <f>+B51+B52+B53</f>
        <v>64484</v>
      </c>
      <c r="C54" s="44">
        <f t="shared" si="2"/>
        <v>7.3568956921247999E-2</v>
      </c>
      <c r="D54" s="43">
        <f>+D51+D52+D53</f>
        <v>44256</v>
      </c>
      <c r="E54" s="44">
        <f t="shared" si="4"/>
        <v>4.242615973081016E-2</v>
      </c>
      <c r="F54" s="44">
        <f>+(D54-B54)/B54</f>
        <v>-0.31369021772842876</v>
      </c>
      <c r="G54" s="8"/>
    </row>
    <row r="55" spans="1:7" s="9" customFormat="1" ht="15.75" thickBot="1" x14ac:dyDescent="0.35">
      <c r="A55" s="27" t="s">
        <v>19</v>
      </c>
      <c r="B55" s="27">
        <v>134654</v>
      </c>
      <c r="C55" s="45">
        <f t="shared" si="2"/>
        <v>0.15362499729039339</v>
      </c>
      <c r="D55" s="27">
        <v>123893</v>
      </c>
      <c r="E55" s="45">
        <f t="shared" si="4"/>
        <v>0.11877043129811241</v>
      </c>
      <c r="F55" s="45">
        <f>+(D55-B55)/B55</f>
        <v>-7.9915932686737856E-2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7"/>
    </row>
    <row r="58" spans="1:7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" zoomScale="86" zoomScaleNormal="86" workbookViewId="0">
      <selection activeCell="F19" sqref="F19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28.5703125" style="11" bestFit="1" customWidth="1"/>
    <col min="8" max="8" width="11.5703125" style="5" bestFit="1" customWidth="1"/>
    <col min="9" max="16384" width="11.42578125" style="5"/>
  </cols>
  <sheetData>
    <row r="1" spans="1:11" x14ac:dyDescent="0.3">
      <c r="A1" s="24" t="s">
        <v>69</v>
      </c>
    </row>
    <row r="2" spans="1:11" x14ac:dyDescent="0.3">
      <c r="A2" s="24" t="s">
        <v>77</v>
      </c>
    </row>
    <row r="3" spans="1:11" x14ac:dyDescent="0.3">
      <c r="A3" s="24" t="s">
        <v>44</v>
      </c>
    </row>
    <row r="4" spans="1:11" x14ac:dyDescent="0.3">
      <c r="A4" s="24" t="s">
        <v>45</v>
      </c>
    </row>
    <row r="5" spans="1:11" ht="12" customHeight="1" x14ac:dyDescent="0.3">
      <c r="G5" s="5"/>
    </row>
    <row r="6" spans="1:11" x14ac:dyDescent="0.3">
      <c r="A6" s="6" t="s">
        <v>20</v>
      </c>
      <c r="B6" s="6">
        <v>2008</v>
      </c>
      <c r="C6" s="6">
        <v>2009</v>
      </c>
      <c r="D6" s="7" t="s">
        <v>46</v>
      </c>
      <c r="G6" s="5"/>
    </row>
    <row r="7" spans="1:11" x14ac:dyDescent="0.3">
      <c r="A7" s="18" t="s">
        <v>21</v>
      </c>
      <c r="B7" s="14">
        <v>225</v>
      </c>
      <c r="C7" s="14">
        <v>218</v>
      </c>
      <c r="D7" s="17">
        <f t="shared" ref="D7:D13" si="0">IF(B7&lt;&gt;0,(C7-B7)/B7,0)</f>
        <v>-3.111111111111111E-2</v>
      </c>
      <c r="G7" s="5"/>
    </row>
    <row r="8" spans="1:11" x14ac:dyDescent="0.3">
      <c r="A8" s="18" t="s">
        <v>22</v>
      </c>
      <c r="B8" s="14">
        <v>2777079.4338039998</v>
      </c>
      <c r="C8" s="14">
        <v>3356934</v>
      </c>
      <c r="D8" s="17">
        <f t="shared" si="0"/>
        <v>0.20880013698481953</v>
      </c>
      <c r="G8" s="5"/>
    </row>
    <row r="9" spans="1:11" s="11" customFormat="1" x14ac:dyDescent="0.3">
      <c r="A9" s="18" t="s">
        <v>23</v>
      </c>
      <c r="B9" s="14">
        <v>56394</v>
      </c>
      <c r="C9" s="14">
        <v>42902</v>
      </c>
      <c r="D9" s="17">
        <f t="shared" si="0"/>
        <v>-0.23924530978472888</v>
      </c>
      <c r="E9" s="5"/>
      <c r="F9" s="5"/>
      <c r="G9" s="5"/>
      <c r="H9" s="5"/>
      <c r="I9" s="5"/>
      <c r="J9" s="5"/>
      <c r="K9" s="5"/>
    </row>
    <row r="10" spans="1:11" s="11" customFormat="1" x14ac:dyDescent="0.3">
      <c r="A10" s="18" t="s">
        <v>37</v>
      </c>
      <c r="B10" s="14">
        <v>19</v>
      </c>
      <c r="C10" s="14">
        <v>0</v>
      </c>
      <c r="D10" s="17">
        <f t="shared" si="0"/>
        <v>-1</v>
      </c>
      <c r="E10" s="5"/>
      <c r="F10" s="5"/>
      <c r="G10" s="5"/>
      <c r="H10" s="5"/>
      <c r="I10" s="5"/>
      <c r="J10" s="5"/>
      <c r="K10" s="5"/>
    </row>
    <row r="11" spans="1:11" s="11" customFormat="1" x14ac:dyDescent="0.3">
      <c r="A11" s="18" t="s">
        <v>59</v>
      </c>
      <c r="B11" s="14">
        <v>209</v>
      </c>
      <c r="C11" s="14">
        <f>155+54</f>
        <v>209</v>
      </c>
      <c r="D11" s="17">
        <f t="shared" si="0"/>
        <v>0</v>
      </c>
      <c r="E11" s="5"/>
      <c r="F11" s="5"/>
      <c r="G11" s="5"/>
      <c r="H11" s="5"/>
      <c r="I11" s="5"/>
      <c r="J11" s="5"/>
      <c r="K11" s="5"/>
    </row>
    <row r="12" spans="1:11" s="11" customFormat="1" x14ac:dyDescent="0.3">
      <c r="A12" s="18" t="s">
        <v>26</v>
      </c>
      <c r="B12" s="14">
        <v>937125</v>
      </c>
      <c r="C12" s="14">
        <v>1132757</v>
      </c>
      <c r="D12" s="17">
        <f t="shared" si="0"/>
        <v>0.2087576363878885</v>
      </c>
      <c r="E12" s="5"/>
      <c r="F12" s="5"/>
      <c r="G12" s="5"/>
      <c r="H12" s="5"/>
      <c r="I12" s="5"/>
      <c r="J12" s="5"/>
      <c r="K12" s="5"/>
    </row>
    <row r="13" spans="1:11" s="11" customFormat="1" ht="15.75" thickBot="1" x14ac:dyDescent="0.35">
      <c r="A13" s="26" t="s">
        <v>27</v>
      </c>
      <c r="B13" s="27">
        <f>SUM(B7:B12)</f>
        <v>3771051.4338039998</v>
      </c>
      <c r="C13" s="27">
        <f>SUM(C7:C12)</f>
        <v>4533020</v>
      </c>
      <c r="D13" s="46">
        <f t="shared" si="0"/>
        <v>0.2020573252768855</v>
      </c>
      <c r="E13" s="5"/>
      <c r="F13" s="5"/>
      <c r="G13" s="5"/>
      <c r="H13" s="5"/>
      <c r="I13" s="5"/>
      <c r="J13" s="5"/>
      <c r="K13" s="5"/>
    </row>
    <row r="14" spans="1:11" x14ac:dyDescent="0.3">
      <c r="G14" s="5"/>
    </row>
    <row r="15" spans="1:11" s="11" customFormat="1" x14ac:dyDescent="0.3">
      <c r="A15" s="6" t="s">
        <v>48</v>
      </c>
      <c r="B15" s="6">
        <v>2008</v>
      </c>
      <c r="C15" s="6">
        <v>2009</v>
      </c>
      <c r="D15" s="7" t="s">
        <v>46</v>
      </c>
      <c r="E15" s="5"/>
      <c r="F15" s="5"/>
      <c r="G15" s="5"/>
      <c r="H15" s="5"/>
      <c r="I15" s="5"/>
      <c r="J15" s="5"/>
      <c r="K15" s="5"/>
    </row>
    <row r="16" spans="1:11" s="11" customFormat="1" x14ac:dyDescent="0.3">
      <c r="A16" s="18" t="s">
        <v>28</v>
      </c>
      <c r="B16" s="14">
        <v>7016</v>
      </c>
      <c r="C16" s="14">
        <v>38</v>
      </c>
      <c r="D16" s="17">
        <f t="shared" ref="D16:D24" si="1">IF(B16&lt;&gt;0,(C16-B16)/B16,0)</f>
        <v>-0.99458380843785632</v>
      </c>
      <c r="E16" s="5"/>
      <c r="F16" s="5"/>
      <c r="G16" s="5"/>
      <c r="H16" s="5"/>
      <c r="I16" s="5"/>
      <c r="J16" s="5"/>
      <c r="K16" s="5"/>
    </row>
    <row r="17" spans="1:11" s="11" customFormat="1" x14ac:dyDescent="0.3">
      <c r="A17" s="18" t="s">
        <v>29</v>
      </c>
      <c r="B17" s="14">
        <v>131788</v>
      </c>
      <c r="C17" s="14">
        <v>171516</v>
      </c>
      <c r="D17" s="17">
        <f t="shared" si="1"/>
        <v>0.30145385012292469</v>
      </c>
      <c r="E17" s="5"/>
      <c r="F17" s="5"/>
      <c r="G17" s="5"/>
      <c r="H17" s="5"/>
      <c r="I17" s="5"/>
      <c r="J17" s="5"/>
      <c r="K17" s="5"/>
    </row>
    <row r="18" spans="1:11" x14ac:dyDescent="0.3">
      <c r="A18" s="18" t="s">
        <v>30</v>
      </c>
      <c r="B18" s="14">
        <v>739</v>
      </c>
      <c r="C18" s="14">
        <v>2009</v>
      </c>
      <c r="D18" s="17">
        <f t="shared" si="1"/>
        <v>1.7185385656292287</v>
      </c>
      <c r="G18" s="5"/>
    </row>
    <row r="19" spans="1:11" x14ac:dyDescent="0.3">
      <c r="A19" s="18" t="s">
        <v>31</v>
      </c>
      <c r="B19" s="14">
        <v>111</v>
      </c>
      <c r="C19" s="14">
        <v>176</v>
      </c>
      <c r="D19" s="17">
        <f t="shared" si="1"/>
        <v>0.5855855855855856</v>
      </c>
      <c r="G19" s="5"/>
    </row>
    <row r="20" spans="1:11" x14ac:dyDescent="0.3">
      <c r="A20" s="18" t="s">
        <v>32</v>
      </c>
      <c r="B20" s="14">
        <v>876</v>
      </c>
      <c r="C20" s="14">
        <v>939</v>
      </c>
      <c r="D20" s="17">
        <f t="shared" si="1"/>
        <v>7.1917808219178078E-2</v>
      </c>
      <c r="G20" s="5"/>
    </row>
    <row r="21" spans="1:11" x14ac:dyDescent="0.3">
      <c r="A21" s="18" t="s">
        <v>24</v>
      </c>
      <c r="B21" s="14">
        <v>8802</v>
      </c>
      <c r="C21" s="14">
        <v>9538</v>
      </c>
      <c r="D21" s="17">
        <f t="shared" si="1"/>
        <v>8.3617359690979318E-2</v>
      </c>
      <c r="G21" s="5"/>
    </row>
    <row r="22" spans="1:11" s="9" customFormat="1" x14ac:dyDescent="0.3">
      <c r="A22" s="29" t="s">
        <v>33</v>
      </c>
      <c r="B22" s="30">
        <f>SUM(B16:B21)</f>
        <v>149332</v>
      </c>
      <c r="C22" s="30">
        <f>SUM(C16:C21)</f>
        <v>184216</v>
      </c>
      <c r="D22" s="42">
        <f t="shared" si="1"/>
        <v>0.23360030000267859</v>
      </c>
      <c r="F22" s="5"/>
      <c r="G22" s="5"/>
      <c r="H22" s="5"/>
      <c r="I22" s="5"/>
      <c r="J22" s="5"/>
      <c r="K22" s="5"/>
    </row>
    <row r="23" spans="1:11" s="9" customFormat="1" x14ac:dyDescent="0.3">
      <c r="A23" s="31" t="s">
        <v>34</v>
      </c>
      <c r="B23" s="32">
        <v>3621719.4338039998</v>
      </c>
      <c r="C23" s="32">
        <v>4348804</v>
      </c>
      <c r="D23" s="47">
        <f t="shared" si="1"/>
        <v>0.20075673433166014</v>
      </c>
      <c r="F23" s="5"/>
      <c r="G23" s="5"/>
      <c r="H23" s="5"/>
      <c r="I23" s="5"/>
      <c r="J23" s="5"/>
      <c r="K23" s="5"/>
    </row>
    <row r="24" spans="1:11" s="9" customFormat="1" ht="15.75" thickBot="1" x14ac:dyDescent="0.35">
      <c r="A24" s="26" t="s">
        <v>35</v>
      </c>
      <c r="B24" s="27">
        <f>+B22+B23</f>
        <v>3771051.4338039998</v>
      </c>
      <c r="C24" s="27">
        <f>+C22+C23</f>
        <v>4533020</v>
      </c>
      <c r="D24" s="45">
        <f t="shared" si="1"/>
        <v>0.2020573252768855</v>
      </c>
      <c r="F24" s="5"/>
      <c r="G24" s="5"/>
      <c r="H24" s="5"/>
      <c r="I24" s="5"/>
      <c r="J24" s="5"/>
      <c r="K24" s="5"/>
    </row>
    <row r="25" spans="1:11" x14ac:dyDescent="0.3">
      <c r="A25" s="18" t="s">
        <v>54</v>
      </c>
      <c r="B25" s="14">
        <v>435123458</v>
      </c>
      <c r="C25" s="14">
        <v>435123458</v>
      </c>
      <c r="D25" s="17"/>
      <c r="G25" s="5"/>
    </row>
    <row r="26" spans="1:11" x14ac:dyDescent="0.3">
      <c r="A26" s="18" t="s">
        <v>71</v>
      </c>
      <c r="B26" s="33">
        <f>+B23/+(B25/1000000)</f>
        <v>8323.4295168797798</v>
      </c>
      <c r="C26" s="33">
        <f>+C23/+(C25/1000000)</f>
        <v>9994.4140451283129</v>
      </c>
      <c r="D26" s="17"/>
      <c r="G26" s="5"/>
    </row>
    <row r="27" spans="1:11" x14ac:dyDescent="0.3">
      <c r="G27" s="5"/>
    </row>
    <row r="28" spans="1:11" x14ac:dyDescent="0.3">
      <c r="A28" s="6" t="s">
        <v>70</v>
      </c>
      <c r="B28" s="6">
        <v>2008</v>
      </c>
      <c r="C28" s="6">
        <v>2009</v>
      </c>
      <c r="D28" s="6" t="s">
        <v>46</v>
      </c>
      <c r="G28" s="5"/>
    </row>
    <row r="29" spans="1:11" x14ac:dyDescent="0.3">
      <c r="A29" s="19" t="s">
        <v>64</v>
      </c>
      <c r="B29" s="17"/>
      <c r="C29" s="17"/>
      <c r="D29" s="34"/>
      <c r="G29" s="5"/>
    </row>
    <row r="30" spans="1:11" x14ac:dyDescent="0.3">
      <c r="A30" s="19" t="s">
        <v>44</v>
      </c>
      <c r="B30" s="17"/>
      <c r="C30" s="17"/>
      <c r="D30" s="34"/>
      <c r="G30" s="5"/>
    </row>
    <row r="31" spans="1:11" x14ac:dyDescent="0.3">
      <c r="A31" s="19" t="s">
        <v>45</v>
      </c>
      <c r="B31" s="17"/>
      <c r="C31" s="17"/>
      <c r="D31" s="34"/>
      <c r="G31" s="5"/>
    </row>
    <row r="32" spans="1:11" s="9" customFormat="1" x14ac:dyDescent="0.3">
      <c r="A32" s="19" t="s">
        <v>72</v>
      </c>
      <c r="B32" s="30">
        <v>128668</v>
      </c>
      <c r="C32" s="30">
        <v>95622</v>
      </c>
      <c r="D32" s="17">
        <f>IF(B32&lt;&gt;0,(C32-B32)/B32,0)</f>
        <v>-0.25683153542450338</v>
      </c>
      <c r="F32" s="5"/>
      <c r="G32" s="5"/>
      <c r="H32" s="5"/>
      <c r="I32" s="5"/>
      <c r="J32" s="5"/>
      <c r="K32" s="5"/>
    </row>
    <row r="33" spans="1:11" x14ac:dyDescent="0.3">
      <c r="A33" s="19" t="s">
        <v>5</v>
      </c>
      <c r="B33" s="14">
        <v>2704</v>
      </c>
      <c r="C33" s="14">
        <v>0</v>
      </c>
      <c r="D33" s="17">
        <f t="shared" ref="D33:D43" si="2">IF(B33&lt;&gt;0,(C33-B33)/B33,0)</f>
        <v>-1</v>
      </c>
      <c r="G33" s="5"/>
    </row>
    <row r="34" spans="1:11" s="9" customFormat="1" x14ac:dyDescent="0.3">
      <c r="A34" s="19" t="s">
        <v>57</v>
      </c>
      <c r="B34" s="14">
        <v>8877</v>
      </c>
      <c r="C34" s="14">
        <v>6621</v>
      </c>
      <c r="D34" s="17">
        <f t="shared" si="2"/>
        <v>-0.25413991213247716</v>
      </c>
      <c r="F34" s="5"/>
      <c r="G34" s="5"/>
      <c r="H34" s="5"/>
      <c r="I34" s="5"/>
      <c r="J34" s="5"/>
      <c r="K34" s="5"/>
    </row>
    <row r="35" spans="1:11" s="9" customFormat="1" x14ac:dyDescent="0.3">
      <c r="A35" s="19" t="s">
        <v>56</v>
      </c>
      <c r="B35" s="14">
        <v>2674</v>
      </c>
      <c r="C35" s="14">
        <v>3478</v>
      </c>
      <c r="D35" s="17">
        <f t="shared" si="2"/>
        <v>0.30067314884068813</v>
      </c>
      <c r="F35" s="5"/>
      <c r="G35" s="5"/>
      <c r="H35" s="5"/>
      <c r="I35" s="5"/>
      <c r="J35" s="5"/>
      <c r="K35" s="5"/>
    </row>
    <row r="36" spans="1:11" s="9" customFormat="1" x14ac:dyDescent="0.3">
      <c r="A36" s="35" t="s">
        <v>4</v>
      </c>
      <c r="B36" s="30">
        <f>SUM(B32:B35)</f>
        <v>142923</v>
      </c>
      <c r="C36" s="30">
        <f>SUM(C32:C35)</f>
        <v>105721</v>
      </c>
      <c r="D36" s="17">
        <f t="shared" si="2"/>
        <v>-0.26029400446394213</v>
      </c>
      <c r="F36" s="5"/>
      <c r="G36" s="5"/>
      <c r="H36" s="5"/>
      <c r="I36" s="5"/>
      <c r="J36" s="5"/>
      <c r="K36" s="5"/>
    </row>
    <row r="37" spans="1:11" x14ac:dyDescent="0.3">
      <c r="A37" s="19" t="s">
        <v>58</v>
      </c>
      <c r="B37" s="14">
        <v>-3759</v>
      </c>
      <c r="C37" s="14">
        <v>-4731</v>
      </c>
      <c r="D37" s="17">
        <f t="shared" si="2"/>
        <v>0.25857940941739826</v>
      </c>
      <c r="G37" s="5"/>
    </row>
    <row r="38" spans="1:11" s="9" customFormat="1" x14ac:dyDescent="0.3">
      <c r="A38" s="35" t="s">
        <v>42</v>
      </c>
      <c r="B38" s="30">
        <f>SUM(B36:B37)</f>
        <v>139164</v>
      </c>
      <c r="C38" s="30">
        <f>SUM(C36:C37)</f>
        <v>100990</v>
      </c>
      <c r="D38" s="17">
        <f t="shared" si="2"/>
        <v>-0.27430944784570721</v>
      </c>
      <c r="F38" s="5"/>
      <c r="G38" s="5"/>
      <c r="H38" s="5"/>
      <c r="I38" s="5"/>
      <c r="J38" s="5"/>
      <c r="K38" s="5"/>
    </row>
    <row r="39" spans="1:11" s="9" customFormat="1" x14ac:dyDescent="0.3">
      <c r="A39" s="19" t="s">
        <v>10</v>
      </c>
      <c r="B39" s="14">
        <v>437</v>
      </c>
      <c r="C39" s="14">
        <v>141</v>
      </c>
      <c r="D39" s="17">
        <f t="shared" si="2"/>
        <v>-0.67734553775743711</v>
      </c>
      <c r="F39" s="5"/>
      <c r="G39" s="5"/>
      <c r="H39" s="5"/>
      <c r="I39" s="5"/>
      <c r="J39" s="5"/>
      <c r="K39" s="5"/>
    </row>
    <row r="40" spans="1:11" x14ac:dyDescent="0.3">
      <c r="A40" s="19" t="s">
        <v>13</v>
      </c>
      <c r="B40" s="14">
        <v>-597</v>
      </c>
      <c r="C40" s="14">
        <v>-96</v>
      </c>
      <c r="D40" s="17">
        <f t="shared" si="2"/>
        <v>-0.83919597989949746</v>
      </c>
      <c r="G40" s="5"/>
    </row>
    <row r="41" spans="1:11" s="9" customFormat="1" x14ac:dyDescent="0.3">
      <c r="A41" s="35" t="s">
        <v>43</v>
      </c>
      <c r="B41" s="30">
        <f>SUM(B38:B40)</f>
        <v>139004</v>
      </c>
      <c r="C41" s="30">
        <f>SUM(C38:C40)</f>
        <v>101035</v>
      </c>
      <c r="D41" s="17">
        <f t="shared" si="2"/>
        <v>-0.27315041293775721</v>
      </c>
      <c r="F41" s="5"/>
      <c r="G41" s="5"/>
      <c r="H41" s="5"/>
      <c r="I41" s="5"/>
      <c r="J41" s="5"/>
      <c r="K41" s="5"/>
    </row>
    <row r="42" spans="1:11" x14ac:dyDescent="0.3">
      <c r="A42" s="19" t="s">
        <v>15</v>
      </c>
      <c r="B42" s="14">
        <v>-96</v>
      </c>
      <c r="C42" s="14">
        <v>-103</v>
      </c>
      <c r="D42" s="17">
        <f t="shared" si="2"/>
        <v>7.2916666666666671E-2</v>
      </c>
      <c r="G42" s="5"/>
    </row>
    <row r="43" spans="1:11" ht="15.75" thickBot="1" x14ac:dyDescent="0.35">
      <c r="A43" s="36" t="s">
        <v>17</v>
      </c>
      <c r="B43" s="37">
        <f>SUM(B41:B42)</f>
        <v>138908</v>
      </c>
      <c r="C43" s="37">
        <f>SUM(C41:C42)</f>
        <v>100932</v>
      </c>
      <c r="D43" s="45">
        <f t="shared" si="2"/>
        <v>-0.27338958159357274</v>
      </c>
      <c r="G43" s="5"/>
    </row>
    <row r="44" spans="1:11" x14ac:dyDescent="0.3">
      <c r="G44" s="5"/>
    </row>
    <row r="45" spans="1:11" x14ac:dyDescent="0.3">
      <c r="A45" s="19" t="s">
        <v>79</v>
      </c>
      <c r="B45" s="14"/>
      <c r="C45" s="14"/>
      <c r="D45" s="17"/>
      <c r="G45" s="5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zoomScale="87" zoomScaleNormal="87" workbookViewId="0">
      <selection activeCell="F19" sqref="F19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14" x14ac:dyDescent="0.3">
      <c r="A1" s="38" t="s">
        <v>40</v>
      </c>
      <c r="I1" s="61"/>
      <c r="J1" s="61"/>
      <c r="K1" s="61"/>
      <c r="L1" s="61"/>
      <c r="M1" s="61"/>
      <c r="N1" s="61"/>
    </row>
    <row r="2" spans="1:14" x14ac:dyDescent="0.3">
      <c r="A2" s="38" t="s">
        <v>63</v>
      </c>
      <c r="I2" s="61"/>
      <c r="J2" s="61"/>
      <c r="K2" s="61"/>
      <c r="L2" s="61"/>
      <c r="M2" s="61"/>
      <c r="N2" s="61"/>
    </row>
    <row r="3" spans="1:14" x14ac:dyDescent="0.3">
      <c r="A3" s="24" t="s">
        <v>44</v>
      </c>
    </row>
    <row r="4" spans="1:14" x14ac:dyDescent="0.3">
      <c r="A4" s="24" t="s">
        <v>45</v>
      </c>
    </row>
    <row r="6" spans="1:14" x14ac:dyDescent="0.3">
      <c r="A6" s="6" t="s">
        <v>20</v>
      </c>
      <c r="B6" s="6">
        <v>2008</v>
      </c>
      <c r="C6" s="6">
        <v>2009</v>
      </c>
      <c r="D6" s="7" t="s">
        <v>46</v>
      </c>
      <c r="E6" s="20"/>
      <c r="F6" s="23"/>
    </row>
    <row r="7" spans="1:14" x14ac:dyDescent="0.3">
      <c r="A7" s="18" t="s">
        <v>21</v>
      </c>
      <c r="B7" s="14">
        <v>153862</v>
      </c>
      <c r="C7" s="14">
        <v>116344</v>
      </c>
      <c r="D7" s="17">
        <f>+(C7-B7)/B7</f>
        <v>-0.24384188428591855</v>
      </c>
      <c r="E7" s="21"/>
      <c r="F7" s="23"/>
    </row>
    <row r="8" spans="1:14" x14ac:dyDescent="0.3">
      <c r="A8" s="18" t="s">
        <v>22</v>
      </c>
      <c r="B8" s="14">
        <v>303270</v>
      </c>
      <c r="C8" s="14">
        <v>352257</v>
      </c>
      <c r="D8" s="17">
        <f t="shared" ref="D8:D16" si="0">+(C8-B8)/B8</f>
        <v>0.1615293302997329</v>
      </c>
      <c r="E8" s="21"/>
      <c r="F8" s="23"/>
    </row>
    <row r="9" spans="1:14" x14ac:dyDescent="0.3">
      <c r="A9" s="18" t="s">
        <v>23</v>
      </c>
      <c r="B9" s="14">
        <v>521798</v>
      </c>
      <c r="C9" s="14">
        <v>638715</v>
      </c>
      <c r="D9" s="17">
        <f t="shared" si="0"/>
        <v>0.22406563459422996</v>
      </c>
      <c r="E9" s="21"/>
      <c r="F9" s="23"/>
    </row>
    <row r="10" spans="1:14" x14ac:dyDescent="0.3">
      <c r="A10" s="18" t="s">
        <v>36</v>
      </c>
      <c r="B10" s="14">
        <v>464860</v>
      </c>
      <c r="C10" s="14">
        <v>591574</v>
      </c>
      <c r="D10" s="17">
        <f t="shared" si="0"/>
        <v>0.27258529449726798</v>
      </c>
      <c r="E10" s="21"/>
      <c r="F10" s="23"/>
    </row>
    <row r="11" spans="1:14" x14ac:dyDescent="0.3">
      <c r="A11" s="18" t="s">
        <v>60</v>
      </c>
      <c r="B11" s="14">
        <v>684779</v>
      </c>
      <c r="C11" s="14">
        <v>841176</v>
      </c>
      <c r="D11" s="17">
        <f t="shared" si="0"/>
        <v>0.22839047342281232</v>
      </c>
      <c r="E11" s="21"/>
      <c r="F11" s="23"/>
    </row>
    <row r="12" spans="1:14" x14ac:dyDescent="0.3">
      <c r="A12" s="18" t="s">
        <v>47</v>
      </c>
      <c r="B12" s="14">
        <v>510911</v>
      </c>
      <c r="C12" s="14">
        <v>734690</v>
      </c>
      <c r="D12" s="17">
        <f t="shared" si="0"/>
        <v>0.43799996476881492</v>
      </c>
      <c r="E12" s="21"/>
      <c r="F12" s="23"/>
    </row>
    <row r="13" spans="1:14" x14ac:dyDescent="0.3">
      <c r="A13" s="18" t="s">
        <v>24</v>
      </c>
      <c r="B13" s="14">
        <v>73369</v>
      </c>
      <c r="C13" s="14">
        <v>44021</v>
      </c>
      <c r="D13" s="17">
        <f t="shared" si="0"/>
        <v>-0.40000545189385162</v>
      </c>
      <c r="E13" s="21"/>
      <c r="F13" s="23"/>
    </row>
    <row r="14" spans="1:14" x14ac:dyDescent="0.3">
      <c r="A14" s="18" t="s">
        <v>25</v>
      </c>
      <c r="B14" s="14">
        <v>12432</v>
      </c>
      <c r="C14" s="14">
        <v>2859</v>
      </c>
      <c r="D14" s="17">
        <f t="shared" si="0"/>
        <v>-0.7700289575289575</v>
      </c>
      <c r="E14" s="21"/>
      <c r="F14" s="23"/>
    </row>
    <row r="15" spans="1:14" x14ac:dyDescent="0.3">
      <c r="A15" s="18" t="s">
        <v>26</v>
      </c>
      <c r="B15" s="14">
        <v>2204864</v>
      </c>
      <c r="C15" s="14">
        <v>2729212</v>
      </c>
      <c r="D15" s="17">
        <f t="shared" si="0"/>
        <v>0.23781421439145453</v>
      </c>
      <c r="E15" s="21"/>
      <c r="F15" s="23"/>
    </row>
    <row r="16" spans="1:14" ht="15.75" thickBot="1" x14ac:dyDescent="0.35">
      <c r="A16" s="26" t="s">
        <v>27</v>
      </c>
      <c r="B16" s="27">
        <f>SUM(B7:B15)</f>
        <v>4930145</v>
      </c>
      <c r="C16" s="27">
        <f>SUM(C7:C15)</f>
        <v>6050848</v>
      </c>
      <c r="D16" s="45">
        <f t="shared" si="0"/>
        <v>0.22731643795466461</v>
      </c>
      <c r="E16" s="22"/>
      <c r="F16" s="23"/>
    </row>
    <row r="17" spans="1:6" x14ac:dyDescent="0.3">
      <c r="A17" s="1"/>
      <c r="C17" s="14"/>
      <c r="E17" s="21"/>
      <c r="F17" s="23"/>
    </row>
    <row r="18" spans="1:6" x14ac:dyDescent="0.3">
      <c r="A18" s="6" t="s">
        <v>48</v>
      </c>
      <c r="B18" s="6">
        <v>2008</v>
      </c>
      <c r="C18" s="6">
        <v>2009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686806</v>
      </c>
      <c r="C19" s="14">
        <v>1057684</v>
      </c>
      <c r="D19" s="17">
        <f t="shared" ref="D19:D30" si="1">+(C19-B19)/B19</f>
        <v>0.54000401860205061</v>
      </c>
      <c r="E19" s="21"/>
      <c r="F19" s="23"/>
    </row>
    <row r="20" spans="1:6" x14ac:dyDescent="0.3">
      <c r="A20" s="18" t="s">
        <v>49</v>
      </c>
      <c r="B20" s="14">
        <v>146733</v>
      </c>
      <c r="C20" s="14">
        <v>82294</v>
      </c>
      <c r="D20" s="17">
        <f t="shared" si="1"/>
        <v>-0.43915819890549501</v>
      </c>
      <c r="E20" s="21"/>
      <c r="F20" s="23"/>
    </row>
    <row r="21" spans="1:6" x14ac:dyDescent="0.3">
      <c r="A21" s="18" t="s">
        <v>38</v>
      </c>
      <c r="B21" s="14">
        <v>186290</v>
      </c>
      <c r="C21" s="14">
        <v>254732</v>
      </c>
      <c r="D21" s="17">
        <f t="shared" si="1"/>
        <v>0.36739492189596867</v>
      </c>
      <c r="E21" s="21"/>
      <c r="F21" s="23"/>
    </row>
    <row r="22" spans="1:6" x14ac:dyDescent="0.3">
      <c r="A22" s="18" t="s">
        <v>30</v>
      </c>
      <c r="B22" s="14">
        <v>53902</v>
      </c>
      <c r="C22" s="14">
        <v>88871</v>
      </c>
      <c r="D22" s="17">
        <f t="shared" si="1"/>
        <v>0.64875143779451594</v>
      </c>
      <c r="E22" s="21"/>
      <c r="F22" s="23"/>
    </row>
    <row r="23" spans="1:6" x14ac:dyDescent="0.3">
      <c r="A23" s="18" t="s">
        <v>31</v>
      </c>
      <c r="B23" s="14">
        <v>36264</v>
      </c>
      <c r="C23" s="14">
        <v>47073</v>
      </c>
      <c r="D23" s="17">
        <f t="shared" si="1"/>
        <v>0.29806419589675709</v>
      </c>
      <c r="E23" s="21"/>
      <c r="F23" s="23"/>
    </row>
    <row r="24" spans="1:6" x14ac:dyDescent="0.3">
      <c r="A24" s="18" t="s">
        <v>32</v>
      </c>
      <c r="B24" s="14">
        <v>159959</v>
      </c>
      <c r="C24" s="14">
        <v>171964</v>
      </c>
      <c r="D24" s="17">
        <f t="shared" si="1"/>
        <v>7.5050481685932022E-2</v>
      </c>
      <c r="E24" s="21"/>
      <c r="F24" s="23"/>
    </row>
    <row r="25" spans="1:6" x14ac:dyDescent="0.3">
      <c r="A25" s="18" t="s">
        <v>24</v>
      </c>
      <c r="B25" s="14">
        <v>57796</v>
      </c>
      <c r="C25" s="14">
        <v>41880</v>
      </c>
      <c r="D25" s="17">
        <f t="shared" si="1"/>
        <v>-0.27538237940341892</v>
      </c>
      <c r="E25" s="21"/>
      <c r="F25" s="23"/>
    </row>
    <row r="26" spans="1:6" x14ac:dyDescent="0.3">
      <c r="A26" s="18" t="s">
        <v>0</v>
      </c>
      <c r="B26" s="14">
        <v>1833</v>
      </c>
      <c r="C26" s="14">
        <v>1430</v>
      </c>
      <c r="D26" s="17">
        <f t="shared" si="1"/>
        <v>-0.21985815602836881</v>
      </c>
      <c r="E26" s="21"/>
      <c r="F26" s="23"/>
    </row>
    <row r="27" spans="1:6" x14ac:dyDescent="0.3">
      <c r="A27" s="18" t="s">
        <v>33</v>
      </c>
      <c r="B27" s="30">
        <f>SUM(B19:B26)</f>
        <v>1329583</v>
      </c>
      <c r="C27" s="30">
        <f>SUM(C19:C26)</f>
        <v>1745928</v>
      </c>
      <c r="D27" s="17">
        <f t="shared" si="1"/>
        <v>0.31313953322207039</v>
      </c>
      <c r="E27" s="21"/>
      <c r="F27" s="23"/>
    </row>
    <row r="28" spans="1:6" x14ac:dyDescent="0.3">
      <c r="A28" s="18" t="s">
        <v>39</v>
      </c>
      <c r="B28" s="14">
        <v>2937</v>
      </c>
      <c r="C28" s="14">
        <v>3040</v>
      </c>
      <c r="D28" s="17">
        <f t="shared" si="1"/>
        <v>3.5069799114742936E-2</v>
      </c>
      <c r="E28" s="21"/>
      <c r="F28" s="23"/>
    </row>
    <row r="29" spans="1:6" x14ac:dyDescent="0.3">
      <c r="A29" s="32" t="s">
        <v>34</v>
      </c>
      <c r="B29" s="32">
        <v>3597625</v>
      </c>
      <c r="C29" s="32">
        <v>4301880</v>
      </c>
      <c r="D29" s="47">
        <f t="shared" si="1"/>
        <v>0.1957555331642403</v>
      </c>
      <c r="E29" s="22"/>
      <c r="F29" s="22"/>
    </row>
    <row r="30" spans="1:6" ht="15.75" thickBot="1" x14ac:dyDescent="0.35">
      <c r="A30" s="27" t="s">
        <v>35</v>
      </c>
      <c r="B30" s="27">
        <f>+B27+B28+B29</f>
        <v>4930145</v>
      </c>
      <c r="C30" s="27">
        <f>+C27+C28+C29</f>
        <v>6050848</v>
      </c>
      <c r="D30" s="45">
        <f t="shared" si="1"/>
        <v>0.22731643795466461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21" x14ac:dyDescent="0.3">
      <c r="A33" s="41" t="s">
        <v>64</v>
      </c>
      <c r="B33" s="14"/>
      <c r="C33" s="14"/>
      <c r="D33" s="17"/>
    </row>
    <row r="34" spans="1:21" x14ac:dyDescent="0.3">
      <c r="A34" s="41" t="s">
        <v>44</v>
      </c>
      <c r="B34" s="14"/>
      <c r="C34" s="14"/>
      <c r="D34" s="17"/>
    </row>
    <row r="35" spans="1:21" x14ac:dyDescent="0.3">
      <c r="A35" s="41" t="s">
        <v>45</v>
      </c>
      <c r="B35" s="14"/>
      <c r="C35" s="14"/>
      <c r="D35" s="17"/>
    </row>
    <row r="36" spans="1:21" x14ac:dyDescent="0.3">
      <c r="A36" s="6"/>
      <c r="B36" s="6">
        <v>2008</v>
      </c>
      <c r="C36" s="6" t="s">
        <v>55</v>
      </c>
      <c r="D36" s="6">
        <v>2009</v>
      </c>
      <c r="E36" s="6" t="s">
        <v>55</v>
      </c>
      <c r="F36" s="7" t="s">
        <v>46</v>
      </c>
    </row>
    <row r="37" spans="1:21" s="9" customFormat="1" x14ac:dyDescent="0.3">
      <c r="A37" s="30" t="s">
        <v>4</v>
      </c>
      <c r="B37" s="50">
        <v>1801423</v>
      </c>
      <c r="C37" s="42">
        <v>1</v>
      </c>
      <c r="D37" s="50">
        <v>2138848</v>
      </c>
      <c r="E37" s="42">
        <v>1</v>
      </c>
      <c r="F37" s="17">
        <f>IF(B37&lt;&gt;0,(D37-B37)/B37,0)</f>
        <v>0.18731025417128569</v>
      </c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3">
      <c r="A38" s="14" t="s">
        <v>50</v>
      </c>
      <c r="B38" s="51">
        <v>-1055915</v>
      </c>
      <c r="C38" s="17">
        <f t="shared" ref="C38:C55" si="2">+B38/$B$37</f>
        <v>-0.58615605551833194</v>
      </c>
      <c r="D38" s="51">
        <v>-1324263</v>
      </c>
      <c r="E38" s="17">
        <f>+D38/$D$37</f>
        <v>-0.61914778422777117</v>
      </c>
      <c r="F38" s="17">
        <f t="shared" ref="F38:F53" si="3">IF(B38&lt;&gt;0,(D38-B38)/B38,0)</f>
        <v>0.25413788041651081</v>
      </c>
    </row>
    <row r="39" spans="1:21" s="9" customFormat="1" x14ac:dyDescent="0.3">
      <c r="A39" s="30" t="s">
        <v>6</v>
      </c>
      <c r="B39" s="30">
        <f>SUM(B37:B38)</f>
        <v>745508</v>
      </c>
      <c r="C39" s="42">
        <f t="shared" si="2"/>
        <v>0.41384394448166811</v>
      </c>
      <c r="D39" s="30">
        <f>SUM(D37:D38)</f>
        <v>814585</v>
      </c>
      <c r="E39" s="42">
        <f t="shared" ref="E39:E55" si="4">+D39/$D$37</f>
        <v>0.38085221577222877</v>
      </c>
      <c r="F39" s="17">
        <f t="shared" si="3"/>
        <v>9.2657624063054986E-2</v>
      </c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3">
      <c r="A40" s="14" t="s">
        <v>7</v>
      </c>
      <c r="B40" s="14">
        <v>-83321</v>
      </c>
      <c r="C40" s="17">
        <f t="shared" si="2"/>
        <v>-4.6252878974011098E-2</v>
      </c>
      <c r="D40" s="14">
        <v>-108855</v>
      </c>
      <c r="E40" s="17">
        <f t="shared" si="4"/>
        <v>-5.0894219692095934E-2</v>
      </c>
      <c r="F40" s="17">
        <f t="shared" si="3"/>
        <v>0.3064533550965543</v>
      </c>
    </row>
    <row r="41" spans="1:21" x14ac:dyDescent="0.3">
      <c r="A41" s="14" t="s">
        <v>8</v>
      </c>
      <c r="B41" s="14">
        <v>-449058</v>
      </c>
      <c r="C41" s="17">
        <f t="shared" si="2"/>
        <v>-0.24927959729613755</v>
      </c>
      <c r="D41" s="14">
        <v>-496637</v>
      </c>
      <c r="E41" s="17">
        <f t="shared" si="4"/>
        <v>-0.23219836098684898</v>
      </c>
      <c r="F41" s="17">
        <f t="shared" si="3"/>
        <v>0.10595290586071288</v>
      </c>
    </row>
    <row r="42" spans="1:21" s="9" customFormat="1" x14ac:dyDescent="0.3">
      <c r="A42" s="30" t="s">
        <v>9</v>
      </c>
      <c r="B42" s="30">
        <f>SUM(B40:B41)</f>
        <v>-532379</v>
      </c>
      <c r="C42" s="42">
        <f t="shared" si="2"/>
        <v>-0.29553247627014867</v>
      </c>
      <c r="D42" s="30">
        <f>SUM(D40:D41)</f>
        <v>-605492</v>
      </c>
      <c r="E42" s="42">
        <f t="shared" si="4"/>
        <v>-0.28309258067894494</v>
      </c>
      <c r="F42" s="17">
        <f t="shared" si="3"/>
        <v>0.13733261454715531</v>
      </c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s="9" customFormat="1" x14ac:dyDescent="0.3">
      <c r="A43" s="30" t="s">
        <v>1</v>
      </c>
      <c r="B43" s="30">
        <f>+B39+B42</f>
        <v>213129</v>
      </c>
      <c r="C43" s="42">
        <f t="shared" si="2"/>
        <v>0.11831146821151944</v>
      </c>
      <c r="D43" s="30">
        <f>+D39+D42</f>
        <v>209093</v>
      </c>
      <c r="E43" s="42">
        <f t="shared" si="4"/>
        <v>9.7759635093283864E-2</v>
      </c>
      <c r="F43" s="17">
        <f t="shared" si="3"/>
        <v>-1.8936887988026032E-2</v>
      </c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3">
      <c r="A44" s="14" t="s">
        <v>51</v>
      </c>
      <c r="B44" s="14">
        <v>6605</v>
      </c>
      <c r="C44" s="17">
        <f t="shared" si="2"/>
        <v>3.6665458362638869E-3</v>
      </c>
      <c r="D44" s="14">
        <v>5680</v>
      </c>
      <c r="E44" s="17">
        <f t="shared" si="4"/>
        <v>2.6556351830518111E-3</v>
      </c>
      <c r="F44" s="17">
        <f t="shared" si="3"/>
        <v>-0.1400454201362604</v>
      </c>
    </row>
    <row r="45" spans="1:21" x14ac:dyDescent="0.3">
      <c r="A45" s="14" t="s">
        <v>11</v>
      </c>
      <c r="B45" s="14">
        <v>-38878</v>
      </c>
      <c r="C45" s="17">
        <f t="shared" si="2"/>
        <v>-2.1581827255453049E-2</v>
      </c>
      <c r="D45" s="14">
        <v>-58582</v>
      </c>
      <c r="E45" s="17">
        <f t="shared" si="4"/>
        <v>-2.7389510615060071E-2</v>
      </c>
      <c r="F45" s="17">
        <f t="shared" si="3"/>
        <v>0.5068161942486753</v>
      </c>
    </row>
    <row r="46" spans="1:21" x14ac:dyDescent="0.3">
      <c r="A46" s="14" t="s">
        <v>12</v>
      </c>
      <c r="B46" s="14">
        <v>1565</v>
      </c>
      <c r="C46" s="17">
        <f t="shared" si="2"/>
        <v>8.687576432631314E-4</v>
      </c>
      <c r="D46" s="14">
        <v>11039</v>
      </c>
      <c r="E46" s="17">
        <f t="shared" si="4"/>
        <v>5.1611895749487571E-3</v>
      </c>
      <c r="F46" s="17">
        <f t="shared" si="3"/>
        <v>6.0536741214057512</v>
      </c>
    </row>
    <row r="47" spans="1:21" x14ac:dyDescent="0.3">
      <c r="A47" s="14" t="s">
        <v>52</v>
      </c>
      <c r="B47" s="14">
        <v>-94129</v>
      </c>
      <c r="C47" s="17">
        <f t="shared" si="2"/>
        <v>-5.2252580321223832E-2</v>
      </c>
      <c r="D47" s="14">
        <v>-61542</v>
      </c>
      <c r="E47" s="17">
        <f t="shared" si="4"/>
        <v>-2.8773433175241999E-2</v>
      </c>
      <c r="F47" s="17">
        <f t="shared" si="3"/>
        <v>-0.3461951152142273</v>
      </c>
    </row>
    <row r="48" spans="1:21" x14ac:dyDescent="0.3">
      <c r="A48" s="14" t="s">
        <v>14</v>
      </c>
      <c r="B48" s="14">
        <v>15276</v>
      </c>
      <c r="C48" s="17">
        <f t="shared" si="2"/>
        <v>8.4799627849760986E-3</v>
      </c>
      <c r="D48" s="14">
        <v>14391</v>
      </c>
      <c r="E48" s="17">
        <f t="shared" si="4"/>
        <v>6.7283883660736992E-3</v>
      </c>
      <c r="F48" s="17">
        <f t="shared" si="3"/>
        <v>-5.7934014139827177E-2</v>
      </c>
    </row>
    <row r="49" spans="1:21" x14ac:dyDescent="0.3">
      <c r="A49" s="14" t="s">
        <v>16</v>
      </c>
      <c r="B49" s="14">
        <v>80487</v>
      </c>
      <c r="C49" s="17">
        <f t="shared" si="2"/>
        <v>4.4679678232153137E-2</v>
      </c>
      <c r="D49" s="14">
        <v>0</v>
      </c>
      <c r="E49" s="17">
        <f t="shared" si="4"/>
        <v>0</v>
      </c>
      <c r="F49" s="17">
        <f t="shared" si="3"/>
        <v>-1</v>
      </c>
    </row>
    <row r="50" spans="1:21" s="9" customFormat="1" x14ac:dyDescent="0.3">
      <c r="A50" s="30" t="s">
        <v>2</v>
      </c>
      <c r="B50" s="30">
        <f>SUM(B44:B49)</f>
        <v>-29074</v>
      </c>
      <c r="C50" s="42">
        <f t="shared" si="2"/>
        <v>-1.6139463080020629E-2</v>
      </c>
      <c r="D50" s="30">
        <f>SUM(D44:D49)</f>
        <v>-89014</v>
      </c>
      <c r="E50" s="42">
        <f t="shared" si="4"/>
        <v>-4.1617730666227801E-2</v>
      </c>
      <c r="F50" s="17">
        <f t="shared" si="3"/>
        <v>2.0616358258237599</v>
      </c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s="9" customFormat="1" x14ac:dyDescent="0.3">
      <c r="A51" s="30" t="s">
        <v>41</v>
      </c>
      <c r="B51" s="30">
        <f>+B43+B50</f>
        <v>184055</v>
      </c>
      <c r="C51" s="42">
        <f t="shared" si="2"/>
        <v>0.10217200513149882</v>
      </c>
      <c r="D51" s="30">
        <f>+D43+D50</f>
        <v>120079</v>
      </c>
      <c r="E51" s="42">
        <f t="shared" si="4"/>
        <v>5.6141904427056064E-2</v>
      </c>
      <c r="F51" s="17">
        <f t="shared" si="3"/>
        <v>-0.34759175246529572</v>
      </c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">
      <c r="A52" s="14" t="s">
        <v>15</v>
      </c>
      <c r="B52" s="14">
        <v>-61357</v>
      </c>
      <c r="C52" s="17">
        <f t="shared" si="2"/>
        <v>-3.4060295666259399E-2</v>
      </c>
      <c r="D52" s="14">
        <v>-41797</v>
      </c>
      <c r="E52" s="17">
        <f t="shared" si="4"/>
        <v>-1.9541828124298687E-2</v>
      </c>
      <c r="F52" s="17">
        <f t="shared" si="3"/>
        <v>-0.31879003210717605</v>
      </c>
    </row>
    <row r="53" spans="1:21" x14ac:dyDescent="0.3">
      <c r="A53" s="14" t="s">
        <v>18</v>
      </c>
      <c r="B53" s="14">
        <v>-111</v>
      </c>
      <c r="C53" s="17">
        <f t="shared" si="2"/>
        <v>-6.1617954250611881E-5</v>
      </c>
      <c r="D53" s="14">
        <v>34</v>
      </c>
      <c r="E53" s="17">
        <f t="shared" si="4"/>
        <v>1.5896407785873518E-5</v>
      </c>
      <c r="F53" s="17">
        <f t="shared" si="3"/>
        <v>-1.3063063063063063</v>
      </c>
    </row>
    <row r="54" spans="1:21" s="9" customFormat="1" x14ac:dyDescent="0.3">
      <c r="A54" s="43" t="s">
        <v>17</v>
      </c>
      <c r="B54" s="43">
        <f>+B51+B52+B53</f>
        <v>122587</v>
      </c>
      <c r="C54" s="44">
        <f t="shared" si="2"/>
        <v>6.8050091510988814E-2</v>
      </c>
      <c r="D54" s="43">
        <f>+D51+D52+D53</f>
        <v>78316</v>
      </c>
      <c r="E54" s="44">
        <f t="shared" si="4"/>
        <v>3.6615972710543246E-2</v>
      </c>
      <c r="F54" s="44">
        <f>+(D54-B54)/B54</f>
        <v>-0.36113943566609835</v>
      </c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s="9" customFormat="1" ht="15.75" thickBot="1" x14ac:dyDescent="0.35">
      <c r="A55" s="27" t="s">
        <v>19</v>
      </c>
      <c r="B55" s="27">
        <v>260911</v>
      </c>
      <c r="C55" s="45">
        <f t="shared" si="2"/>
        <v>0.1448360546079405</v>
      </c>
      <c r="D55" s="27">
        <v>253766</v>
      </c>
      <c r="E55" s="45">
        <f t="shared" si="4"/>
        <v>0.11864611229970526</v>
      </c>
      <c r="F55" s="45">
        <f>+(D55-B55)/B55</f>
        <v>-2.7384817044892703E-2</v>
      </c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">
      <c r="A56" s="2"/>
      <c r="C56" s="3"/>
      <c r="D56" s="10"/>
    </row>
    <row r="57" spans="1:21" x14ac:dyDescent="0.3">
      <c r="A57" s="19" t="s">
        <v>53</v>
      </c>
      <c r="B57" s="14"/>
      <c r="C57" s="14"/>
      <c r="D57" s="17"/>
    </row>
    <row r="58" spans="1:21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18" zoomScale="86" zoomScaleNormal="86" workbookViewId="0">
      <selection activeCell="C48" sqref="C48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28.5703125" style="11" bestFit="1" customWidth="1"/>
    <col min="8" max="8" width="11.5703125" style="5" bestFit="1" customWidth="1"/>
    <col min="9" max="16384" width="11.42578125" style="5"/>
  </cols>
  <sheetData>
    <row r="1" spans="1:11" x14ac:dyDescent="0.3">
      <c r="A1" s="24" t="s">
        <v>69</v>
      </c>
    </row>
    <row r="2" spans="1:11" x14ac:dyDescent="0.3">
      <c r="A2" s="24" t="s">
        <v>78</v>
      </c>
    </row>
    <row r="3" spans="1:11" x14ac:dyDescent="0.3">
      <c r="A3" s="24" t="s">
        <v>44</v>
      </c>
    </row>
    <row r="4" spans="1:11" x14ac:dyDescent="0.3">
      <c r="A4" s="24" t="s">
        <v>45</v>
      </c>
    </row>
    <row r="5" spans="1:11" ht="12" customHeight="1" x14ac:dyDescent="0.3">
      <c r="G5" s="5"/>
    </row>
    <row r="6" spans="1:11" x14ac:dyDescent="0.3">
      <c r="A6" s="6" t="s">
        <v>20</v>
      </c>
      <c r="B6" s="6">
        <v>2008</v>
      </c>
      <c r="C6" s="6">
        <v>2009</v>
      </c>
      <c r="D6" s="7" t="s">
        <v>46</v>
      </c>
      <c r="G6" s="5"/>
    </row>
    <row r="7" spans="1:11" x14ac:dyDescent="0.3">
      <c r="A7" s="18" t="s">
        <v>21</v>
      </c>
      <c r="B7" s="14">
        <v>1510</v>
      </c>
      <c r="C7" s="14">
        <v>351.04640899999998</v>
      </c>
      <c r="D7" s="17">
        <f t="shared" ref="D7:D14" si="0">IF(B7&lt;&gt;0,(C7-B7)/B7,0)</f>
        <v>-0.76751893443708608</v>
      </c>
      <c r="G7" s="5"/>
    </row>
    <row r="8" spans="1:11" x14ac:dyDescent="0.3">
      <c r="A8" s="18" t="s">
        <v>22</v>
      </c>
      <c r="B8" s="14">
        <v>2916380</v>
      </c>
      <c r="C8" s="14">
        <v>3674469</v>
      </c>
      <c r="D8" s="17">
        <f t="shared" si="0"/>
        <v>0.25994177713466693</v>
      </c>
      <c r="G8" s="5"/>
    </row>
    <row r="9" spans="1:11" s="11" customFormat="1" x14ac:dyDescent="0.3">
      <c r="A9" s="18" t="s">
        <v>23</v>
      </c>
      <c r="B9" s="14">
        <v>27949.618029000001</v>
      </c>
      <c r="C9" s="14">
        <v>42390.248979000004</v>
      </c>
      <c r="D9" s="17">
        <f t="shared" si="0"/>
        <v>0.51666648664095061</v>
      </c>
      <c r="E9" s="5"/>
      <c r="F9" s="5"/>
      <c r="G9" s="5"/>
      <c r="H9" s="5"/>
      <c r="I9" s="5"/>
      <c r="J9" s="5"/>
      <c r="K9" s="5"/>
    </row>
    <row r="10" spans="1:11" s="11" customFormat="1" x14ac:dyDescent="0.3">
      <c r="A10" s="18" t="s">
        <v>37</v>
      </c>
      <c r="B10" s="14">
        <v>49.019278</v>
      </c>
      <c r="C10" s="14">
        <v>0</v>
      </c>
      <c r="D10" s="17">
        <f t="shared" si="0"/>
        <v>-1</v>
      </c>
      <c r="E10" s="5"/>
      <c r="F10" s="5"/>
      <c r="G10" s="5"/>
      <c r="H10" s="5"/>
      <c r="I10" s="5"/>
      <c r="J10" s="5"/>
      <c r="K10" s="5"/>
    </row>
    <row r="11" spans="1:11" s="11" customFormat="1" x14ac:dyDescent="0.3">
      <c r="A11" s="18" t="s">
        <v>24</v>
      </c>
      <c r="B11" s="14"/>
      <c r="C11" s="14">
        <v>491.85170699999998</v>
      </c>
      <c r="D11" s="17">
        <f t="shared" si="0"/>
        <v>0</v>
      </c>
      <c r="E11" s="5"/>
      <c r="F11" s="5"/>
      <c r="G11" s="5"/>
      <c r="H11" s="5"/>
      <c r="I11" s="5"/>
      <c r="J11" s="5"/>
      <c r="K11" s="5"/>
    </row>
    <row r="12" spans="1:11" s="11" customFormat="1" x14ac:dyDescent="0.3">
      <c r="A12" s="18" t="s">
        <v>59</v>
      </c>
      <c r="B12" s="14">
        <v>209</v>
      </c>
      <c r="C12" s="14">
        <f>155+54</f>
        <v>209</v>
      </c>
      <c r="D12" s="17">
        <f t="shared" si="0"/>
        <v>0</v>
      </c>
      <c r="E12" s="5"/>
      <c r="F12" s="5"/>
      <c r="G12" s="5"/>
      <c r="H12" s="5"/>
      <c r="I12" s="5"/>
      <c r="J12" s="5"/>
      <c r="K12" s="5"/>
    </row>
    <row r="13" spans="1:11" s="11" customFormat="1" x14ac:dyDescent="0.3">
      <c r="A13" s="18" t="s">
        <v>26</v>
      </c>
      <c r="B13" s="14">
        <v>997550.44343600003</v>
      </c>
      <c r="C13" s="14">
        <v>1378868.0053719999</v>
      </c>
      <c r="D13" s="17">
        <f t="shared" si="0"/>
        <v>0.38225391452143054</v>
      </c>
      <c r="E13" s="5"/>
      <c r="F13" s="5"/>
      <c r="G13" s="5"/>
      <c r="H13" s="5"/>
      <c r="I13" s="5"/>
      <c r="J13" s="5"/>
      <c r="K13" s="5"/>
    </row>
    <row r="14" spans="1:11" s="11" customFormat="1" ht="15.75" thickBot="1" x14ac:dyDescent="0.35">
      <c r="A14" s="26" t="s">
        <v>27</v>
      </c>
      <c r="B14" s="27">
        <f>SUM(B7:B13)</f>
        <v>3943648.0807429999</v>
      </c>
      <c r="C14" s="27">
        <f>SUM(C7:C13)</f>
        <v>5096779.1524669994</v>
      </c>
      <c r="D14" s="46">
        <f t="shared" si="0"/>
        <v>0.29240212313943204</v>
      </c>
      <c r="E14" s="5"/>
      <c r="F14" s="5"/>
      <c r="G14" s="5"/>
      <c r="H14" s="5"/>
      <c r="I14" s="5"/>
      <c r="J14" s="5"/>
      <c r="K14" s="5"/>
    </row>
    <row r="15" spans="1:11" x14ac:dyDescent="0.3">
      <c r="G15" s="5"/>
    </row>
    <row r="16" spans="1:11" s="11" customFormat="1" x14ac:dyDescent="0.3">
      <c r="A16" s="6" t="s">
        <v>48</v>
      </c>
      <c r="B16" s="6">
        <v>2008</v>
      </c>
      <c r="C16" s="6">
        <v>2009</v>
      </c>
      <c r="D16" s="7" t="s">
        <v>46</v>
      </c>
      <c r="E16" s="5"/>
      <c r="F16" s="5"/>
      <c r="G16" s="5"/>
      <c r="H16" s="5"/>
      <c r="I16" s="5"/>
      <c r="J16" s="5"/>
      <c r="K16" s="5"/>
    </row>
    <row r="17" spans="1:11" s="11" customFormat="1" x14ac:dyDescent="0.3">
      <c r="A17" s="18" t="s">
        <v>28</v>
      </c>
      <c r="B17" s="14">
        <v>7142.725461</v>
      </c>
      <c r="C17" s="14">
        <v>115.76253199999999</v>
      </c>
      <c r="D17" s="17">
        <f t="shared" ref="D17:D25" si="1">IF(B17&lt;&gt;0,(C17-B17)/B17,0)</f>
        <v>-0.98379294673551787</v>
      </c>
      <c r="E17" s="5"/>
      <c r="F17" s="5"/>
      <c r="G17" s="5"/>
      <c r="H17" s="5"/>
      <c r="I17" s="5"/>
      <c r="J17" s="5"/>
      <c r="K17" s="5"/>
    </row>
    <row r="18" spans="1:11" s="11" customFormat="1" x14ac:dyDescent="0.3">
      <c r="A18" s="18" t="s">
        <v>29</v>
      </c>
      <c r="B18" s="14">
        <v>104450.431241</v>
      </c>
      <c r="C18" s="14">
        <v>141644.109547</v>
      </c>
      <c r="D18" s="17">
        <f t="shared" si="1"/>
        <v>0.35608927473149909</v>
      </c>
      <c r="E18" s="5"/>
      <c r="F18" s="5"/>
      <c r="G18" s="5"/>
      <c r="H18" s="5"/>
      <c r="I18" s="5"/>
      <c r="J18" s="5"/>
      <c r="K18" s="5"/>
    </row>
    <row r="19" spans="1:11" x14ac:dyDescent="0.3">
      <c r="A19" s="18" t="s">
        <v>30</v>
      </c>
      <c r="B19" s="14">
        <v>295.03023300000001</v>
      </c>
      <c r="C19" s="14">
        <v>1914.8314620000001</v>
      </c>
      <c r="D19" s="17">
        <f t="shared" si="1"/>
        <v>5.4902889528613157</v>
      </c>
      <c r="G19" s="5"/>
    </row>
    <row r="20" spans="1:11" x14ac:dyDescent="0.3">
      <c r="A20" s="18" t="s">
        <v>31</v>
      </c>
      <c r="B20" s="14">
        <v>93.912424000000001</v>
      </c>
      <c r="C20" s="14">
        <v>159.08754500000001</v>
      </c>
      <c r="D20" s="17">
        <f t="shared" si="1"/>
        <v>0.69399892180399902</v>
      </c>
      <c r="G20" s="5"/>
    </row>
    <row r="21" spans="1:11" x14ac:dyDescent="0.3">
      <c r="A21" s="18" t="s">
        <v>32</v>
      </c>
      <c r="B21" s="14">
        <v>1316.4207690000001</v>
      </c>
      <c r="C21" s="14">
        <v>1177.3063010000001</v>
      </c>
      <c r="D21" s="17">
        <f t="shared" si="1"/>
        <v>-0.10567629383853938</v>
      </c>
      <c r="G21" s="5"/>
    </row>
    <row r="22" spans="1:11" x14ac:dyDescent="0.3">
      <c r="A22" s="18" t="s">
        <v>24</v>
      </c>
      <c r="B22" s="14">
        <v>5868.0603709999996</v>
      </c>
      <c r="C22" s="14">
        <v>6358.6844350000001</v>
      </c>
      <c r="D22" s="17">
        <f t="shared" si="1"/>
        <v>8.3609239336505214E-2</v>
      </c>
      <c r="G22" s="5"/>
    </row>
    <row r="23" spans="1:11" s="9" customFormat="1" x14ac:dyDescent="0.3">
      <c r="A23" s="29" t="s">
        <v>33</v>
      </c>
      <c r="B23" s="30">
        <f>SUM(B17:B22)</f>
        <v>119166.58049899999</v>
      </c>
      <c r="C23" s="30">
        <f>SUM(C17:C22)</f>
        <v>151369.78182199999</v>
      </c>
      <c r="D23" s="42">
        <f t="shared" si="1"/>
        <v>0.27023684986303892</v>
      </c>
      <c r="F23" s="5"/>
      <c r="G23" s="5"/>
      <c r="H23" s="5"/>
      <c r="I23" s="5"/>
      <c r="J23" s="5"/>
      <c r="K23" s="5"/>
    </row>
    <row r="24" spans="1:11" s="9" customFormat="1" x14ac:dyDescent="0.3">
      <c r="A24" s="31" t="s">
        <v>34</v>
      </c>
      <c r="B24" s="32">
        <f>+B14-B23</f>
        <v>3824481.500244</v>
      </c>
      <c r="C24" s="32">
        <f>+C14-C23</f>
        <v>4945409.3706449997</v>
      </c>
      <c r="D24" s="47">
        <f t="shared" si="1"/>
        <v>0.29309276834767928</v>
      </c>
      <c r="E24" s="60"/>
      <c r="F24" s="5"/>
      <c r="G24" s="5"/>
      <c r="H24" s="5"/>
      <c r="I24" s="5"/>
      <c r="J24" s="5"/>
      <c r="K24" s="5"/>
    </row>
    <row r="25" spans="1:11" s="9" customFormat="1" ht="15.75" thickBot="1" x14ac:dyDescent="0.35">
      <c r="A25" s="26" t="s">
        <v>35</v>
      </c>
      <c r="B25" s="27">
        <f>+B23+B24</f>
        <v>3943648.0807429999</v>
      </c>
      <c r="C25" s="27">
        <f>+C23+C24</f>
        <v>5096779.1524669994</v>
      </c>
      <c r="D25" s="45">
        <f t="shared" si="1"/>
        <v>0.29240212313943204</v>
      </c>
      <c r="F25" s="5"/>
      <c r="G25" s="5"/>
      <c r="H25" s="5"/>
      <c r="I25" s="5"/>
      <c r="J25" s="5"/>
      <c r="K25" s="5"/>
    </row>
    <row r="26" spans="1:11" x14ac:dyDescent="0.3">
      <c r="A26" s="18" t="s">
        <v>54</v>
      </c>
      <c r="B26" s="14">
        <v>435123458</v>
      </c>
      <c r="C26" s="14">
        <v>435123458</v>
      </c>
      <c r="D26" s="17"/>
      <c r="G26" s="5"/>
    </row>
    <row r="27" spans="1:11" x14ac:dyDescent="0.3">
      <c r="A27" s="18" t="s">
        <v>71</v>
      </c>
      <c r="B27" s="33">
        <f>+B24/+(B26/1000000)</f>
        <v>8789.4169572535429</v>
      </c>
      <c r="C27" s="33">
        <f>+C24/+(C26/1000000)</f>
        <v>11365.531505417021</v>
      </c>
      <c r="D27" s="17"/>
      <c r="G27" s="5"/>
    </row>
    <row r="28" spans="1:11" x14ac:dyDescent="0.3">
      <c r="G28" s="5"/>
    </row>
    <row r="29" spans="1:11" x14ac:dyDescent="0.3">
      <c r="A29" s="6" t="s">
        <v>70</v>
      </c>
      <c r="B29" s="6">
        <v>2008</v>
      </c>
      <c r="C29" s="6">
        <v>2009</v>
      </c>
      <c r="D29" s="6" t="s">
        <v>46</v>
      </c>
      <c r="G29" s="5"/>
    </row>
    <row r="30" spans="1:11" x14ac:dyDescent="0.3">
      <c r="A30" s="19" t="s">
        <v>62</v>
      </c>
      <c r="B30" s="17"/>
      <c r="C30" s="17"/>
      <c r="D30" s="34"/>
      <c r="G30" s="5"/>
    </row>
    <row r="31" spans="1:11" x14ac:dyDescent="0.3">
      <c r="A31" s="19" t="s">
        <v>44</v>
      </c>
      <c r="B31" s="17"/>
      <c r="C31" s="17"/>
      <c r="D31" s="34"/>
      <c r="G31" s="5"/>
    </row>
    <row r="32" spans="1:11" x14ac:dyDescent="0.3">
      <c r="A32" s="19" t="s">
        <v>45</v>
      </c>
      <c r="B32" s="17"/>
      <c r="C32" s="17"/>
      <c r="D32" s="34"/>
      <c r="G32" s="5"/>
    </row>
    <row r="33" spans="1:11" s="9" customFormat="1" x14ac:dyDescent="0.3">
      <c r="A33" s="19" t="s">
        <v>72</v>
      </c>
      <c r="B33" s="30">
        <v>187371</v>
      </c>
      <c r="C33" s="30">
        <v>129491</v>
      </c>
      <c r="D33" s="17">
        <f>IF(B33&lt;&gt;0,(C33-B33)/B33,0)</f>
        <v>-0.30890586056540231</v>
      </c>
      <c r="F33" s="5"/>
      <c r="G33" s="5"/>
      <c r="H33" s="5"/>
      <c r="I33" s="5"/>
      <c r="J33" s="5"/>
      <c r="K33" s="5"/>
    </row>
    <row r="34" spans="1:11" x14ac:dyDescent="0.3">
      <c r="A34" s="19" t="s">
        <v>5</v>
      </c>
      <c r="B34" s="14">
        <v>2573</v>
      </c>
      <c r="C34" s="14">
        <v>0</v>
      </c>
      <c r="D34" s="17">
        <f t="shared" ref="D34:D44" si="2">IF(B34&lt;&gt;0,(C34-B34)/B34,0)</f>
        <v>-1</v>
      </c>
      <c r="G34" s="5"/>
    </row>
    <row r="35" spans="1:11" s="9" customFormat="1" x14ac:dyDescent="0.3">
      <c r="A35" s="19" t="s">
        <v>57</v>
      </c>
      <c r="B35" s="14">
        <v>11812</v>
      </c>
      <c r="C35" s="14">
        <v>9800.1143919999995</v>
      </c>
      <c r="D35" s="17">
        <f t="shared" si="2"/>
        <v>-0.17032556789705389</v>
      </c>
      <c r="F35" s="5"/>
      <c r="G35" s="5"/>
      <c r="H35" s="5"/>
      <c r="I35" s="5"/>
      <c r="J35" s="5"/>
      <c r="K35" s="5"/>
    </row>
    <row r="36" spans="1:11" s="9" customFormat="1" x14ac:dyDescent="0.3">
      <c r="A36" s="19" t="s">
        <v>56</v>
      </c>
      <c r="B36" s="14">
        <v>4011</v>
      </c>
      <c r="C36" s="14">
        <v>5677</v>
      </c>
      <c r="D36" s="17">
        <f t="shared" si="2"/>
        <v>0.41535776614310643</v>
      </c>
      <c r="F36" s="5"/>
      <c r="G36" s="5"/>
      <c r="H36" s="5"/>
      <c r="I36" s="5"/>
      <c r="J36" s="5"/>
      <c r="K36" s="5"/>
    </row>
    <row r="37" spans="1:11" s="9" customFormat="1" x14ac:dyDescent="0.3">
      <c r="A37" s="35" t="s">
        <v>4</v>
      </c>
      <c r="B37" s="30">
        <f>SUM(B33:B36)</f>
        <v>205767</v>
      </c>
      <c r="C37" s="30">
        <f>SUM(C33:C36)</f>
        <v>144968.11439199999</v>
      </c>
      <c r="D37" s="17">
        <f t="shared" si="2"/>
        <v>-0.29547442305131538</v>
      </c>
      <c r="F37" s="5"/>
      <c r="G37" s="5"/>
      <c r="H37" s="5"/>
      <c r="I37" s="5"/>
      <c r="J37" s="5"/>
      <c r="K37" s="5"/>
    </row>
    <row r="38" spans="1:11" x14ac:dyDescent="0.3">
      <c r="A38" s="19" t="s">
        <v>58</v>
      </c>
      <c r="B38" s="14">
        <v>-6038</v>
      </c>
      <c r="C38" s="14">
        <v>-6753.4162860000006</v>
      </c>
      <c r="D38" s="17">
        <f t="shared" si="2"/>
        <v>0.11848563862206038</v>
      </c>
      <c r="G38" s="5"/>
    </row>
    <row r="39" spans="1:11" s="9" customFormat="1" x14ac:dyDescent="0.3">
      <c r="A39" s="35" t="s">
        <v>42</v>
      </c>
      <c r="B39" s="30">
        <f>SUM(B37:B38)</f>
        <v>199729</v>
      </c>
      <c r="C39" s="30">
        <f>SUM(C37:C38)</f>
        <v>138214.698106</v>
      </c>
      <c r="D39" s="17">
        <f t="shared" si="2"/>
        <v>-0.30798883434053143</v>
      </c>
      <c r="F39" s="5"/>
      <c r="G39" s="5"/>
      <c r="H39" s="5"/>
      <c r="I39" s="5"/>
      <c r="J39" s="5"/>
      <c r="K39" s="5"/>
    </row>
    <row r="40" spans="1:11" s="9" customFormat="1" x14ac:dyDescent="0.3">
      <c r="A40" s="19" t="s">
        <v>10</v>
      </c>
      <c r="B40" s="14">
        <v>704</v>
      </c>
      <c r="C40" s="14">
        <v>157.40784700000003</v>
      </c>
      <c r="D40" s="17">
        <f t="shared" si="2"/>
        <v>-0.7764093082386363</v>
      </c>
      <c r="F40" s="5"/>
      <c r="G40" s="5"/>
      <c r="H40" s="5"/>
      <c r="I40" s="5"/>
      <c r="J40" s="5"/>
      <c r="K40" s="5"/>
    </row>
    <row r="41" spans="1:11" x14ac:dyDescent="0.3">
      <c r="A41" s="19" t="s">
        <v>13</v>
      </c>
      <c r="B41" s="14">
        <v>-614</v>
      </c>
      <c r="C41" s="14">
        <v>-528.18213100000003</v>
      </c>
      <c r="D41" s="17">
        <f t="shared" si="2"/>
        <v>-0.13976851628664491</v>
      </c>
      <c r="G41" s="5"/>
    </row>
    <row r="42" spans="1:11" s="9" customFormat="1" x14ac:dyDescent="0.3">
      <c r="A42" s="35" t="s">
        <v>43</v>
      </c>
      <c r="B42" s="30">
        <f>SUM(B39:B41)</f>
        <v>199819</v>
      </c>
      <c r="C42" s="30">
        <f>SUM(C39:C41)</f>
        <v>137843.92382199998</v>
      </c>
      <c r="D42" s="17">
        <f t="shared" si="2"/>
        <v>-0.31015607213528251</v>
      </c>
      <c r="F42" s="5"/>
      <c r="G42" s="5"/>
      <c r="H42" s="5"/>
      <c r="I42" s="5"/>
      <c r="J42" s="5"/>
      <c r="K42" s="5"/>
    </row>
    <row r="43" spans="1:11" x14ac:dyDescent="0.3">
      <c r="A43" s="19" t="s">
        <v>15</v>
      </c>
      <c r="B43" s="14">
        <v>-142</v>
      </c>
      <c r="C43" s="14">
        <v>-153.98000000000005</v>
      </c>
      <c r="D43" s="17">
        <f t="shared" si="2"/>
        <v>8.4366197183098915E-2</v>
      </c>
      <c r="G43" s="5"/>
    </row>
    <row r="44" spans="1:11" ht="15.75" thickBot="1" x14ac:dyDescent="0.35">
      <c r="A44" s="36" t="s">
        <v>17</v>
      </c>
      <c r="B44" s="37">
        <f>SUM(B42:B43)</f>
        <v>199677</v>
      </c>
      <c r="C44" s="37">
        <f>SUM(C42:C43)</f>
        <v>137689.94382199997</v>
      </c>
      <c r="D44" s="45">
        <f t="shared" si="2"/>
        <v>-0.3104366360572326</v>
      </c>
      <c r="G44" s="5"/>
    </row>
    <row r="45" spans="1:11" x14ac:dyDescent="0.3">
      <c r="G45" s="5"/>
    </row>
    <row r="46" spans="1:11" x14ac:dyDescent="0.3">
      <c r="A46" s="19"/>
      <c r="B46" s="14"/>
      <c r="C46" s="14"/>
      <c r="D46" s="17"/>
      <c r="G46" s="5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opLeftCell="A17" zoomScale="87" zoomScaleNormal="87" workbookViewId="0">
      <selection activeCell="F48" sqref="F48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8" width="11.42578125" style="5"/>
    <col min="9" max="9" width="18.28515625" style="5" customWidth="1"/>
    <col min="10" max="16384" width="11.42578125" style="5"/>
  </cols>
  <sheetData>
    <row r="1" spans="1:14" x14ac:dyDescent="0.3">
      <c r="A1" s="38" t="s">
        <v>40</v>
      </c>
      <c r="I1" s="4"/>
      <c r="J1" s="2"/>
      <c r="K1" s="2"/>
      <c r="L1" s="3"/>
      <c r="M1" s="21"/>
      <c r="N1" s="4"/>
    </row>
    <row r="2" spans="1:14" x14ac:dyDescent="0.3">
      <c r="A2" s="38" t="s">
        <v>61</v>
      </c>
      <c r="H2" s="4"/>
      <c r="I2" s="4"/>
      <c r="J2" s="4"/>
      <c r="K2" s="4"/>
      <c r="L2" s="4"/>
      <c r="M2" s="4"/>
      <c r="N2" s="4"/>
    </row>
    <row r="3" spans="1:14" x14ac:dyDescent="0.3">
      <c r="A3" s="24" t="s">
        <v>44</v>
      </c>
      <c r="H3" s="4"/>
      <c r="I3" s="4"/>
      <c r="J3" s="4"/>
      <c r="K3" s="4"/>
      <c r="L3" s="4"/>
      <c r="M3" s="4"/>
      <c r="N3" s="4"/>
    </row>
    <row r="4" spans="1:14" x14ac:dyDescent="0.3">
      <c r="A4" s="24" t="s">
        <v>45</v>
      </c>
      <c r="H4" s="4"/>
      <c r="I4" s="4"/>
      <c r="J4" s="4"/>
      <c r="K4" s="4"/>
      <c r="L4" s="4"/>
      <c r="M4" s="4"/>
      <c r="N4" s="4"/>
    </row>
    <row r="5" spans="1:14" x14ac:dyDescent="0.3">
      <c r="H5" s="4"/>
      <c r="I5" s="4"/>
      <c r="J5" s="4"/>
      <c r="K5" s="4"/>
      <c r="L5" s="4"/>
      <c r="M5" s="4"/>
      <c r="N5" s="4"/>
    </row>
    <row r="6" spans="1:14" x14ac:dyDescent="0.3">
      <c r="A6" s="6" t="s">
        <v>20</v>
      </c>
      <c r="B6" s="6">
        <v>2008</v>
      </c>
      <c r="C6" s="6">
        <v>2009</v>
      </c>
      <c r="D6" s="7" t="s">
        <v>46</v>
      </c>
      <c r="H6" s="4"/>
      <c r="I6" s="4"/>
      <c r="J6" s="4"/>
      <c r="K6" s="4"/>
      <c r="L6" s="4"/>
      <c r="M6" s="4"/>
      <c r="N6" s="4"/>
    </row>
    <row r="7" spans="1:14" x14ac:dyDescent="0.3">
      <c r="A7" s="18" t="s">
        <v>21</v>
      </c>
      <c r="B7" s="14">
        <v>214086</v>
      </c>
      <c r="C7" s="2">
        <v>135155</v>
      </c>
      <c r="D7" s="17">
        <f>+(C7-B7)/B7</f>
        <v>-0.36868828414749211</v>
      </c>
      <c r="H7" s="4"/>
      <c r="I7" s="4"/>
      <c r="J7" s="4"/>
      <c r="K7" s="4"/>
      <c r="L7" s="4"/>
      <c r="M7" s="4"/>
      <c r="N7" s="4"/>
    </row>
    <row r="8" spans="1:14" x14ac:dyDescent="0.3">
      <c r="A8" s="18" t="s">
        <v>22</v>
      </c>
      <c r="B8" s="14">
        <v>320988</v>
      </c>
      <c r="C8" s="2">
        <v>339888</v>
      </c>
      <c r="D8" s="17">
        <f t="shared" ref="D8:D16" si="0">+(C8-B8)/B8</f>
        <v>5.8880705820778347E-2</v>
      </c>
      <c r="H8" s="4"/>
      <c r="I8" s="4"/>
      <c r="J8" s="4"/>
      <c r="K8" s="4"/>
      <c r="L8" s="4"/>
      <c r="M8" s="4"/>
      <c r="N8" s="4"/>
    </row>
    <row r="9" spans="1:14" x14ac:dyDescent="0.3">
      <c r="A9" s="18" t="s">
        <v>23</v>
      </c>
      <c r="B9" s="14">
        <v>612909</v>
      </c>
      <c r="C9" s="2">
        <v>570273</v>
      </c>
      <c r="D9" s="17">
        <f t="shared" si="0"/>
        <v>-6.9563344640068914E-2</v>
      </c>
      <c r="H9" s="4"/>
      <c r="I9" s="4"/>
      <c r="J9" s="4"/>
      <c r="K9" s="4"/>
      <c r="L9" s="4"/>
      <c r="M9" s="4"/>
      <c r="N9" s="4"/>
    </row>
    <row r="10" spans="1:14" x14ac:dyDescent="0.3">
      <c r="A10" s="18" t="s">
        <v>36</v>
      </c>
      <c r="B10" s="14">
        <v>512928</v>
      </c>
      <c r="C10" s="2">
        <v>568119</v>
      </c>
      <c r="D10" s="17">
        <f t="shared" si="0"/>
        <v>0.1075998970615759</v>
      </c>
      <c r="H10" s="4"/>
      <c r="I10" s="4"/>
      <c r="J10" s="4"/>
      <c r="K10" s="4"/>
      <c r="L10" s="4"/>
      <c r="M10" s="4"/>
      <c r="N10" s="4"/>
    </row>
    <row r="11" spans="1:14" x14ac:dyDescent="0.3">
      <c r="A11" s="18" t="s">
        <v>60</v>
      </c>
      <c r="B11" s="14">
        <v>719980</v>
      </c>
      <c r="C11" s="2">
        <v>886647</v>
      </c>
      <c r="D11" s="17">
        <f t="shared" si="0"/>
        <v>0.23148837467707437</v>
      </c>
      <c r="H11" s="4"/>
      <c r="I11" s="4"/>
      <c r="J11" s="4"/>
      <c r="K11" s="4"/>
      <c r="L11" s="4"/>
      <c r="M11" s="4"/>
      <c r="N11" s="4"/>
    </row>
    <row r="12" spans="1:14" x14ac:dyDescent="0.3">
      <c r="A12" s="18" t="s">
        <v>47</v>
      </c>
      <c r="B12" s="14">
        <v>519323</v>
      </c>
      <c r="C12" s="2">
        <v>711221</v>
      </c>
      <c r="D12" s="17">
        <f t="shared" si="0"/>
        <v>0.36951569639704002</v>
      </c>
      <c r="H12" s="4"/>
      <c r="I12" s="4"/>
      <c r="J12" s="4"/>
      <c r="K12" s="4"/>
      <c r="L12" s="4"/>
      <c r="M12" s="4"/>
      <c r="N12" s="4"/>
    </row>
    <row r="13" spans="1:14" x14ac:dyDescent="0.3">
      <c r="A13" s="18" t="s">
        <v>24</v>
      </c>
      <c r="B13" s="14">
        <v>71593</v>
      </c>
      <c r="C13" s="2">
        <v>52847</v>
      </c>
      <c r="D13" s="17">
        <f t="shared" si="0"/>
        <v>-0.2618412414621541</v>
      </c>
      <c r="H13" s="4"/>
      <c r="I13" s="4"/>
      <c r="J13" s="4"/>
      <c r="K13" s="4"/>
      <c r="L13" s="4"/>
      <c r="M13" s="4"/>
      <c r="N13" s="4"/>
    </row>
    <row r="14" spans="1:14" x14ac:dyDescent="0.3">
      <c r="A14" s="18" t="s">
        <v>25</v>
      </c>
      <c r="B14" s="14">
        <v>12506</v>
      </c>
      <c r="C14" s="2">
        <v>1207</v>
      </c>
      <c r="D14" s="17">
        <f t="shared" si="0"/>
        <v>-0.90348632656324968</v>
      </c>
      <c r="H14" s="4"/>
      <c r="I14" s="4"/>
      <c r="J14" s="4"/>
      <c r="K14" s="4"/>
      <c r="L14" s="4"/>
      <c r="M14" s="4"/>
      <c r="N14" s="4"/>
    </row>
    <row r="15" spans="1:14" x14ac:dyDescent="0.3">
      <c r="A15" s="18" t="s">
        <v>26</v>
      </c>
      <c r="B15" s="14">
        <v>2360009</v>
      </c>
      <c r="C15" s="2">
        <v>3343736</v>
      </c>
      <c r="D15" s="17">
        <f t="shared" si="0"/>
        <v>0.41683188496315055</v>
      </c>
      <c r="H15" s="4"/>
      <c r="I15" s="4"/>
      <c r="J15" s="4"/>
      <c r="K15" s="4"/>
      <c r="L15" s="4"/>
      <c r="M15" s="4"/>
      <c r="N15" s="4"/>
    </row>
    <row r="16" spans="1:14" ht="15.75" thickBot="1" x14ac:dyDescent="0.35">
      <c r="A16" s="26" t="s">
        <v>27</v>
      </c>
      <c r="B16" s="27">
        <f>SUM(B7:B15)</f>
        <v>5344322</v>
      </c>
      <c r="C16" s="64">
        <f>SUM(C7:C15)</f>
        <v>6609093</v>
      </c>
      <c r="D16" s="45">
        <f t="shared" si="0"/>
        <v>0.23665696041518455</v>
      </c>
      <c r="H16" s="4"/>
      <c r="I16" s="4"/>
      <c r="J16" s="4"/>
      <c r="K16" s="4"/>
      <c r="L16" s="4"/>
      <c r="M16" s="4"/>
      <c r="N16" s="4"/>
    </row>
    <row r="17" spans="1:14" x14ac:dyDescent="0.3">
      <c r="A17" s="1"/>
      <c r="H17" s="4"/>
      <c r="I17" s="4"/>
      <c r="J17" s="4"/>
      <c r="K17" s="4"/>
      <c r="L17" s="4"/>
      <c r="M17" s="4"/>
      <c r="N17" s="4"/>
    </row>
    <row r="18" spans="1:14" x14ac:dyDescent="0.3">
      <c r="A18" s="6" t="s">
        <v>48</v>
      </c>
      <c r="B18" s="6">
        <v>2008</v>
      </c>
      <c r="C18" s="6">
        <v>2009</v>
      </c>
      <c r="D18" s="7" t="s">
        <v>46</v>
      </c>
      <c r="H18" s="4"/>
      <c r="I18" s="4"/>
      <c r="J18" s="4"/>
      <c r="K18" s="4"/>
      <c r="L18" s="4"/>
      <c r="M18" s="4"/>
      <c r="N18" s="4"/>
    </row>
    <row r="19" spans="1:14" x14ac:dyDescent="0.3">
      <c r="A19" s="18" t="s">
        <v>28</v>
      </c>
      <c r="B19" s="14">
        <v>796807</v>
      </c>
      <c r="C19" s="2">
        <v>1054632.5706948291</v>
      </c>
      <c r="D19" s="17">
        <f t="shared" ref="D19:D30" si="1">+(C19-B19)/B19</f>
        <v>0.32357342580427773</v>
      </c>
      <c r="H19" s="4"/>
      <c r="I19" s="4"/>
      <c r="J19" s="4"/>
      <c r="K19" s="4"/>
      <c r="L19" s="4"/>
      <c r="M19" s="4"/>
      <c r="N19" s="4"/>
    </row>
    <row r="20" spans="1:14" x14ac:dyDescent="0.3">
      <c r="A20" s="18" t="s">
        <v>49</v>
      </c>
      <c r="B20" s="14">
        <v>186788</v>
      </c>
      <c r="C20" s="2">
        <f>81765</f>
        <v>81765</v>
      </c>
      <c r="D20" s="17">
        <f t="shared" si="1"/>
        <v>-0.56225774675032658</v>
      </c>
      <c r="H20" s="4"/>
      <c r="I20" s="4"/>
      <c r="J20" s="4"/>
      <c r="K20" s="4"/>
      <c r="L20" s="4"/>
      <c r="M20" s="4"/>
      <c r="N20" s="4"/>
    </row>
    <row r="21" spans="1:14" x14ac:dyDescent="0.3">
      <c r="A21" s="18" t="s">
        <v>38</v>
      </c>
      <c r="B21" s="14">
        <v>127818</v>
      </c>
      <c r="C21" s="2">
        <f>217636-1905.6</f>
        <v>215730.4</v>
      </c>
      <c r="D21" s="17">
        <f t="shared" si="1"/>
        <v>0.68779358149869341</v>
      </c>
      <c r="H21" s="4"/>
      <c r="I21" s="4"/>
      <c r="J21" s="4"/>
      <c r="K21" s="4"/>
      <c r="L21" s="4"/>
      <c r="M21" s="4"/>
      <c r="N21" s="4"/>
    </row>
    <row r="22" spans="1:14" x14ac:dyDescent="0.3">
      <c r="A22" s="18" t="s">
        <v>30</v>
      </c>
      <c r="B22" s="14">
        <v>38488</v>
      </c>
      <c r="C22" s="2">
        <v>37357</v>
      </c>
      <c r="D22" s="17">
        <f t="shared" si="1"/>
        <v>-2.9385782581583871E-2</v>
      </c>
      <c r="H22" s="4"/>
      <c r="I22" s="4"/>
      <c r="J22" s="4"/>
      <c r="K22" s="4"/>
      <c r="L22" s="4"/>
      <c r="M22" s="4"/>
      <c r="N22" s="4"/>
    </row>
    <row r="23" spans="1:14" x14ac:dyDescent="0.3">
      <c r="A23" s="18" t="s">
        <v>31</v>
      </c>
      <c r="B23" s="14">
        <v>40209</v>
      </c>
      <c r="C23" s="2">
        <v>45206</v>
      </c>
      <c r="D23" s="17">
        <f t="shared" si="1"/>
        <v>0.12427565967818151</v>
      </c>
      <c r="H23" s="4"/>
      <c r="I23" s="4"/>
      <c r="J23" s="4"/>
      <c r="K23" s="4"/>
      <c r="L23" s="4"/>
      <c r="M23" s="4"/>
      <c r="N23" s="4"/>
    </row>
    <row r="24" spans="1:14" x14ac:dyDescent="0.3">
      <c r="A24" s="18" t="s">
        <v>32</v>
      </c>
      <c r="B24" s="14">
        <v>226589</v>
      </c>
      <c r="C24" s="2">
        <v>209845</v>
      </c>
      <c r="D24" s="17">
        <f t="shared" si="1"/>
        <v>-7.3895908450983941E-2</v>
      </c>
      <c r="H24" s="4"/>
      <c r="I24" s="4"/>
      <c r="J24" s="4"/>
      <c r="K24" s="4"/>
      <c r="L24" s="4"/>
      <c r="M24" s="4"/>
      <c r="N24" s="4"/>
    </row>
    <row r="25" spans="1:14" x14ac:dyDescent="0.3">
      <c r="A25" s="18" t="s">
        <v>24</v>
      </c>
      <c r="B25" s="14">
        <v>45256</v>
      </c>
      <c r="C25" s="2">
        <v>52938</v>
      </c>
      <c r="D25" s="17">
        <f t="shared" si="1"/>
        <v>0.16974544811737671</v>
      </c>
      <c r="H25" s="4"/>
      <c r="I25" s="4"/>
      <c r="J25" s="4"/>
      <c r="K25" s="4"/>
      <c r="L25" s="4"/>
      <c r="M25" s="4"/>
      <c r="N25" s="4"/>
    </row>
    <row r="26" spans="1:14" x14ac:dyDescent="0.3">
      <c r="A26" s="18" t="s">
        <v>0</v>
      </c>
      <c r="B26" s="14">
        <v>3964</v>
      </c>
      <c r="C26" s="2">
        <v>470</v>
      </c>
      <c r="D26" s="17">
        <f t="shared" si="1"/>
        <v>-0.8814328960645812</v>
      </c>
      <c r="H26" s="4"/>
      <c r="I26" s="4"/>
      <c r="J26" s="4"/>
      <c r="K26" s="4"/>
      <c r="L26" s="4"/>
      <c r="M26" s="4"/>
      <c r="N26" s="4"/>
    </row>
    <row r="27" spans="1:14" x14ac:dyDescent="0.3">
      <c r="A27" s="18" t="s">
        <v>33</v>
      </c>
      <c r="B27" s="30">
        <f>SUM(B19:B26)</f>
        <v>1465919</v>
      </c>
      <c r="C27" s="60">
        <f>SUM(C19:C26)</f>
        <v>1697943.970694829</v>
      </c>
      <c r="D27" s="17">
        <f t="shared" si="1"/>
        <v>0.15827953024336885</v>
      </c>
      <c r="H27" s="4"/>
      <c r="I27" s="4"/>
      <c r="J27" s="4"/>
      <c r="K27" s="4"/>
      <c r="L27" s="4"/>
      <c r="M27" s="4"/>
      <c r="N27" s="4"/>
    </row>
    <row r="28" spans="1:14" x14ac:dyDescent="0.3">
      <c r="A28" s="18" t="s">
        <v>39</v>
      </c>
      <c r="B28" s="14">
        <v>2365</v>
      </c>
      <c r="C28" s="2">
        <v>3220</v>
      </c>
      <c r="D28" s="17">
        <f t="shared" si="1"/>
        <v>0.36152219873150104</v>
      </c>
      <c r="H28" s="4"/>
      <c r="I28" s="4"/>
      <c r="J28" s="4"/>
      <c r="K28" s="4"/>
      <c r="L28" s="4"/>
      <c r="M28" s="4"/>
      <c r="N28" s="4"/>
    </row>
    <row r="29" spans="1:14" x14ac:dyDescent="0.3">
      <c r="A29" s="32" t="s">
        <v>34</v>
      </c>
      <c r="B29" s="32">
        <v>3876038</v>
      </c>
      <c r="C29" s="65">
        <v>4907929</v>
      </c>
      <c r="D29" s="47">
        <f t="shared" si="1"/>
        <v>0.26622313816324816</v>
      </c>
      <c r="H29" s="4"/>
      <c r="I29" s="4"/>
      <c r="J29" s="4"/>
      <c r="K29" s="4"/>
      <c r="L29" s="4"/>
      <c r="M29" s="4"/>
      <c r="N29" s="4"/>
    </row>
    <row r="30" spans="1:14" ht="15.75" thickBot="1" x14ac:dyDescent="0.35">
      <c r="A30" s="27" t="s">
        <v>35</v>
      </c>
      <c r="B30" s="27">
        <f>+B27+B28+B29</f>
        <v>5344322</v>
      </c>
      <c r="C30" s="64">
        <f>+C27+C28+C29</f>
        <v>6609092.9706948288</v>
      </c>
      <c r="D30" s="45">
        <f t="shared" si="1"/>
        <v>0.23665695493176286</v>
      </c>
      <c r="H30" s="4"/>
      <c r="I30" s="4"/>
      <c r="J30" s="4"/>
      <c r="K30" s="4"/>
      <c r="L30" s="4"/>
      <c r="M30" s="4"/>
      <c r="N30" s="4"/>
    </row>
    <row r="31" spans="1:14" x14ac:dyDescent="0.3">
      <c r="A31" s="19"/>
      <c r="B31" s="14"/>
      <c r="C31" s="14"/>
      <c r="D31" s="17"/>
      <c r="H31" s="4"/>
      <c r="I31" s="4"/>
      <c r="J31" s="4"/>
      <c r="K31" s="4"/>
      <c r="L31" s="4"/>
      <c r="M31" s="4"/>
      <c r="N31" s="4"/>
    </row>
    <row r="32" spans="1:14" x14ac:dyDescent="0.3">
      <c r="A32" s="41" t="s">
        <v>3</v>
      </c>
      <c r="B32" s="4"/>
      <c r="C32" s="4"/>
      <c r="D32" s="4"/>
      <c r="E32" s="4"/>
      <c r="I32" s="4"/>
      <c r="J32" s="4"/>
      <c r="K32" s="4"/>
      <c r="L32" s="4"/>
      <c r="M32" s="4"/>
      <c r="N32" s="4"/>
    </row>
    <row r="33" spans="1:21" x14ac:dyDescent="0.3">
      <c r="A33" s="41" t="s">
        <v>62</v>
      </c>
      <c r="B33" s="4"/>
      <c r="C33" s="4"/>
      <c r="D33" s="4"/>
      <c r="E33" s="4"/>
      <c r="I33" s="4"/>
      <c r="J33" s="4"/>
      <c r="K33" s="4"/>
      <c r="L33" s="4"/>
      <c r="M33" s="4"/>
      <c r="N33" s="4"/>
    </row>
    <row r="34" spans="1:21" x14ac:dyDescent="0.3">
      <c r="A34" s="41" t="s">
        <v>44</v>
      </c>
      <c r="B34" s="4"/>
      <c r="C34" s="4"/>
      <c r="D34" s="4"/>
      <c r="E34" s="4"/>
      <c r="I34" s="4"/>
      <c r="J34" s="4"/>
      <c r="K34" s="4"/>
      <c r="L34" s="4"/>
      <c r="M34" s="4"/>
      <c r="N34" s="4"/>
    </row>
    <row r="35" spans="1:21" x14ac:dyDescent="0.3">
      <c r="A35" s="41" t="s">
        <v>45</v>
      </c>
      <c r="B35" s="4"/>
      <c r="C35" s="4"/>
      <c r="D35" s="4"/>
      <c r="E35" s="4"/>
      <c r="I35" s="4"/>
      <c r="J35" s="4"/>
      <c r="K35" s="4"/>
      <c r="L35" s="4"/>
      <c r="M35" s="4"/>
      <c r="N35" s="4"/>
    </row>
    <row r="36" spans="1:21" x14ac:dyDescent="0.3">
      <c r="A36" s="6"/>
      <c r="B36" s="6">
        <v>2008</v>
      </c>
      <c r="C36" s="6" t="s">
        <v>55</v>
      </c>
      <c r="D36" s="6">
        <v>2009</v>
      </c>
      <c r="E36" s="6" t="s">
        <v>55</v>
      </c>
      <c r="F36" s="7" t="s">
        <v>46</v>
      </c>
      <c r="I36" s="4"/>
      <c r="J36" s="4"/>
      <c r="K36" s="4"/>
      <c r="L36" s="4"/>
      <c r="M36" s="4"/>
      <c r="N36" s="4"/>
    </row>
    <row r="37" spans="1:21" s="9" customFormat="1" x14ac:dyDescent="0.3">
      <c r="A37" s="30" t="s">
        <v>4</v>
      </c>
      <c r="B37" s="50">
        <v>2831071</v>
      </c>
      <c r="C37" s="42">
        <v>1</v>
      </c>
      <c r="D37" s="62">
        <v>3294452</v>
      </c>
      <c r="E37" s="42">
        <v>1</v>
      </c>
      <c r="F37" s="17">
        <f>IF(B37&lt;&gt;0,(D37-B37)/B37,0)</f>
        <v>0.16367692650590537</v>
      </c>
      <c r="G37" s="8"/>
      <c r="H37" s="5"/>
      <c r="I37" s="4"/>
      <c r="J37" s="4"/>
      <c r="K37" s="4"/>
      <c r="L37" s="4"/>
      <c r="M37" s="4"/>
      <c r="N37" s="4"/>
      <c r="O37" s="5"/>
      <c r="P37" s="5"/>
      <c r="Q37" s="5"/>
      <c r="R37" s="5"/>
      <c r="S37" s="5"/>
      <c r="T37" s="5"/>
      <c r="U37" s="5"/>
    </row>
    <row r="38" spans="1:21" x14ac:dyDescent="0.3">
      <c r="A38" s="14" t="s">
        <v>50</v>
      </c>
      <c r="B38" s="51">
        <v>-1665171</v>
      </c>
      <c r="C38" s="17">
        <f t="shared" ref="C38:C55" si="2">+B38/$B$37</f>
        <v>-0.58817705384287433</v>
      </c>
      <c r="D38" s="10">
        <v>-2044306</v>
      </c>
      <c r="E38" s="17">
        <f>+D38/$D$37</f>
        <v>-0.62052990907137207</v>
      </c>
      <c r="F38" s="17">
        <f t="shared" ref="F38:F53" si="3">IF(B38&lt;&gt;0,(D38-B38)/B38,0)</f>
        <v>0.22768532481048492</v>
      </c>
      <c r="I38" s="4"/>
      <c r="J38" s="4"/>
      <c r="K38" s="4"/>
      <c r="L38" s="4"/>
      <c r="M38" s="4"/>
      <c r="N38" s="4"/>
    </row>
    <row r="39" spans="1:21" s="9" customFormat="1" x14ac:dyDescent="0.3">
      <c r="A39" s="30" t="s">
        <v>6</v>
      </c>
      <c r="B39" s="30">
        <f>SUM(B37:B38)</f>
        <v>1165900</v>
      </c>
      <c r="C39" s="42">
        <f t="shared" si="2"/>
        <v>0.41182294615712567</v>
      </c>
      <c r="D39" s="60">
        <f>SUM(D37:D38)</f>
        <v>1250146</v>
      </c>
      <c r="E39" s="42">
        <f t="shared" ref="E39:E55" si="4">+D39/$D$37</f>
        <v>0.37947009092862788</v>
      </c>
      <c r="F39" s="17">
        <f t="shared" si="3"/>
        <v>7.2258341195642853E-2</v>
      </c>
      <c r="G39" s="8"/>
      <c r="H39" s="5"/>
      <c r="I39" s="4"/>
      <c r="J39" s="4"/>
      <c r="K39" s="4"/>
      <c r="L39" s="4"/>
      <c r="M39" s="4"/>
      <c r="N39" s="4"/>
      <c r="O39" s="5"/>
      <c r="P39" s="5"/>
      <c r="Q39" s="5"/>
      <c r="R39" s="5"/>
      <c r="S39" s="5"/>
      <c r="T39" s="5"/>
      <c r="U39" s="5"/>
    </row>
    <row r="40" spans="1:21" x14ac:dyDescent="0.3">
      <c r="A40" s="14" t="s">
        <v>7</v>
      </c>
      <c r="B40" s="14">
        <v>-131989</v>
      </c>
      <c r="C40" s="17">
        <f t="shared" si="2"/>
        <v>-4.6621578900705778E-2</v>
      </c>
      <c r="D40" s="2">
        <v>-161228</v>
      </c>
      <c r="E40" s="17">
        <f t="shared" si="4"/>
        <v>-4.8939246952148643E-2</v>
      </c>
      <c r="F40" s="17">
        <f t="shared" si="3"/>
        <v>0.22152603626059747</v>
      </c>
      <c r="I40" s="4"/>
      <c r="J40" s="4"/>
      <c r="K40" s="4"/>
      <c r="L40" s="4"/>
      <c r="M40" s="4"/>
      <c r="N40" s="4"/>
    </row>
    <row r="41" spans="1:21" x14ac:dyDescent="0.3">
      <c r="A41" s="14" t="s">
        <v>8</v>
      </c>
      <c r="B41" s="14">
        <v>-691355</v>
      </c>
      <c r="C41" s="17">
        <f t="shared" si="2"/>
        <v>-0.24420263568098433</v>
      </c>
      <c r="D41" s="2">
        <v>-776011</v>
      </c>
      <c r="E41" s="17">
        <f t="shared" si="4"/>
        <v>-0.23555085944490919</v>
      </c>
      <c r="F41" s="17">
        <f t="shared" si="3"/>
        <v>0.1224493928589509</v>
      </c>
      <c r="I41" s="4"/>
      <c r="J41" s="4"/>
      <c r="K41" s="4"/>
      <c r="L41" s="4"/>
      <c r="M41" s="4"/>
      <c r="N41" s="4"/>
    </row>
    <row r="42" spans="1:21" s="9" customFormat="1" x14ac:dyDescent="0.3">
      <c r="A42" s="30" t="s">
        <v>9</v>
      </c>
      <c r="B42" s="30">
        <f>SUM(B40:B41)</f>
        <v>-823344</v>
      </c>
      <c r="C42" s="42">
        <f t="shared" si="2"/>
        <v>-0.29082421458169011</v>
      </c>
      <c r="D42" s="60">
        <f>SUM(D40:D41)</f>
        <v>-937239</v>
      </c>
      <c r="E42" s="42">
        <f t="shared" si="4"/>
        <v>-0.28449010639705785</v>
      </c>
      <c r="F42" s="17">
        <f t="shared" si="3"/>
        <v>0.13833221593890282</v>
      </c>
      <c r="G42" s="8"/>
      <c r="H42" s="5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5"/>
    </row>
    <row r="43" spans="1:21" s="9" customFormat="1" x14ac:dyDescent="0.3">
      <c r="A43" s="30" t="s">
        <v>1</v>
      </c>
      <c r="B43" s="30">
        <f>+B39+B42</f>
        <v>342556</v>
      </c>
      <c r="C43" s="42">
        <f t="shared" si="2"/>
        <v>0.12099873157543559</v>
      </c>
      <c r="D43" s="60">
        <f>+D39+D42</f>
        <v>312907</v>
      </c>
      <c r="E43" s="42">
        <f t="shared" si="4"/>
        <v>9.4979984531570041E-2</v>
      </c>
      <c r="F43" s="17">
        <f t="shared" si="3"/>
        <v>-8.6552271745349671E-2</v>
      </c>
      <c r="G43" s="8"/>
      <c r="H43" s="5"/>
      <c r="I43" s="4"/>
      <c r="J43" s="4"/>
      <c r="K43" s="4"/>
      <c r="L43" s="4"/>
      <c r="M43" s="4"/>
      <c r="N43" s="4"/>
      <c r="O43" s="5"/>
      <c r="P43" s="5"/>
      <c r="Q43" s="5"/>
      <c r="R43" s="5"/>
      <c r="S43" s="5"/>
      <c r="T43" s="5"/>
      <c r="U43" s="5"/>
    </row>
    <row r="44" spans="1:21" x14ac:dyDescent="0.3">
      <c r="A44" s="14" t="s">
        <v>51</v>
      </c>
      <c r="B44" s="14">
        <v>8246</v>
      </c>
      <c r="C44" s="17">
        <f t="shared" si="2"/>
        <v>2.9126786293950241E-3</v>
      </c>
      <c r="D44" s="2">
        <v>7179</v>
      </c>
      <c r="E44" s="17">
        <f t="shared" si="4"/>
        <v>2.1791181052266051E-3</v>
      </c>
      <c r="F44" s="17">
        <f t="shared" si="3"/>
        <v>-0.12939607082221682</v>
      </c>
      <c r="I44" s="4"/>
      <c r="J44" s="4"/>
      <c r="K44" s="4"/>
      <c r="L44" s="4"/>
      <c r="M44" s="4"/>
      <c r="N44" s="4"/>
    </row>
    <row r="45" spans="1:21" x14ac:dyDescent="0.3">
      <c r="A45" s="14" t="s">
        <v>11</v>
      </c>
      <c r="B45" s="14">
        <v>-58740</v>
      </c>
      <c r="C45" s="17">
        <f t="shared" si="2"/>
        <v>-2.0748331638450607E-2</v>
      </c>
      <c r="D45" s="2">
        <v>-86299</v>
      </c>
      <c r="E45" s="17">
        <f t="shared" si="4"/>
        <v>-2.6195251896218248E-2</v>
      </c>
      <c r="F45" s="17">
        <f t="shared" si="3"/>
        <v>0.46916922029281583</v>
      </c>
      <c r="I45" s="4"/>
      <c r="J45" s="4"/>
      <c r="K45" s="4"/>
      <c r="L45" s="4"/>
      <c r="M45" s="4"/>
      <c r="N45" s="4"/>
    </row>
    <row r="46" spans="1:21" x14ac:dyDescent="0.3">
      <c r="A46" s="14" t="s">
        <v>12</v>
      </c>
      <c r="B46" s="14">
        <v>-16111</v>
      </c>
      <c r="C46" s="17">
        <f t="shared" si="2"/>
        <v>-5.6907792139441219E-3</v>
      </c>
      <c r="D46" s="2">
        <v>5828</v>
      </c>
      <c r="E46" s="17">
        <f t="shared" si="4"/>
        <v>1.7690347286893238E-3</v>
      </c>
      <c r="F46" s="17">
        <f t="shared" si="3"/>
        <v>-1.3617404257960399</v>
      </c>
      <c r="I46" s="4"/>
      <c r="J46" s="4"/>
      <c r="K46" s="4"/>
      <c r="L46" s="4"/>
      <c r="M46" s="4"/>
      <c r="N46" s="4"/>
    </row>
    <row r="47" spans="1:21" x14ac:dyDescent="0.3">
      <c r="A47" s="14" t="s">
        <v>52</v>
      </c>
      <c r="B47" s="14">
        <v>-115324</v>
      </c>
      <c r="C47" s="17">
        <f t="shared" si="2"/>
        <v>-4.0735114025752091E-2</v>
      </c>
      <c r="D47" s="2">
        <v>-71990</v>
      </c>
      <c r="E47" s="17">
        <f t="shared" si="4"/>
        <v>-2.1851889176105768E-2</v>
      </c>
      <c r="F47" s="17">
        <f t="shared" si="3"/>
        <v>-0.37575873192050224</v>
      </c>
      <c r="I47" s="4"/>
      <c r="J47" s="4"/>
      <c r="K47" s="4"/>
      <c r="L47" s="4"/>
      <c r="M47" s="4"/>
      <c r="N47" s="4"/>
    </row>
    <row r="48" spans="1:21" x14ac:dyDescent="0.3">
      <c r="A48" s="14" t="s">
        <v>14</v>
      </c>
      <c r="B48" s="14">
        <v>21671</v>
      </c>
      <c r="C48" s="17">
        <f t="shared" si="2"/>
        <v>7.6547002883361106E-3</v>
      </c>
      <c r="D48" s="2">
        <v>21700</v>
      </c>
      <c r="E48" s="17">
        <f t="shared" si="4"/>
        <v>6.5868314366091842E-3</v>
      </c>
      <c r="F48" s="17">
        <f t="shared" si="3"/>
        <v>1.3381938996816021E-3</v>
      </c>
      <c r="I48" s="4"/>
      <c r="J48" s="4"/>
      <c r="K48" s="4"/>
      <c r="L48" s="4"/>
      <c r="M48" s="4"/>
      <c r="N48" s="4"/>
    </row>
    <row r="49" spans="1:21" x14ac:dyDescent="0.3">
      <c r="A49" s="14" t="s">
        <v>16</v>
      </c>
      <c r="B49" s="14">
        <v>80356</v>
      </c>
      <c r="C49" s="17">
        <f t="shared" si="2"/>
        <v>2.8383604649971691E-2</v>
      </c>
      <c r="D49" s="2">
        <v>2124</v>
      </c>
      <c r="E49" s="17">
        <f t="shared" si="4"/>
        <v>6.4472027517778376E-4</v>
      </c>
      <c r="F49" s="17">
        <f t="shared" si="3"/>
        <v>-0.97356762407287567</v>
      </c>
      <c r="I49" s="4"/>
      <c r="J49" s="4"/>
      <c r="K49" s="4"/>
      <c r="L49" s="4"/>
      <c r="M49" s="4"/>
      <c r="N49" s="4"/>
    </row>
    <row r="50" spans="1:21" s="9" customFormat="1" x14ac:dyDescent="0.3">
      <c r="A50" s="30" t="s">
        <v>2</v>
      </c>
      <c r="B50" s="30">
        <f>SUM(B44:B49)</f>
        <v>-79902</v>
      </c>
      <c r="C50" s="42">
        <f t="shared" si="2"/>
        <v>-2.8223241310443997E-2</v>
      </c>
      <c r="D50" s="60">
        <f>SUM(D44:D49)</f>
        <v>-121458</v>
      </c>
      <c r="E50" s="42">
        <f t="shared" si="4"/>
        <v>-3.6867436526621118E-2</v>
      </c>
      <c r="F50" s="17">
        <f t="shared" si="3"/>
        <v>0.52008710670571445</v>
      </c>
      <c r="G50" s="8"/>
      <c r="H50" s="5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5"/>
    </row>
    <row r="51" spans="1:21" s="9" customFormat="1" x14ac:dyDescent="0.3">
      <c r="A51" s="30" t="s">
        <v>41</v>
      </c>
      <c r="B51" s="30">
        <f>+B43+B50</f>
        <v>262654</v>
      </c>
      <c r="C51" s="42">
        <f t="shared" si="2"/>
        <v>9.2775490264991586E-2</v>
      </c>
      <c r="D51" s="60">
        <f>+D43+D50</f>
        <v>191449</v>
      </c>
      <c r="E51" s="42">
        <f t="shared" si="4"/>
        <v>5.8112548004948923E-2</v>
      </c>
      <c r="F51" s="17">
        <f t="shared" si="3"/>
        <v>-0.27109809863927448</v>
      </c>
      <c r="G51" s="8"/>
      <c r="H51" s="5"/>
      <c r="I51" s="4"/>
      <c r="J51" s="4"/>
      <c r="K51" s="4"/>
      <c r="L51" s="4"/>
      <c r="M51" s="4"/>
      <c r="N51" s="4"/>
      <c r="O51" s="5"/>
      <c r="P51" s="5"/>
      <c r="Q51" s="5"/>
      <c r="R51" s="5"/>
      <c r="S51" s="5"/>
      <c r="T51" s="5"/>
      <c r="U51" s="5"/>
    </row>
    <row r="52" spans="1:21" x14ac:dyDescent="0.3">
      <c r="A52" s="14" t="s">
        <v>15</v>
      </c>
      <c r="B52" s="14">
        <v>-82750</v>
      </c>
      <c r="C52" s="17">
        <f t="shared" si="2"/>
        <v>-2.9229221026247663E-2</v>
      </c>
      <c r="D52" s="2">
        <v>-69551</v>
      </c>
      <c r="E52" s="17">
        <f t="shared" si="4"/>
        <v>-2.1111553605880431E-2</v>
      </c>
      <c r="F52" s="17">
        <f t="shared" si="3"/>
        <v>-0.15950453172205439</v>
      </c>
      <c r="I52" s="4"/>
      <c r="J52" s="4"/>
      <c r="K52" s="4"/>
      <c r="L52" s="4"/>
      <c r="M52" s="4"/>
      <c r="N52" s="4"/>
    </row>
    <row r="53" spans="1:21" x14ac:dyDescent="0.3">
      <c r="A53" s="14" t="s">
        <v>18</v>
      </c>
      <c r="B53" s="14">
        <v>451</v>
      </c>
      <c r="C53" s="17">
        <f t="shared" si="2"/>
        <v>1.59303669883235E-4</v>
      </c>
      <c r="D53" s="2">
        <v>-146</v>
      </c>
      <c r="E53" s="17">
        <f t="shared" si="4"/>
        <v>-4.4316930402992667E-5</v>
      </c>
      <c r="F53" s="17">
        <f t="shared" si="3"/>
        <v>-1.3237250554323725</v>
      </c>
      <c r="I53" s="4"/>
      <c r="J53" s="4"/>
      <c r="K53" s="4"/>
      <c r="L53" s="4"/>
      <c r="M53" s="4"/>
      <c r="N53" s="4"/>
    </row>
    <row r="54" spans="1:21" s="9" customFormat="1" x14ac:dyDescent="0.3">
      <c r="A54" s="43" t="s">
        <v>17</v>
      </c>
      <c r="B54" s="43">
        <f>+B51+B52+B53</f>
        <v>180355</v>
      </c>
      <c r="C54" s="44">
        <f t="shared" si="2"/>
        <v>6.3705572908627162E-2</v>
      </c>
      <c r="D54" s="63">
        <f>+D51+D52+D53</f>
        <v>121752</v>
      </c>
      <c r="E54" s="44">
        <f t="shared" si="4"/>
        <v>3.6956677468665503E-2</v>
      </c>
      <c r="F54" s="44">
        <f>+(D54-B54)/B54</f>
        <v>-0.32493138532339</v>
      </c>
      <c r="G54" s="8"/>
      <c r="H54" s="5"/>
      <c r="I54" s="4"/>
      <c r="J54" s="4"/>
      <c r="K54" s="4"/>
      <c r="L54" s="4"/>
      <c r="M54" s="4"/>
      <c r="N54" s="4"/>
      <c r="O54" s="5"/>
      <c r="P54" s="5"/>
      <c r="Q54" s="5"/>
      <c r="R54" s="5"/>
      <c r="S54" s="5"/>
      <c r="T54" s="5"/>
      <c r="U54" s="5"/>
    </row>
    <row r="55" spans="1:21" s="9" customFormat="1" ht="15.75" thickBot="1" x14ac:dyDescent="0.35">
      <c r="A55" s="27" t="s">
        <v>19</v>
      </c>
      <c r="B55" s="27">
        <v>415965</v>
      </c>
      <c r="C55" s="45">
        <f t="shared" si="2"/>
        <v>0.14692849455206175</v>
      </c>
      <c r="D55" s="64">
        <v>379670</v>
      </c>
      <c r="E55" s="45">
        <f t="shared" si="4"/>
        <v>0.11524526689112484</v>
      </c>
      <c r="F55" s="45">
        <f>+(D55-B55)/B55</f>
        <v>-8.7254937314437508E-2</v>
      </c>
      <c r="G55" s="8"/>
      <c r="H55" s="5"/>
      <c r="I55" s="4"/>
      <c r="J55" s="4"/>
      <c r="K55" s="4"/>
      <c r="L55" s="4"/>
      <c r="M55" s="4"/>
      <c r="N55" s="4"/>
      <c r="O55" s="5"/>
      <c r="P55" s="5"/>
      <c r="Q55" s="5"/>
      <c r="R55" s="5"/>
      <c r="S55" s="5"/>
      <c r="T55" s="5"/>
      <c r="U55" s="5"/>
    </row>
    <row r="56" spans="1:21" x14ac:dyDescent="0.3">
      <c r="A56" s="2"/>
      <c r="C56" s="3"/>
      <c r="D56" s="10"/>
      <c r="I56" s="4"/>
      <c r="J56" s="4"/>
      <c r="K56" s="4"/>
      <c r="L56" s="4"/>
      <c r="M56" s="4"/>
      <c r="N56" s="4"/>
    </row>
    <row r="57" spans="1:21" x14ac:dyDescent="0.3">
      <c r="A57" s="19" t="s">
        <v>53</v>
      </c>
      <c r="B57" s="14"/>
      <c r="C57" s="14"/>
      <c r="D57" s="17"/>
      <c r="I57" s="4"/>
      <c r="J57" s="4"/>
      <c r="K57" s="4"/>
      <c r="L57" s="4"/>
      <c r="M57" s="4"/>
      <c r="N57" s="4"/>
    </row>
    <row r="58" spans="1:21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20" zoomScale="86" zoomScaleNormal="86" workbookViewId="0">
      <selection activeCell="C43" sqref="C43"/>
    </sheetView>
  </sheetViews>
  <sheetFormatPr baseColWidth="10" defaultRowHeight="15" x14ac:dyDescent="0.3"/>
  <cols>
    <col min="1" max="1" width="43.7109375" style="5" customWidth="1"/>
    <col min="2" max="3" width="11.7109375" style="14" bestFit="1" customWidth="1"/>
    <col min="4" max="4" width="13.28515625" style="3" bestFit="1" customWidth="1"/>
    <col min="5" max="6" width="11.42578125" style="5"/>
    <col min="7" max="7" width="28.5703125" style="11" bestFit="1" customWidth="1"/>
    <col min="8" max="8" width="11.5703125" style="5" bestFit="1" customWidth="1"/>
    <col min="9" max="16384" width="11.42578125" style="5"/>
  </cols>
  <sheetData>
    <row r="1" spans="1:11" x14ac:dyDescent="0.3">
      <c r="A1" s="24" t="s">
        <v>69</v>
      </c>
    </row>
    <row r="2" spans="1:11" x14ac:dyDescent="0.3">
      <c r="A2" s="24" t="s">
        <v>80</v>
      </c>
    </row>
    <row r="3" spans="1:11" x14ac:dyDescent="0.3">
      <c r="A3" s="24" t="s">
        <v>44</v>
      </c>
    </row>
    <row r="4" spans="1:11" x14ac:dyDescent="0.3">
      <c r="A4" s="24" t="s">
        <v>45</v>
      </c>
    </row>
    <row r="5" spans="1:11" ht="12" customHeight="1" x14ac:dyDescent="0.3">
      <c r="G5" s="5"/>
    </row>
    <row r="6" spans="1:11" x14ac:dyDescent="0.3">
      <c r="A6" s="6" t="s">
        <v>20</v>
      </c>
      <c r="B6" s="6">
        <v>2008</v>
      </c>
      <c r="C6" s="6">
        <v>2009</v>
      </c>
      <c r="D6" s="7" t="s">
        <v>46</v>
      </c>
      <c r="G6" s="5"/>
    </row>
    <row r="7" spans="1:11" x14ac:dyDescent="0.3">
      <c r="A7" s="18" t="s">
        <v>21</v>
      </c>
      <c r="B7" s="14">
        <v>382</v>
      </c>
      <c r="C7" s="14">
        <v>191</v>
      </c>
      <c r="D7" s="17">
        <f t="shared" ref="D7:D14" si="0">IF(B7&lt;&gt;0,(C7-B7)/B7,0)</f>
        <v>-0.5</v>
      </c>
      <c r="G7" s="5"/>
    </row>
    <row r="8" spans="1:11" x14ac:dyDescent="0.3">
      <c r="A8" s="18" t="s">
        <v>22</v>
      </c>
      <c r="B8" s="14">
        <v>3041332</v>
      </c>
      <c r="C8" s="14">
        <v>3601952</v>
      </c>
      <c r="D8" s="17">
        <f t="shared" si="0"/>
        <v>0.18433370641547847</v>
      </c>
      <c r="G8" s="5"/>
    </row>
    <row r="9" spans="1:11" s="11" customFormat="1" x14ac:dyDescent="0.3">
      <c r="A9" s="18" t="s">
        <v>23</v>
      </c>
      <c r="B9" s="14">
        <v>24218</v>
      </c>
      <c r="C9" s="14">
        <v>43410</v>
      </c>
      <c r="D9" s="17">
        <f t="shared" si="0"/>
        <v>0.79246841192501449</v>
      </c>
      <c r="E9" s="5"/>
      <c r="F9" s="5"/>
      <c r="G9" s="5"/>
      <c r="H9" s="5"/>
      <c r="I9" s="5"/>
      <c r="J9" s="5"/>
      <c r="K9" s="5"/>
    </row>
    <row r="10" spans="1:11" s="11" customFormat="1" x14ac:dyDescent="0.3">
      <c r="A10" s="18" t="s">
        <v>37</v>
      </c>
      <c r="B10" s="14">
        <v>50</v>
      </c>
      <c r="C10" s="14">
        <v>0</v>
      </c>
      <c r="D10" s="17">
        <f t="shared" si="0"/>
        <v>-1</v>
      </c>
      <c r="E10" s="5"/>
      <c r="F10" s="5"/>
      <c r="G10" s="5"/>
      <c r="H10" s="5"/>
      <c r="I10" s="5"/>
      <c r="J10" s="5"/>
      <c r="K10" s="5"/>
    </row>
    <row r="11" spans="1:11" s="11" customFormat="1" hidden="1" x14ac:dyDescent="0.3">
      <c r="A11" s="18" t="s">
        <v>24</v>
      </c>
      <c r="B11" s="14">
        <v>0</v>
      </c>
      <c r="C11" s="14">
        <v>0</v>
      </c>
      <c r="D11" s="17">
        <f t="shared" si="0"/>
        <v>0</v>
      </c>
      <c r="E11" s="5"/>
      <c r="F11" s="5"/>
      <c r="G11" s="5"/>
      <c r="H11" s="5"/>
      <c r="I11" s="5"/>
      <c r="J11" s="5"/>
      <c r="K11" s="5"/>
    </row>
    <row r="12" spans="1:11" s="11" customFormat="1" x14ac:dyDescent="0.3">
      <c r="A12" s="18" t="s">
        <v>59</v>
      </c>
      <c r="B12" s="14">
        <v>209</v>
      </c>
      <c r="C12" s="14">
        <v>209</v>
      </c>
      <c r="D12" s="17">
        <f t="shared" si="0"/>
        <v>0</v>
      </c>
      <c r="E12" s="5"/>
      <c r="F12" s="5"/>
      <c r="G12" s="5"/>
      <c r="H12" s="5"/>
      <c r="I12" s="5"/>
      <c r="J12" s="5"/>
      <c r="K12" s="5"/>
    </row>
    <row r="13" spans="1:11" s="11" customFormat="1" x14ac:dyDescent="0.3">
      <c r="A13" s="18" t="s">
        <v>26</v>
      </c>
      <c r="B13" s="14">
        <v>891321</v>
      </c>
      <c r="C13" s="14">
        <v>1869198</v>
      </c>
      <c r="D13" s="17">
        <f t="shared" si="0"/>
        <v>1.0971097954608946</v>
      </c>
      <c r="E13" s="5"/>
      <c r="F13" s="5"/>
      <c r="G13" s="5"/>
      <c r="H13" s="5"/>
      <c r="I13" s="5"/>
      <c r="J13" s="5"/>
      <c r="K13" s="5"/>
    </row>
    <row r="14" spans="1:11" s="11" customFormat="1" ht="15.75" thickBot="1" x14ac:dyDescent="0.35">
      <c r="A14" s="26" t="s">
        <v>27</v>
      </c>
      <c r="B14" s="27">
        <f>SUM(B7:B13)</f>
        <v>3957512</v>
      </c>
      <c r="C14" s="27">
        <f>SUM(C7:C13)</f>
        <v>5514960</v>
      </c>
      <c r="D14" s="46">
        <f t="shared" si="0"/>
        <v>0.39354220530474704</v>
      </c>
      <c r="E14" s="5"/>
      <c r="F14" s="5"/>
      <c r="G14" s="5"/>
      <c r="H14" s="5"/>
      <c r="I14" s="5"/>
      <c r="J14" s="5"/>
      <c r="K14" s="5"/>
    </row>
    <row r="15" spans="1:11" x14ac:dyDescent="0.3">
      <c r="G15" s="5"/>
    </row>
    <row r="16" spans="1:11" s="11" customFormat="1" x14ac:dyDescent="0.3">
      <c r="A16" s="6" t="s">
        <v>48</v>
      </c>
      <c r="B16" s="6">
        <v>2008</v>
      </c>
      <c r="C16" s="6">
        <v>2009</v>
      </c>
      <c r="D16" s="7" t="s">
        <v>46</v>
      </c>
      <c r="E16" s="5"/>
      <c r="F16" s="5"/>
      <c r="G16" s="5"/>
      <c r="H16" s="5"/>
      <c r="I16" s="5"/>
      <c r="J16" s="5"/>
      <c r="K16" s="5"/>
    </row>
    <row r="17" spans="1:11" s="11" customFormat="1" hidden="1" x14ac:dyDescent="0.3">
      <c r="A17" s="18" t="s">
        <v>28</v>
      </c>
      <c r="B17" s="14">
        <v>0</v>
      </c>
      <c r="C17" s="14">
        <v>0</v>
      </c>
      <c r="D17" s="17">
        <f t="shared" ref="D17:D25" si="1">IF(B17&lt;&gt;0,(C17-B17)/B17,0)</f>
        <v>0</v>
      </c>
      <c r="E17" s="5"/>
      <c r="F17" s="5"/>
      <c r="G17" s="5"/>
      <c r="H17" s="5"/>
      <c r="I17" s="5"/>
      <c r="J17" s="5"/>
      <c r="K17" s="5"/>
    </row>
    <row r="18" spans="1:11" s="11" customFormat="1" x14ac:dyDescent="0.3">
      <c r="A18" s="18" t="s">
        <v>29</v>
      </c>
      <c r="B18" s="14">
        <v>78267</v>
      </c>
      <c r="C18" s="14">
        <v>111498</v>
      </c>
      <c r="D18" s="17">
        <f t="shared" si="1"/>
        <v>0.42458507416919006</v>
      </c>
      <c r="E18" s="5"/>
      <c r="F18" s="5"/>
      <c r="G18" s="5"/>
      <c r="H18" s="5"/>
      <c r="I18" s="5"/>
      <c r="J18" s="5"/>
      <c r="K18" s="5"/>
    </row>
    <row r="19" spans="1:11" x14ac:dyDescent="0.3">
      <c r="A19" s="18" t="s">
        <v>30</v>
      </c>
      <c r="B19" s="14">
        <v>1762</v>
      </c>
      <c r="C19" s="14">
        <v>430</v>
      </c>
      <c r="D19" s="17">
        <f t="shared" si="1"/>
        <v>-0.75595913734392739</v>
      </c>
      <c r="G19" s="5"/>
    </row>
    <row r="20" spans="1:11" x14ac:dyDescent="0.3">
      <c r="A20" s="18" t="s">
        <v>31</v>
      </c>
      <c r="B20" s="14">
        <v>940</v>
      </c>
      <c r="C20" s="14">
        <v>650</v>
      </c>
      <c r="D20" s="17">
        <f t="shared" si="1"/>
        <v>-0.30851063829787234</v>
      </c>
      <c r="G20" s="5"/>
    </row>
    <row r="21" spans="1:11" hidden="1" x14ac:dyDescent="0.3">
      <c r="A21" s="18" t="s">
        <v>32</v>
      </c>
      <c r="B21" s="14">
        <v>0</v>
      </c>
      <c r="C21" s="14">
        <v>0</v>
      </c>
      <c r="D21" s="17">
        <f t="shared" si="1"/>
        <v>0</v>
      </c>
      <c r="G21" s="5"/>
    </row>
    <row r="22" spans="1:11" x14ac:dyDescent="0.3">
      <c r="A22" s="18" t="s">
        <v>24</v>
      </c>
      <c r="B22" s="14">
        <v>2934</v>
      </c>
      <c r="C22" s="14">
        <v>3179</v>
      </c>
      <c r="D22" s="17">
        <f t="shared" si="1"/>
        <v>8.3503749147920928E-2</v>
      </c>
      <c r="G22" s="5"/>
    </row>
    <row r="23" spans="1:11" s="9" customFormat="1" x14ac:dyDescent="0.3">
      <c r="A23" s="29" t="s">
        <v>33</v>
      </c>
      <c r="B23" s="30">
        <f>SUM(B17:B22)</f>
        <v>83903</v>
      </c>
      <c r="C23" s="30">
        <f>SUM(C17:C22)</f>
        <v>115757</v>
      </c>
      <c r="D23" s="42">
        <f t="shared" si="1"/>
        <v>0.37965269418256797</v>
      </c>
      <c r="F23" s="5"/>
      <c r="G23" s="5"/>
      <c r="H23" s="5"/>
      <c r="I23" s="5"/>
      <c r="J23" s="5"/>
      <c r="K23" s="5"/>
    </row>
    <row r="24" spans="1:11" s="9" customFormat="1" x14ac:dyDescent="0.3">
      <c r="A24" s="31" t="s">
        <v>34</v>
      </c>
      <c r="B24" s="32">
        <f>+B14-B23</f>
        <v>3873609</v>
      </c>
      <c r="C24" s="32">
        <f>+C14-C23</f>
        <v>5399203</v>
      </c>
      <c r="D24" s="47">
        <f t="shared" si="1"/>
        <v>0.39384305437125944</v>
      </c>
      <c r="E24" s="60"/>
      <c r="F24" s="5"/>
      <c r="G24" s="5"/>
      <c r="H24" s="5"/>
      <c r="I24" s="5"/>
      <c r="J24" s="5"/>
      <c r="K24" s="5"/>
    </row>
    <row r="25" spans="1:11" s="9" customFormat="1" ht="15.75" thickBot="1" x14ac:dyDescent="0.35">
      <c r="A25" s="26" t="s">
        <v>35</v>
      </c>
      <c r="B25" s="27">
        <f>+B23+B24</f>
        <v>3957512</v>
      </c>
      <c r="C25" s="27">
        <f>+C23+C24</f>
        <v>5514960</v>
      </c>
      <c r="D25" s="45">
        <f t="shared" si="1"/>
        <v>0.39354220530474704</v>
      </c>
      <c r="F25" s="5"/>
      <c r="G25" s="5"/>
      <c r="H25" s="5"/>
      <c r="I25" s="5"/>
      <c r="J25" s="5"/>
      <c r="K25" s="5"/>
    </row>
    <row r="26" spans="1:11" x14ac:dyDescent="0.3">
      <c r="A26" s="18" t="s">
        <v>54</v>
      </c>
      <c r="B26" s="14">
        <v>435123458</v>
      </c>
      <c r="C26" s="14">
        <v>435123458</v>
      </c>
      <c r="D26" s="17"/>
      <c r="G26" s="5"/>
    </row>
    <row r="27" spans="1:11" x14ac:dyDescent="0.3">
      <c r="A27" s="18" t="s">
        <v>71</v>
      </c>
      <c r="B27" s="33">
        <f>+B24/+(B26/1000000)</f>
        <v>8902.3216946395933</v>
      </c>
      <c r="C27" s="33">
        <f>+C24/+(C26/1000000)</f>
        <v>12408.439261851976</v>
      </c>
      <c r="D27" s="17"/>
      <c r="G27" s="5"/>
    </row>
    <row r="28" spans="1:11" x14ac:dyDescent="0.3">
      <c r="G28" s="5"/>
    </row>
    <row r="29" spans="1:11" x14ac:dyDescent="0.3">
      <c r="A29" s="6" t="s">
        <v>70</v>
      </c>
      <c r="B29" s="6">
        <v>2008</v>
      </c>
      <c r="C29" s="6">
        <v>2009</v>
      </c>
      <c r="D29" s="6" t="s">
        <v>46</v>
      </c>
      <c r="G29" s="5"/>
    </row>
    <row r="30" spans="1:11" x14ac:dyDescent="0.3">
      <c r="A30" s="19" t="s">
        <v>68</v>
      </c>
      <c r="B30" s="17"/>
      <c r="C30" s="17"/>
      <c r="D30" s="34"/>
      <c r="G30" s="5"/>
    </row>
    <row r="31" spans="1:11" x14ac:dyDescent="0.3">
      <c r="A31" s="19" t="s">
        <v>44</v>
      </c>
      <c r="B31" s="17"/>
      <c r="C31" s="17"/>
      <c r="D31" s="34"/>
      <c r="G31" s="5"/>
    </row>
    <row r="32" spans="1:11" x14ac:dyDescent="0.3">
      <c r="A32" s="19" t="s">
        <v>45</v>
      </c>
      <c r="B32" s="17"/>
      <c r="C32" s="17"/>
      <c r="D32" s="34"/>
      <c r="G32" s="5"/>
    </row>
    <row r="33" spans="1:11" s="9" customFormat="1" x14ac:dyDescent="0.3">
      <c r="A33" s="19" t="s">
        <v>72</v>
      </c>
      <c r="B33" s="30">
        <v>268897</v>
      </c>
      <c r="C33" s="30">
        <v>212895</v>
      </c>
      <c r="D33" s="17">
        <f>IF(B33&lt;&gt;0,(C33-B33)/B33,0)</f>
        <v>-0.2082656184338241</v>
      </c>
      <c r="F33" s="5"/>
      <c r="G33" s="5"/>
      <c r="H33" s="5"/>
      <c r="I33" s="5"/>
      <c r="J33" s="5"/>
      <c r="K33" s="5"/>
    </row>
    <row r="34" spans="1:11" x14ac:dyDescent="0.3">
      <c r="A34" s="19" t="s">
        <v>5</v>
      </c>
      <c r="B34" s="14">
        <v>2704</v>
      </c>
      <c r="C34" s="14">
        <v>0</v>
      </c>
      <c r="D34" s="17">
        <f t="shared" ref="D34:D44" si="2">IF(B34&lt;&gt;0,(C34-B34)/B34,0)</f>
        <v>-1</v>
      </c>
      <c r="G34" s="5"/>
    </row>
    <row r="35" spans="1:11" s="9" customFormat="1" x14ac:dyDescent="0.3">
      <c r="A35" s="19" t="s">
        <v>57</v>
      </c>
      <c r="B35" s="14">
        <v>14746</v>
      </c>
      <c r="C35" s="14">
        <v>12979</v>
      </c>
      <c r="D35" s="17">
        <f t="shared" si="2"/>
        <v>-0.11982910619829107</v>
      </c>
      <c r="F35" s="5"/>
      <c r="G35" s="5"/>
      <c r="H35" s="5"/>
      <c r="I35" s="5"/>
      <c r="J35" s="5"/>
      <c r="K35" s="5"/>
    </row>
    <row r="36" spans="1:11" s="9" customFormat="1" x14ac:dyDescent="0.3">
      <c r="A36" s="19" t="s">
        <v>56</v>
      </c>
      <c r="B36" s="14">
        <v>13179</v>
      </c>
      <c r="C36" s="14">
        <v>10094</v>
      </c>
      <c r="D36" s="17">
        <f t="shared" si="2"/>
        <v>-0.23408452841642005</v>
      </c>
      <c r="F36" s="5"/>
      <c r="G36" s="5"/>
      <c r="H36" s="5"/>
      <c r="I36" s="5"/>
      <c r="J36" s="5"/>
      <c r="K36" s="5"/>
    </row>
    <row r="37" spans="1:11" s="9" customFormat="1" x14ac:dyDescent="0.3">
      <c r="A37" s="35" t="s">
        <v>4</v>
      </c>
      <c r="B37" s="30">
        <f>SUM(B33:B36)</f>
        <v>299526</v>
      </c>
      <c r="C37" s="30">
        <f>SUM(C33:C36)</f>
        <v>235968</v>
      </c>
      <c r="D37" s="17">
        <f t="shared" si="2"/>
        <v>-0.21219526852426834</v>
      </c>
      <c r="F37" s="5"/>
      <c r="G37" s="5"/>
      <c r="H37" s="5"/>
      <c r="I37" s="5"/>
      <c r="J37" s="5"/>
      <c r="K37" s="5"/>
    </row>
    <row r="38" spans="1:11" x14ac:dyDescent="0.3">
      <c r="A38" s="19" t="s">
        <v>58</v>
      </c>
      <c r="B38" s="14">
        <v>-8773</v>
      </c>
      <c r="C38" s="14">
        <v>-8740</v>
      </c>
      <c r="D38" s="17">
        <f t="shared" si="2"/>
        <v>-3.7615410919867778E-3</v>
      </c>
      <c r="G38" s="5"/>
    </row>
    <row r="39" spans="1:11" s="9" customFormat="1" x14ac:dyDescent="0.3">
      <c r="A39" s="35" t="s">
        <v>42</v>
      </c>
      <c r="B39" s="30">
        <f>SUM(B37:B38)</f>
        <v>290753</v>
      </c>
      <c r="C39" s="30">
        <f>SUM(C37:C38)</f>
        <v>227228</v>
      </c>
      <c r="D39" s="17">
        <f t="shared" si="2"/>
        <v>-0.21848441804555757</v>
      </c>
      <c r="F39" s="5"/>
      <c r="G39" s="5"/>
      <c r="H39" s="5"/>
      <c r="I39" s="5"/>
      <c r="J39" s="5"/>
      <c r="K39" s="5"/>
    </row>
    <row r="40" spans="1:11" s="9" customFormat="1" x14ac:dyDescent="0.3">
      <c r="A40" s="19" t="s">
        <v>10</v>
      </c>
      <c r="B40" s="14">
        <v>948</v>
      </c>
      <c r="C40" s="14">
        <v>214.21695600000001</v>
      </c>
      <c r="D40" s="17">
        <f t="shared" si="2"/>
        <v>-0.7740327468354431</v>
      </c>
      <c r="F40" s="5"/>
      <c r="G40" s="5"/>
      <c r="H40" s="5"/>
      <c r="I40" s="5"/>
      <c r="J40" s="5"/>
      <c r="K40" s="5"/>
    </row>
    <row r="41" spans="1:11" x14ac:dyDescent="0.3">
      <c r="A41" s="19" t="s">
        <v>13</v>
      </c>
      <c r="B41" s="14">
        <v>-621</v>
      </c>
      <c r="C41" s="14">
        <v>-1741.084503</v>
      </c>
      <c r="D41" s="17">
        <f t="shared" si="2"/>
        <v>1.8036787487922705</v>
      </c>
      <c r="G41" s="5"/>
    </row>
    <row r="42" spans="1:11" s="9" customFormat="1" x14ac:dyDescent="0.3">
      <c r="A42" s="35" t="s">
        <v>43</v>
      </c>
      <c r="B42" s="30">
        <f>SUM(B39:B41)</f>
        <v>291080</v>
      </c>
      <c r="C42" s="30">
        <f>SUM(C39:C41)</f>
        <v>225701.132453</v>
      </c>
      <c r="D42" s="17">
        <f t="shared" si="2"/>
        <v>-0.22460790005153222</v>
      </c>
      <c r="F42" s="5"/>
      <c r="G42" s="5"/>
      <c r="H42" s="5"/>
      <c r="I42" s="5"/>
      <c r="J42" s="5"/>
      <c r="K42" s="5"/>
    </row>
    <row r="43" spans="1:11" x14ac:dyDescent="0.3">
      <c r="A43" s="19" t="s">
        <v>15</v>
      </c>
      <c r="B43" s="14">
        <v>-74</v>
      </c>
      <c r="C43" s="14">
        <v>-205</v>
      </c>
      <c r="D43" s="17">
        <f t="shared" si="2"/>
        <v>1.7702702702702702</v>
      </c>
      <c r="G43" s="5"/>
    </row>
    <row r="44" spans="1:11" ht="15.75" thickBot="1" x14ac:dyDescent="0.35">
      <c r="A44" s="36" t="s">
        <v>17</v>
      </c>
      <c r="B44" s="37">
        <f>SUM(B42:B43)</f>
        <v>291006</v>
      </c>
      <c r="C44" s="37">
        <f>SUM(C42:C43)</f>
        <v>225496.132453</v>
      </c>
      <c r="D44" s="45">
        <f t="shared" si="2"/>
        <v>-0.22511517819907495</v>
      </c>
      <c r="G44" s="5"/>
    </row>
    <row r="45" spans="1:11" x14ac:dyDescent="0.3">
      <c r="G45" s="5"/>
    </row>
    <row r="46" spans="1:11" x14ac:dyDescent="0.3">
      <c r="A46" s="19"/>
      <c r="D46" s="17"/>
      <c r="G46" s="5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31" workbookViewId="0">
      <selection activeCell="D36" sqref="D36:D55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5703125" style="3" bestFit="1" customWidth="1"/>
    <col min="6" max="6" width="9.28515625" style="4" bestFit="1" customWidth="1"/>
    <col min="7" max="7" width="8.28515625" style="5" customWidth="1"/>
    <col min="8" max="16384" width="11.42578125" style="5"/>
  </cols>
  <sheetData>
    <row r="1" spans="1:8" x14ac:dyDescent="0.3">
      <c r="A1" s="38" t="s">
        <v>40</v>
      </c>
      <c r="E1" s="21"/>
    </row>
    <row r="2" spans="1:8" x14ac:dyDescent="0.3">
      <c r="A2" s="38" t="s">
        <v>67</v>
      </c>
      <c r="E2" s="21"/>
    </row>
    <row r="3" spans="1:8" x14ac:dyDescent="0.3">
      <c r="A3" s="24" t="s">
        <v>44</v>
      </c>
      <c r="D3" s="17"/>
      <c r="E3" s="21"/>
    </row>
    <row r="4" spans="1:8" x14ac:dyDescent="0.3">
      <c r="A4" s="24" t="s">
        <v>45</v>
      </c>
      <c r="E4" s="21"/>
      <c r="G4" s="66"/>
      <c r="H4" s="19"/>
    </row>
    <row r="5" spans="1:8" x14ac:dyDescent="0.3">
      <c r="E5" s="21"/>
      <c r="G5" s="66"/>
      <c r="H5" s="19"/>
    </row>
    <row r="6" spans="1:8" x14ac:dyDescent="0.3">
      <c r="A6" s="6" t="s">
        <v>20</v>
      </c>
      <c r="B6" s="6">
        <v>2008</v>
      </c>
      <c r="C6" s="6">
        <v>2009</v>
      </c>
      <c r="D6" s="6" t="s">
        <v>46</v>
      </c>
      <c r="E6" s="6">
        <v>2009</v>
      </c>
      <c r="G6" s="69"/>
      <c r="H6" s="19"/>
    </row>
    <row r="7" spans="1:8" x14ac:dyDescent="0.3">
      <c r="A7" s="18" t="s">
        <v>21</v>
      </c>
      <c r="B7" s="14">
        <v>200123</v>
      </c>
      <c r="C7" s="14">
        <v>152572</v>
      </c>
      <c r="D7" s="17">
        <f t="shared" ref="D7:D16" si="0">+(C7-B7)/B7</f>
        <v>-0.23760887054461508</v>
      </c>
      <c r="E7" s="14">
        <v>152572</v>
      </c>
      <c r="G7" s="67"/>
      <c r="H7" s="19"/>
    </row>
    <row r="8" spans="1:8" x14ac:dyDescent="0.3">
      <c r="A8" s="18" t="s">
        <v>22</v>
      </c>
      <c r="B8" s="14">
        <v>299414</v>
      </c>
      <c r="C8" s="14">
        <v>335272</v>
      </c>
      <c r="D8" s="17">
        <f t="shared" si="0"/>
        <v>0.11976059903678518</v>
      </c>
      <c r="E8" s="14">
        <v>335272</v>
      </c>
      <c r="G8" s="67"/>
      <c r="H8" s="19"/>
    </row>
    <row r="9" spans="1:8" x14ac:dyDescent="0.3">
      <c r="A9" s="18" t="s">
        <v>23</v>
      </c>
      <c r="B9" s="14">
        <f>645639+10992</f>
        <v>656631</v>
      </c>
      <c r="C9" s="14">
        <f>510929+12600</f>
        <v>523529</v>
      </c>
      <c r="D9" s="17">
        <f t="shared" si="0"/>
        <v>-0.20270441084871108</v>
      </c>
      <c r="E9" s="14">
        <f>510929+12600</f>
        <v>523529</v>
      </c>
      <c r="G9" s="67"/>
      <c r="H9" s="19"/>
    </row>
    <row r="10" spans="1:8" x14ac:dyDescent="0.3">
      <c r="A10" s="18" t="s">
        <v>36</v>
      </c>
      <c r="B10" s="14">
        <v>528465</v>
      </c>
      <c r="C10" s="14">
        <v>494120</v>
      </c>
      <c r="D10" s="17">
        <f t="shared" si="0"/>
        <v>-6.4990112874078701E-2</v>
      </c>
      <c r="E10" s="14">
        <v>494120</v>
      </c>
      <c r="G10" s="67"/>
      <c r="H10" s="19"/>
    </row>
    <row r="11" spans="1:8" x14ac:dyDescent="0.3">
      <c r="A11" s="18" t="s">
        <v>60</v>
      </c>
      <c r="B11" s="14">
        <v>767527</v>
      </c>
      <c r="C11" s="14">
        <v>977261</v>
      </c>
      <c r="D11" s="17">
        <f t="shared" si="0"/>
        <v>0.27325944233883631</v>
      </c>
      <c r="E11" s="14">
        <v>977261</v>
      </c>
      <c r="G11" s="67"/>
      <c r="H11" s="19"/>
    </row>
    <row r="12" spans="1:8" x14ac:dyDescent="0.3">
      <c r="A12" s="18" t="s">
        <v>47</v>
      </c>
      <c r="B12" s="14">
        <v>543336</v>
      </c>
      <c r="C12" s="14">
        <v>748013</v>
      </c>
      <c r="D12" s="17">
        <f t="shared" si="0"/>
        <v>0.3767042861139332</v>
      </c>
      <c r="E12" s="14">
        <v>748013</v>
      </c>
      <c r="G12" s="67"/>
      <c r="H12" s="19"/>
    </row>
    <row r="13" spans="1:8" x14ac:dyDescent="0.3">
      <c r="A13" s="18" t="s">
        <v>24</v>
      </c>
      <c r="B13" s="14">
        <f>7344+20831</f>
        <v>28175</v>
      </c>
      <c r="C13" s="14">
        <f>53063+26284+1</f>
        <v>79348</v>
      </c>
      <c r="D13" s="17">
        <f t="shared" si="0"/>
        <v>1.8162555456965395</v>
      </c>
      <c r="E13" s="14">
        <f>53063+26284+1</f>
        <v>79348</v>
      </c>
      <c r="G13" s="67"/>
      <c r="H13" s="19"/>
    </row>
    <row r="14" spans="1:8" x14ac:dyDescent="0.3">
      <c r="A14" s="18" t="s">
        <v>25</v>
      </c>
      <c r="B14" s="14">
        <f>10167+33928</f>
        <v>44095</v>
      </c>
      <c r="C14" s="14">
        <f>742+18351+1</f>
        <v>19094</v>
      </c>
      <c r="D14" s="17">
        <f t="shared" si="0"/>
        <v>-0.5669803832634086</v>
      </c>
      <c r="E14" s="14">
        <f>742+18351+1</f>
        <v>19094</v>
      </c>
      <c r="G14" s="67"/>
      <c r="H14" s="19"/>
    </row>
    <row r="15" spans="1:8" x14ac:dyDescent="0.3">
      <c r="A15" s="18" t="s">
        <v>26</v>
      </c>
      <c r="B15" s="14">
        <v>2268787</v>
      </c>
      <c r="C15" s="14">
        <v>3599917</v>
      </c>
      <c r="D15" s="17">
        <f t="shared" si="0"/>
        <v>0.58671439848694473</v>
      </c>
      <c r="E15" s="14">
        <v>3599917</v>
      </c>
      <c r="G15" s="67"/>
      <c r="H15" s="19"/>
    </row>
    <row r="16" spans="1:8" ht="15.75" thickBot="1" x14ac:dyDescent="0.35">
      <c r="A16" s="26" t="s">
        <v>27</v>
      </c>
      <c r="B16" s="27">
        <f>SUM(B7:B15)</f>
        <v>5336553</v>
      </c>
      <c r="C16" s="27">
        <f>SUM(C7:C15)</f>
        <v>6929126</v>
      </c>
      <c r="D16" s="45">
        <f t="shared" si="0"/>
        <v>0.29842728068099389</v>
      </c>
      <c r="E16" s="27">
        <f>SUM(E7:E15)</f>
        <v>6929126</v>
      </c>
      <c r="G16" s="68"/>
      <c r="H16" s="19"/>
    </row>
    <row r="17" spans="1:8" x14ac:dyDescent="0.3">
      <c r="A17" s="1"/>
      <c r="E17" s="2"/>
      <c r="G17" s="67"/>
      <c r="H17" s="19"/>
    </row>
    <row r="18" spans="1:8" x14ac:dyDescent="0.3">
      <c r="A18" s="6" t="s">
        <v>48</v>
      </c>
      <c r="B18" s="6">
        <v>2008</v>
      </c>
      <c r="C18" s="6">
        <v>2009</v>
      </c>
      <c r="D18" s="6" t="s">
        <v>46</v>
      </c>
      <c r="E18" s="6">
        <v>2009</v>
      </c>
      <c r="G18" s="69"/>
      <c r="H18" s="19"/>
    </row>
    <row r="19" spans="1:8" x14ac:dyDescent="0.3">
      <c r="A19" s="18" t="s">
        <v>28</v>
      </c>
      <c r="B19" s="14">
        <f>535026+349791</f>
        <v>884817</v>
      </c>
      <c r="C19" s="14">
        <f>210544+804613</f>
        <v>1015157</v>
      </c>
      <c r="D19" s="17">
        <f t="shared" ref="D19:D30" si="1">+(C19-B19)/B19</f>
        <v>0.1473072963109886</v>
      </c>
      <c r="E19" s="14">
        <f>210544+804613</f>
        <v>1015157</v>
      </c>
      <c r="G19" s="67"/>
      <c r="H19" s="19"/>
    </row>
    <row r="20" spans="1:8" x14ac:dyDescent="0.3">
      <c r="A20" s="18" t="s">
        <v>49</v>
      </c>
      <c r="B20" s="14">
        <v>163812</v>
      </c>
      <c r="C20" s="14">
        <v>124270</v>
      </c>
      <c r="D20" s="17">
        <f t="shared" si="1"/>
        <v>-0.24138646741386469</v>
      </c>
      <c r="E20" s="14">
        <v>124270</v>
      </c>
      <c r="G20" s="67"/>
    </row>
    <row r="21" spans="1:8" x14ac:dyDescent="0.3">
      <c r="A21" s="18" t="s">
        <v>38</v>
      </c>
      <c r="B21" s="14">
        <f>160+172987</f>
        <v>173147</v>
      </c>
      <c r="C21" s="14">
        <f>138138+3475</f>
        <v>141613</v>
      </c>
      <c r="D21" s="17">
        <f t="shared" si="1"/>
        <v>-0.18212270498478172</v>
      </c>
      <c r="E21" s="14">
        <f>138138+3475</f>
        <v>141613</v>
      </c>
      <c r="G21" s="67"/>
    </row>
    <row r="22" spans="1:8" x14ac:dyDescent="0.3">
      <c r="A22" s="18" t="s">
        <v>30</v>
      </c>
      <c r="B22" s="14">
        <v>61484</v>
      </c>
      <c r="C22" s="14">
        <v>52025</v>
      </c>
      <c r="D22" s="17">
        <f t="shared" si="1"/>
        <v>-0.15384490273892396</v>
      </c>
      <c r="E22" s="14">
        <v>52025</v>
      </c>
      <c r="G22" s="67"/>
    </row>
    <row r="23" spans="1:8" x14ac:dyDescent="0.3">
      <c r="A23" s="18" t="s">
        <v>31</v>
      </c>
      <c r="B23" s="14">
        <f>72945+2417</f>
        <v>75362</v>
      </c>
      <c r="C23" s="14">
        <f>76434+1377</f>
        <v>77811</v>
      </c>
      <c r="D23" s="17">
        <f t="shared" si="1"/>
        <v>3.2496483638969245E-2</v>
      </c>
      <c r="E23" s="14">
        <f>76434+1377</f>
        <v>77811</v>
      </c>
      <c r="G23" s="67"/>
    </row>
    <row r="24" spans="1:8" x14ac:dyDescent="0.3">
      <c r="A24" s="18" t="s">
        <v>32</v>
      </c>
      <c r="B24" s="14">
        <f>41238+22590</f>
        <v>63828</v>
      </c>
      <c r="C24" s="14">
        <f>47209+18651</f>
        <v>65860</v>
      </c>
      <c r="D24" s="17">
        <f t="shared" si="1"/>
        <v>3.1835558062292414E-2</v>
      </c>
      <c r="E24" s="14">
        <f>47209+18651</f>
        <v>65860</v>
      </c>
      <c r="G24" s="67"/>
    </row>
    <row r="25" spans="1:8" x14ac:dyDescent="0.3">
      <c r="A25" s="18" t="s">
        <v>24</v>
      </c>
      <c r="B25" s="14">
        <v>44153</v>
      </c>
      <c r="C25" s="14">
        <v>59601</v>
      </c>
      <c r="D25" s="17">
        <f t="shared" si="1"/>
        <v>0.34987430072701742</v>
      </c>
      <c r="E25" s="14">
        <v>59601</v>
      </c>
      <c r="G25" s="67"/>
    </row>
    <row r="26" spans="1:8" x14ac:dyDescent="0.3">
      <c r="A26" s="18" t="s">
        <v>0</v>
      </c>
      <c r="B26" s="14">
        <v>2766</v>
      </c>
      <c r="C26" s="14">
        <v>2549</v>
      </c>
      <c r="D26" s="17">
        <f t="shared" si="1"/>
        <v>-7.8452639190166304E-2</v>
      </c>
      <c r="E26" s="14">
        <v>2549</v>
      </c>
      <c r="G26" s="67"/>
    </row>
    <row r="27" spans="1:8" x14ac:dyDescent="0.3">
      <c r="A27" s="18" t="s">
        <v>33</v>
      </c>
      <c r="B27" s="14">
        <f>SUM(B19:B26)</f>
        <v>1469369</v>
      </c>
      <c r="C27" s="14">
        <f>SUM(C19:C26)</f>
        <v>1538886</v>
      </c>
      <c r="D27" s="17">
        <f t="shared" si="1"/>
        <v>4.7310784425151207E-2</v>
      </c>
      <c r="E27" s="14">
        <f>SUM(E19:E26)</f>
        <v>1538886</v>
      </c>
      <c r="G27" s="67"/>
    </row>
    <row r="28" spans="1:8" x14ac:dyDescent="0.3">
      <c r="A28" s="18" t="s">
        <v>39</v>
      </c>
      <c r="B28" s="14">
        <v>2751</v>
      </c>
      <c r="C28" s="14">
        <v>3611</v>
      </c>
      <c r="D28" s="17">
        <f t="shared" si="1"/>
        <v>0.31261359505634317</v>
      </c>
      <c r="E28" s="14">
        <v>3611</v>
      </c>
      <c r="G28" s="67"/>
    </row>
    <row r="29" spans="1:8" ht="15.75" thickBot="1" x14ac:dyDescent="0.35">
      <c r="A29" s="26" t="s">
        <v>34</v>
      </c>
      <c r="B29" s="27">
        <v>3864433</v>
      </c>
      <c r="C29" s="27">
        <v>5386629</v>
      </c>
      <c r="D29" s="45">
        <f t="shared" si="1"/>
        <v>0.39389892385247721</v>
      </c>
      <c r="E29" s="27">
        <v>5386629</v>
      </c>
      <c r="G29" s="68"/>
    </row>
    <row r="30" spans="1:8" ht="15.75" thickBot="1" x14ac:dyDescent="0.35">
      <c r="A30" s="26" t="s">
        <v>81</v>
      </c>
      <c r="B30" s="27">
        <f>+B27+B28+B29</f>
        <v>5336553</v>
      </c>
      <c r="C30" s="27">
        <f>+C27+C28+C29</f>
        <v>6929126</v>
      </c>
      <c r="D30" s="45">
        <f t="shared" si="1"/>
        <v>0.29842728068099389</v>
      </c>
      <c r="E30" s="27">
        <f>+E27+E28+E29</f>
        <v>6929126</v>
      </c>
      <c r="G30" s="68"/>
    </row>
    <row r="31" spans="1:8" x14ac:dyDescent="0.3">
      <c r="A31" s="19"/>
      <c r="B31" s="14"/>
      <c r="C31" s="14"/>
      <c r="D31" s="17"/>
    </row>
    <row r="32" spans="1:8" x14ac:dyDescent="0.3">
      <c r="A32" s="41" t="s">
        <v>3</v>
      </c>
      <c r="B32" s="14"/>
      <c r="C32" s="14"/>
      <c r="D32" s="17"/>
    </row>
    <row r="33" spans="1:8" x14ac:dyDescent="0.3">
      <c r="A33" s="41" t="s">
        <v>68</v>
      </c>
      <c r="B33" s="14"/>
      <c r="C33" s="14"/>
      <c r="D33" s="17"/>
    </row>
    <row r="34" spans="1:8" x14ac:dyDescent="0.3">
      <c r="A34" s="41" t="s">
        <v>44</v>
      </c>
      <c r="B34" s="14"/>
      <c r="C34" s="14"/>
      <c r="D34" s="17"/>
    </row>
    <row r="35" spans="1:8" x14ac:dyDescent="0.3">
      <c r="A35" s="41" t="s">
        <v>45</v>
      </c>
      <c r="B35" s="14"/>
      <c r="C35" s="14"/>
      <c r="D35" s="17"/>
    </row>
    <row r="36" spans="1:8" x14ac:dyDescent="0.3">
      <c r="A36" s="6"/>
      <c r="B36" s="6">
        <v>2008</v>
      </c>
      <c r="C36" s="6" t="s">
        <v>55</v>
      </c>
      <c r="D36" s="6">
        <v>2009</v>
      </c>
      <c r="E36" s="6" t="s">
        <v>55</v>
      </c>
      <c r="F36" s="6" t="s">
        <v>46</v>
      </c>
    </row>
    <row r="37" spans="1:8" s="9" customFormat="1" x14ac:dyDescent="0.3">
      <c r="A37" s="30" t="s">
        <v>4</v>
      </c>
      <c r="B37" s="50">
        <v>4009727</v>
      </c>
      <c r="C37" s="42">
        <f t="shared" ref="C37:C55" si="2">+B37/$B$37</f>
        <v>1</v>
      </c>
      <c r="D37" s="50">
        <v>4588366</v>
      </c>
      <c r="E37" s="42">
        <f>+D37/$D$37</f>
        <v>1</v>
      </c>
      <c r="F37" s="42">
        <f t="shared" ref="F37:F55" si="3">+(D37-B37)/B37</f>
        <v>0.14430882700991862</v>
      </c>
    </row>
    <row r="38" spans="1:8" x14ac:dyDescent="0.3">
      <c r="A38" s="14" t="s">
        <v>50</v>
      </c>
      <c r="B38" s="51">
        <v>-2384094</v>
      </c>
      <c r="C38" s="17">
        <f t="shared" si="2"/>
        <v>-0.59457763583406054</v>
      </c>
      <c r="D38" s="51">
        <v>-2818189</v>
      </c>
      <c r="E38" s="17">
        <f>+D38/$D$37</f>
        <v>-0.61420318257087603</v>
      </c>
      <c r="F38" s="17">
        <f t="shared" si="3"/>
        <v>0.18207964954401964</v>
      </c>
    </row>
    <row r="39" spans="1:8" s="9" customFormat="1" x14ac:dyDescent="0.3">
      <c r="A39" s="30" t="s">
        <v>6</v>
      </c>
      <c r="B39" s="30">
        <f>SUM(B37:B38)</f>
        <v>1625633</v>
      </c>
      <c r="C39" s="42">
        <f t="shared" si="2"/>
        <v>0.40542236416593946</v>
      </c>
      <c r="D39" s="30">
        <f>SUM(D37:D38)</f>
        <v>1770177</v>
      </c>
      <c r="E39" s="42">
        <f t="shared" ref="E39:E55" si="4">+D39/$D$37</f>
        <v>0.38579681742912403</v>
      </c>
      <c r="F39" s="42">
        <f t="shared" si="3"/>
        <v>8.8915517832130628E-2</v>
      </c>
    </row>
    <row r="40" spans="1:8" x14ac:dyDescent="0.3">
      <c r="A40" s="14" t="s">
        <v>7</v>
      </c>
      <c r="B40" s="14">
        <v>-183777</v>
      </c>
      <c r="C40" s="17">
        <f t="shared" si="2"/>
        <v>-4.583279609808847E-2</v>
      </c>
      <c r="D40" s="14">
        <v>-218875</v>
      </c>
      <c r="E40" s="17">
        <f t="shared" si="4"/>
        <v>-4.7702166740839769E-2</v>
      </c>
      <c r="F40" s="17">
        <f t="shared" si="3"/>
        <v>0.1909814612274659</v>
      </c>
    </row>
    <row r="41" spans="1:8" x14ac:dyDescent="0.3">
      <c r="A41" s="14" t="s">
        <v>8</v>
      </c>
      <c r="B41" s="14">
        <v>-975970</v>
      </c>
      <c r="C41" s="17">
        <f t="shared" si="2"/>
        <v>-0.24340061056525794</v>
      </c>
      <c r="D41" s="14">
        <v>-1102578</v>
      </c>
      <c r="E41" s="17">
        <f t="shared" si="4"/>
        <v>-0.24029861610865394</v>
      </c>
      <c r="F41" s="17">
        <f t="shared" si="3"/>
        <v>0.12972529893336884</v>
      </c>
    </row>
    <row r="42" spans="1:8" s="9" customFormat="1" x14ac:dyDescent="0.3">
      <c r="A42" s="30" t="s">
        <v>9</v>
      </c>
      <c r="B42" s="30">
        <f>SUM(B40:B41)</f>
        <v>-1159747</v>
      </c>
      <c r="C42" s="42">
        <f t="shared" si="2"/>
        <v>-0.2892334066633464</v>
      </c>
      <c r="D42" s="30">
        <f>SUM(D40:D41)</f>
        <v>-1321453</v>
      </c>
      <c r="E42" s="42">
        <f t="shared" si="4"/>
        <v>-0.28800078284949371</v>
      </c>
      <c r="F42" s="42">
        <f t="shared" si="3"/>
        <v>0.13943213476732425</v>
      </c>
    </row>
    <row r="43" spans="1:8" s="9" customFormat="1" x14ac:dyDescent="0.3">
      <c r="A43" s="30" t="s">
        <v>1</v>
      </c>
      <c r="B43" s="30">
        <f>+B39+B42</f>
        <v>465886</v>
      </c>
      <c r="C43" s="42">
        <f t="shared" si="2"/>
        <v>0.11618895750259307</v>
      </c>
      <c r="D43" s="30">
        <f>+D39+D42</f>
        <v>448724</v>
      </c>
      <c r="E43" s="42">
        <f t="shared" si="4"/>
        <v>9.7796034579630306E-2</v>
      </c>
      <c r="F43" s="42">
        <f t="shared" si="3"/>
        <v>-3.6837337889526624E-2</v>
      </c>
    </row>
    <row r="44" spans="1:8" x14ac:dyDescent="0.3">
      <c r="A44" s="14" t="s">
        <v>51</v>
      </c>
      <c r="B44" s="14">
        <f>124919-27907-45965-1642-37825</f>
        <v>11580</v>
      </c>
      <c r="C44" s="17">
        <f t="shared" si="2"/>
        <v>2.8879771615374313E-3</v>
      </c>
      <c r="D44" s="14">
        <v>9537</v>
      </c>
      <c r="E44" s="17">
        <f t="shared" si="4"/>
        <v>2.078517711969795E-3</v>
      </c>
      <c r="F44" s="17">
        <f t="shared" si="3"/>
        <v>-0.17642487046632124</v>
      </c>
      <c r="H44" s="9"/>
    </row>
    <row r="45" spans="1:8" x14ac:dyDescent="0.3">
      <c r="A45" s="14" t="s">
        <v>11</v>
      </c>
      <c r="B45" s="14">
        <f>-202076+66698+12887+33753</f>
        <v>-88738</v>
      </c>
      <c r="C45" s="17">
        <f t="shared" si="2"/>
        <v>-2.213068370988848E-2</v>
      </c>
      <c r="D45" s="14">
        <f>-80314-23017</f>
        <v>-103331</v>
      </c>
      <c r="E45" s="17">
        <f t="shared" si="4"/>
        <v>-2.2520217436882761E-2</v>
      </c>
      <c r="F45" s="17">
        <f t="shared" si="3"/>
        <v>0.16445040456174356</v>
      </c>
      <c r="H45" s="9"/>
    </row>
    <row r="46" spans="1:8" x14ac:dyDescent="0.3">
      <c r="A46" s="14" t="s">
        <v>12</v>
      </c>
      <c r="B46" s="14">
        <f>45965-66698+1642+37825-12887-33753</f>
        <v>-27906</v>
      </c>
      <c r="C46" s="17">
        <f t="shared" si="2"/>
        <v>-6.9595760509381316E-3</v>
      </c>
      <c r="D46" s="14">
        <f>15641-17428</f>
        <v>-1787</v>
      </c>
      <c r="E46" s="17">
        <f t="shared" si="4"/>
        <v>-3.894632642644462E-4</v>
      </c>
      <c r="F46" s="17">
        <f t="shared" si="3"/>
        <v>-0.93596359205905544</v>
      </c>
      <c r="H46" s="9"/>
    </row>
    <row r="47" spans="1:8" x14ac:dyDescent="0.3">
      <c r="A47" s="14" t="s">
        <v>52</v>
      </c>
      <c r="B47" s="14">
        <f>-16167-80511</f>
        <v>-96678</v>
      </c>
      <c r="C47" s="17">
        <f t="shared" si="2"/>
        <v>-2.4110868395778567E-2</v>
      </c>
      <c r="D47" s="14">
        <v>-89202</v>
      </c>
      <c r="E47" s="17">
        <f t="shared" si="4"/>
        <v>-1.9440907721833874E-2</v>
      </c>
      <c r="F47" s="17">
        <f t="shared" si="3"/>
        <v>-7.7328864891702348E-2</v>
      </c>
      <c r="H47" s="9"/>
    </row>
    <row r="48" spans="1:8" x14ac:dyDescent="0.3">
      <c r="A48" s="14" t="s">
        <v>14</v>
      </c>
      <c r="B48" s="14">
        <v>27907</v>
      </c>
      <c r="C48" s="17">
        <f t="shared" si="2"/>
        <v>6.9598254444753968E-3</v>
      </c>
      <c r="D48" s="14">
        <v>28975</v>
      </c>
      <c r="E48" s="17">
        <f t="shared" si="4"/>
        <v>6.3148842093241906E-3</v>
      </c>
      <c r="F48" s="17">
        <f t="shared" si="3"/>
        <v>3.8269968108359913E-2</v>
      </c>
    </row>
    <row r="49" spans="1:6" x14ac:dyDescent="0.3">
      <c r="A49" s="14" t="s">
        <v>16</v>
      </c>
      <c r="B49" s="14">
        <v>80511</v>
      </c>
      <c r="C49" s="17">
        <f t="shared" si="2"/>
        <v>2.0078923078803119E-2</v>
      </c>
      <c r="D49" s="14">
        <v>2124</v>
      </c>
      <c r="E49" s="17">
        <f t="shared" si="4"/>
        <v>4.6290988992595623E-4</v>
      </c>
      <c r="F49" s="17">
        <f t="shared" si="3"/>
        <v>-0.97361851175615755</v>
      </c>
    </row>
    <row r="50" spans="1:6" s="9" customFormat="1" x14ac:dyDescent="0.3">
      <c r="A50" s="30" t="s">
        <v>2</v>
      </c>
      <c r="B50" s="30">
        <f>SUM(B44:B49)</f>
        <v>-93324</v>
      </c>
      <c r="C50" s="42">
        <f t="shared" si="2"/>
        <v>-2.3274402471789225E-2</v>
      </c>
      <c r="D50" s="30">
        <f>SUM(D44:D49)</f>
        <v>-153684</v>
      </c>
      <c r="E50" s="42">
        <f t="shared" si="4"/>
        <v>-3.3494276611761138E-2</v>
      </c>
      <c r="F50" s="42">
        <f t="shared" si="3"/>
        <v>0.6467789636106468</v>
      </c>
    </row>
    <row r="51" spans="1:6" s="9" customFormat="1" x14ac:dyDescent="0.3">
      <c r="A51" s="30" t="s">
        <v>41</v>
      </c>
      <c r="B51" s="30">
        <f>+B43+B50</f>
        <v>372562</v>
      </c>
      <c r="C51" s="42">
        <f t="shared" si="2"/>
        <v>9.2914555030803841E-2</v>
      </c>
      <c r="D51" s="30">
        <f>+D43+D50</f>
        <v>295040</v>
      </c>
      <c r="E51" s="42">
        <f t="shared" si="4"/>
        <v>6.4301757967869175E-2</v>
      </c>
      <c r="F51" s="42">
        <f t="shared" si="3"/>
        <v>-0.20807811854134345</v>
      </c>
    </row>
    <row r="52" spans="1:6" x14ac:dyDescent="0.3">
      <c r="A52" s="14" t="s">
        <v>15</v>
      </c>
      <c r="B52" s="14">
        <f>-74583+1351</f>
        <v>-73232</v>
      </c>
      <c r="C52" s="17">
        <f t="shared" si="2"/>
        <v>-1.8263587521045697E-2</v>
      </c>
      <c r="D52" s="14">
        <f>-77390-3919</f>
        <v>-81309</v>
      </c>
      <c r="E52" s="17">
        <f t="shared" si="4"/>
        <v>-1.7720687495286994E-2</v>
      </c>
      <c r="F52" s="17">
        <f t="shared" si="3"/>
        <v>0.11029331439807734</v>
      </c>
    </row>
    <row r="53" spans="1:6" x14ac:dyDescent="0.3">
      <c r="A53" s="14" t="s">
        <v>18</v>
      </c>
      <c r="B53" s="14">
        <v>-279</v>
      </c>
      <c r="C53" s="17">
        <f t="shared" si="2"/>
        <v>-6.9580796897145367E-5</v>
      </c>
      <c r="D53" s="14">
        <v>-457</v>
      </c>
      <c r="E53" s="17">
        <f t="shared" si="4"/>
        <v>-9.9599726787270238E-5</v>
      </c>
      <c r="F53" s="17">
        <f t="shared" si="3"/>
        <v>0.63799283154121866</v>
      </c>
    </row>
    <row r="54" spans="1:6" s="9" customFormat="1" x14ac:dyDescent="0.3">
      <c r="A54" s="43" t="s">
        <v>17</v>
      </c>
      <c r="B54" s="43">
        <f>+B51+B52+B53</f>
        <v>299051</v>
      </c>
      <c r="C54" s="44">
        <f t="shared" si="2"/>
        <v>7.4581386712861006E-2</v>
      </c>
      <c r="D54" s="43">
        <f>+D51+D52+D53</f>
        <v>213274</v>
      </c>
      <c r="E54" s="44">
        <f t="shared" si="4"/>
        <v>4.6481470745794909E-2</v>
      </c>
      <c r="F54" s="44">
        <f t="shared" si="3"/>
        <v>-0.28683067436657961</v>
      </c>
    </row>
    <row r="55" spans="1:6" s="9" customFormat="1" ht="15.75" thickBot="1" x14ac:dyDescent="0.35">
      <c r="A55" s="27" t="s">
        <v>19</v>
      </c>
      <c r="B55" s="27">
        <v>569823</v>
      </c>
      <c r="C55" s="45">
        <f t="shared" si="2"/>
        <v>0.14211017358538375</v>
      </c>
      <c r="D55" s="27">
        <v>551034</v>
      </c>
      <c r="E55" s="45">
        <f t="shared" si="4"/>
        <v>0.12009373271443473</v>
      </c>
      <c r="F55" s="45">
        <f t="shared" si="3"/>
        <v>-3.2973397002227005E-2</v>
      </c>
    </row>
    <row r="56" spans="1:6" x14ac:dyDescent="0.3">
      <c r="A56" s="2"/>
      <c r="C56" s="3"/>
      <c r="D56" s="10"/>
    </row>
    <row r="57" spans="1:6" x14ac:dyDescent="0.3">
      <c r="A57" s="19"/>
      <c r="B57" s="14"/>
      <c r="C57" s="17"/>
      <c r="D57" s="10"/>
    </row>
    <row r="58" spans="1:6" x14ac:dyDescent="0.3">
      <c r="D58" s="10"/>
    </row>
  </sheetData>
  <phoneticPr fontId="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86" zoomScaleNormal="86" workbookViewId="0">
      <selection activeCell="H18" sqref="H18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11.5703125" style="11" bestFit="1" customWidth="1"/>
    <col min="8" max="8" width="11.5703125" style="5" bestFit="1" customWidth="1"/>
    <col min="9" max="16384" width="11.42578125" style="5"/>
  </cols>
  <sheetData>
    <row r="1" spans="1:6" x14ac:dyDescent="0.3">
      <c r="A1" s="24" t="s">
        <v>69</v>
      </c>
    </row>
    <row r="2" spans="1:6" x14ac:dyDescent="0.3">
      <c r="A2" s="24" t="s">
        <v>76</v>
      </c>
    </row>
    <row r="3" spans="1:6" x14ac:dyDescent="0.3">
      <c r="A3" s="24" t="s">
        <v>44</v>
      </c>
    </row>
    <row r="4" spans="1:6" x14ac:dyDescent="0.3">
      <c r="A4" s="24" t="s">
        <v>45</v>
      </c>
    </row>
    <row r="5" spans="1:6" ht="12" customHeight="1" x14ac:dyDescent="0.3"/>
    <row r="6" spans="1:6" x14ac:dyDescent="0.3">
      <c r="A6" s="6" t="s">
        <v>20</v>
      </c>
      <c r="B6" s="6">
        <v>2009</v>
      </c>
      <c r="C6" s="6">
        <v>2010</v>
      </c>
      <c r="D6" s="7" t="s">
        <v>46</v>
      </c>
    </row>
    <row r="7" spans="1:6" x14ac:dyDescent="0.3">
      <c r="A7" s="18" t="s">
        <v>21</v>
      </c>
      <c r="B7" s="14">
        <v>526</v>
      </c>
      <c r="C7" s="14">
        <v>197</v>
      </c>
      <c r="D7" s="17">
        <f t="shared" ref="D7:D12" si="0">IF(B7&lt;&gt;0,(C7-B7)/B7,0)</f>
        <v>-0.62547528517110262</v>
      </c>
    </row>
    <row r="8" spans="1:6" x14ac:dyDescent="0.3">
      <c r="A8" s="18" t="s">
        <v>22</v>
      </c>
      <c r="B8" s="14">
        <v>3179065</v>
      </c>
      <c r="C8" s="14">
        <v>3736859</v>
      </c>
      <c r="D8" s="17">
        <f t="shared" si="0"/>
        <v>0.17545850745423575</v>
      </c>
      <c r="F8" s="2"/>
    </row>
    <row r="9" spans="1:6" x14ac:dyDescent="0.3">
      <c r="A9" s="18" t="s">
        <v>23</v>
      </c>
      <c r="B9" s="14">
        <v>22582</v>
      </c>
      <c r="C9" s="14">
        <v>22426</v>
      </c>
      <c r="D9" s="17">
        <f t="shared" si="0"/>
        <v>-6.9081569391550796E-3</v>
      </c>
    </row>
    <row r="10" spans="1:6" x14ac:dyDescent="0.3">
      <c r="A10" s="18" t="s">
        <v>59</v>
      </c>
      <c r="B10" s="14">
        <f>155+54</f>
        <v>209</v>
      </c>
      <c r="C10" s="14">
        <v>155</v>
      </c>
      <c r="D10" s="17">
        <f t="shared" si="0"/>
        <v>-0.25837320574162681</v>
      </c>
    </row>
    <row r="11" spans="1:6" x14ac:dyDescent="0.3">
      <c r="A11" s="18" t="s">
        <v>26</v>
      </c>
      <c r="B11" s="14">
        <v>932765</v>
      </c>
      <c r="C11" s="14">
        <v>1924896</v>
      </c>
      <c r="D11" s="17">
        <f t="shared" si="0"/>
        <v>1.0636451839423648</v>
      </c>
    </row>
    <row r="12" spans="1:6" ht="15.75" thickBot="1" x14ac:dyDescent="0.35">
      <c r="A12" s="26" t="s">
        <v>27</v>
      </c>
      <c r="B12" s="27">
        <f>SUM(B7:B11)</f>
        <v>4135147</v>
      </c>
      <c r="C12" s="27">
        <f>SUM(C7:C11)</f>
        <v>5684533</v>
      </c>
      <c r="D12" s="46">
        <f t="shared" si="0"/>
        <v>0.37468704256462948</v>
      </c>
    </row>
    <row r="14" spans="1:6" x14ac:dyDescent="0.3">
      <c r="A14" s="6" t="s">
        <v>48</v>
      </c>
      <c r="B14" s="6">
        <v>2009</v>
      </c>
      <c r="C14" s="6">
        <v>2010</v>
      </c>
      <c r="D14" s="7" t="s">
        <v>46</v>
      </c>
    </row>
    <row r="15" spans="1:6" x14ac:dyDescent="0.3">
      <c r="A15" s="18" t="s">
        <v>28</v>
      </c>
      <c r="B15" s="14">
        <v>7123</v>
      </c>
      <c r="C15" s="14">
        <v>19</v>
      </c>
      <c r="D15" s="17">
        <f t="shared" ref="D15:D23" si="1">IF(B15&lt;&gt;0,(C15-B15)/B15,0)</f>
        <v>-0.99733258458514673</v>
      </c>
    </row>
    <row r="16" spans="1:6" x14ac:dyDescent="0.3">
      <c r="A16" s="18" t="s">
        <v>29</v>
      </c>
      <c r="B16" s="14">
        <v>176740</v>
      </c>
      <c r="C16" s="14">
        <v>193634</v>
      </c>
      <c r="D16" s="17">
        <f t="shared" si="1"/>
        <v>9.5586737580626913E-2</v>
      </c>
    </row>
    <row r="17" spans="1:8" x14ac:dyDescent="0.3">
      <c r="A17" s="18" t="s">
        <v>30</v>
      </c>
      <c r="B17" s="14">
        <v>2026</v>
      </c>
      <c r="C17" s="14">
        <v>405</v>
      </c>
      <c r="D17" s="17">
        <f t="shared" si="1"/>
        <v>-0.80009871668311949</v>
      </c>
    </row>
    <row r="18" spans="1:8" x14ac:dyDescent="0.3">
      <c r="A18" s="18" t="s">
        <v>31</v>
      </c>
      <c r="B18" s="14">
        <v>991</v>
      </c>
      <c r="C18" s="14">
        <v>545</v>
      </c>
      <c r="D18" s="17">
        <f t="shared" si="1"/>
        <v>-0.45005045408678102</v>
      </c>
    </row>
    <row r="19" spans="1:8" x14ac:dyDescent="0.3">
      <c r="A19" s="18" t="s">
        <v>32</v>
      </c>
      <c r="B19" s="14">
        <v>305</v>
      </c>
      <c r="C19" s="14">
        <v>448</v>
      </c>
      <c r="D19" s="17">
        <f t="shared" si="1"/>
        <v>0.46885245901639344</v>
      </c>
    </row>
    <row r="20" spans="1:8" x14ac:dyDescent="0.3">
      <c r="A20" s="18" t="s">
        <v>24</v>
      </c>
      <c r="B20" s="14">
        <v>13225</v>
      </c>
      <c r="C20" s="14">
        <v>14069</v>
      </c>
      <c r="D20" s="17">
        <f t="shared" si="1"/>
        <v>6.3818525519848776E-2</v>
      </c>
    </row>
    <row r="21" spans="1:8" s="9" customFormat="1" x14ac:dyDescent="0.3">
      <c r="A21" s="29" t="s">
        <v>33</v>
      </c>
      <c r="B21" s="30">
        <f>SUM(B15:B20)</f>
        <v>200410</v>
      </c>
      <c r="C21" s="30">
        <f>SUM(C15:C20)</f>
        <v>209120</v>
      </c>
      <c r="D21" s="42">
        <f t="shared" si="1"/>
        <v>4.3460905144453867E-2</v>
      </c>
      <c r="G21" s="12"/>
    </row>
    <row r="22" spans="1:8" s="9" customFormat="1" x14ac:dyDescent="0.3">
      <c r="A22" s="31" t="s">
        <v>34</v>
      </c>
      <c r="B22" s="32">
        <v>3934737</v>
      </c>
      <c r="C22" s="32">
        <v>5475413</v>
      </c>
      <c r="D22" s="47">
        <f t="shared" si="1"/>
        <v>0.39155755518094348</v>
      </c>
      <c r="G22" s="12"/>
      <c r="H22" s="12"/>
    </row>
    <row r="23" spans="1:8" s="9" customFormat="1" ht="15.75" thickBot="1" x14ac:dyDescent="0.35">
      <c r="A23" s="26" t="s">
        <v>35</v>
      </c>
      <c r="B23" s="27">
        <f>+B21+B22</f>
        <v>4135147</v>
      </c>
      <c r="C23" s="27">
        <f>+C21+C22</f>
        <v>5684533</v>
      </c>
      <c r="D23" s="45">
        <f t="shared" si="1"/>
        <v>0.37468704256462948</v>
      </c>
      <c r="F23" s="60"/>
      <c r="G23" s="12"/>
      <c r="H23" s="12"/>
    </row>
    <row r="24" spans="1:8" x14ac:dyDescent="0.3">
      <c r="A24" s="18" t="s">
        <v>54</v>
      </c>
      <c r="B24" s="14">
        <v>435123458</v>
      </c>
      <c r="C24" s="14">
        <v>435123458</v>
      </c>
      <c r="D24" s="17"/>
      <c r="H24" s="11"/>
    </row>
    <row r="25" spans="1:8" x14ac:dyDescent="0.3">
      <c r="A25" s="18" t="s">
        <v>71</v>
      </c>
      <c r="B25" s="33">
        <f>+B22/+(B24/1000000)</f>
        <v>9042.805961520924</v>
      </c>
      <c r="C25" s="33">
        <f>+C22/+(C24/1000000)</f>
        <v>12583.584955789718</v>
      </c>
      <c r="D25" s="17"/>
      <c r="H25" s="11"/>
    </row>
    <row r="26" spans="1:8" x14ac:dyDescent="0.3">
      <c r="G26" s="13"/>
      <c r="H26" s="13"/>
    </row>
    <row r="27" spans="1:8" x14ac:dyDescent="0.3">
      <c r="A27" s="6" t="s">
        <v>70</v>
      </c>
      <c r="B27" s="6">
        <v>2009</v>
      </c>
      <c r="C27" s="6">
        <v>2010</v>
      </c>
      <c r="D27" s="6" t="s">
        <v>46</v>
      </c>
      <c r="H27" s="13"/>
    </row>
    <row r="28" spans="1:8" x14ac:dyDescent="0.3">
      <c r="A28" s="19" t="s">
        <v>66</v>
      </c>
      <c r="B28" s="17"/>
      <c r="C28" s="17"/>
      <c r="D28" s="34"/>
    </row>
    <row r="29" spans="1:8" x14ac:dyDescent="0.3">
      <c r="A29" s="19" t="s">
        <v>44</v>
      </c>
      <c r="B29" s="17"/>
      <c r="C29" s="17"/>
      <c r="D29" s="34"/>
    </row>
    <row r="30" spans="1:8" x14ac:dyDescent="0.3">
      <c r="A30" s="19" t="s">
        <v>45</v>
      </c>
      <c r="B30" s="17"/>
      <c r="C30" s="17"/>
      <c r="D30" s="34"/>
    </row>
    <row r="31" spans="1:8" s="9" customFormat="1" x14ac:dyDescent="0.3">
      <c r="A31" s="19" t="s">
        <v>72</v>
      </c>
      <c r="B31" s="30">
        <v>54575</v>
      </c>
      <c r="C31" s="30">
        <v>64690</v>
      </c>
      <c r="D31" s="17">
        <f>IF(B31&lt;&gt;0,(C31-B31)/B31,0)</f>
        <v>0.18534127347686669</v>
      </c>
      <c r="G31" s="12"/>
    </row>
    <row r="32" spans="1:8" x14ac:dyDescent="0.3">
      <c r="A32" s="19" t="s">
        <v>5</v>
      </c>
      <c r="B32" s="14">
        <v>0</v>
      </c>
      <c r="C32" s="14">
        <v>0</v>
      </c>
      <c r="D32" s="17">
        <f t="shared" ref="D32:D42" si="2">IF(B32&lt;&gt;0,(C32-B32)/B32,0)</f>
        <v>0</v>
      </c>
    </row>
    <row r="33" spans="1:7" s="9" customFormat="1" x14ac:dyDescent="0.3">
      <c r="A33" s="19" t="s">
        <v>57</v>
      </c>
      <c r="B33" s="14">
        <v>2934</v>
      </c>
      <c r="C33" s="14">
        <v>3179</v>
      </c>
      <c r="D33" s="17">
        <f t="shared" si="2"/>
        <v>8.3503749147920928E-2</v>
      </c>
      <c r="G33" s="12"/>
    </row>
    <row r="34" spans="1:7" s="9" customFormat="1" x14ac:dyDescent="0.3">
      <c r="A34" s="19" t="s">
        <v>56</v>
      </c>
      <c r="B34" s="14">
        <f>3+1736</f>
        <v>1739</v>
      </c>
      <c r="C34" s="14">
        <v>2704</v>
      </c>
      <c r="D34" s="17">
        <f t="shared" si="2"/>
        <v>0.55491661874640597</v>
      </c>
      <c r="G34" s="12"/>
    </row>
    <row r="35" spans="1:7" s="9" customFormat="1" x14ac:dyDescent="0.3">
      <c r="A35" s="35" t="s">
        <v>4</v>
      </c>
      <c r="B35" s="30">
        <f>SUM(B31:B34)</f>
        <v>59248</v>
      </c>
      <c r="C35" s="30">
        <f>SUM(C31:C34)</f>
        <v>70573</v>
      </c>
      <c r="D35" s="17">
        <f t="shared" si="2"/>
        <v>0.1911456926816095</v>
      </c>
      <c r="G35" s="12"/>
    </row>
    <row r="36" spans="1:7" x14ac:dyDescent="0.3">
      <c r="A36" s="19" t="s">
        <v>58</v>
      </c>
      <c r="B36" s="14">
        <v>-2544</v>
      </c>
      <c r="C36" s="14">
        <v>-5158</v>
      </c>
      <c r="D36" s="17">
        <f t="shared" si="2"/>
        <v>1.0275157232704402</v>
      </c>
    </row>
    <row r="37" spans="1:7" s="9" customFormat="1" x14ac:dyDescent="0.3">
      <c r="A37" s="35" t="s">
        <v>42</v>
      </c>
      <c r="B37" s="30">
        <f>SUM(B35:B36)</f>
        <v>56704</v>
      </c>
      <c r="C37" s="30">
        <f>SUM(C35:C36)</f>
        <v>65415</v>
      </c>
      <c r="D37" s="17">
        <f t="shared" si="2"/>
        <v>0.15362231941309254</v>
      </c>
      <c r="G37" s="12"/>
    </row>
    <row r="38" spans="1:7" s="9" customFormat="1" x14ac:dyDescent="0.3">
      <c r="A38" s="19" t="s">
        <v>10</v>
      </c>
      <c r="B38" s="14">
        <v>104</v>
      </c>
      <c r="C38" s="14">
        <v>28</v>
      </c>
      <c r="D38" s="17">
        <f t="shared" si="2"/>
        <v>-0.73076923076923073</v>
      </c>
      <c r="F38" s="60"/>
      <c r="G38" s="12"/>
    </row>
    <row r="39" spans="1:7" x14ac:dyDescent="0.3">
      <c r="A39" s="19" t="s">
        <v>13</v>
      </c>
      <c r="B39" s="14">
        <v>-30</v>
      </c>
      <c r="C39" s="14">
        <f>-388-133</f>
        <v>-521</v>
      </c>
      <c r="D39" s="17">
        <f t="shared" si="2"/>
        <v>16.366666666666667</v>
      </c>
    </row>
    <row r="40" spans="1:7" s="9" customFormat="1" x14ac:dyDescent="0.3">
      <c r="A40" s="35" t="s">
        <v>43</v>
      </c>
      <c r="B40" s="30">
        <f>SUM(B37:B39)</f>
        <v>56778</v>
      </c>
      <c r="C40" s="30">
        <f>SUM(C37:C39)</f>
        <v>64922</v>
      </c>
      <c r="D40" s="17">
        <f t="shared" si="2"/>
        <v>0.1434358378245095</v>
      </c>
      <c r="G40" s="12"/>
    </row>
    <row r="41" spans="1:7" x14ac:dyDescent="0.3">
      <c r="A41" s="19" t="s">
        <v>15</v>
      </c>
      <c r="B41" s="14">
        <v>-19</v>
      </c>
      <c r="C41" s="14">
        <v>-100</v>
      </c>
      <c r="D41" s="17">
        <f t="shared" si="2"/>
        <v>4.2631578947368425</v>
      </c>
    </row>
    <row r="42" spans="1:7" ht="15.75" thickBot="1" x14ac:dyDescent="0.35">
      <c r="A42" s="36" t="s">
        <v>17</v>
      </c>
      <c r="B42" s="37">
        <f>SUM(B40:B41)</f>
        <v>56759</v>
      </c>
      <c r="C42" s="37">
        <f>SUM(C40:C41)</f>
        <v>64822</v>
      </c>
      <c r="D42" s="45">
        <f t="shared" si="2"/>
        <v>0.14205676632780703</v>
      </c>
    </row>
    <row r="44" spans="1:7" x14ac:dyDescent="0.3">
      <c r="A44" s="19"/>
      <c r="B44" s="14"/>
      <c r="C44" s="14"/>
      <c r="D44" s="17"/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33" zoomScale="87" zoomScaleNormal="87" workbookViewId="0">
      <selection activeCell="H18" sqref="H18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6" x14ac:dyDescent="0.3">
      <c r="A1" s="38" t="s">
        <v>40</v>
      </c>
    </row>
    <row r="2" spans="1:6" x14ac:dyDescent="0.3">
      <c r="A2" s="38" t="s">
        <v>65</v>
      </c>
    </row>
    <row r="3" spans="1:6" x14ac:dyDescent="0.3">
      <c r="A3" s="24" t="s">
        <v>44</v>
      </c>
    </row>
    <row r="4" spans="1:6" x14ac:dyDescent="0.3">
      <c r="A4" s="24" t="s">
        <v>45</v>
      </c>
    </row>
    <row r="6" spans="1:6" x14ac:dyDescent="0.3">
      <c r="A6" s="6" t="s">
        <v>20</v>
      </c>
      <c r="B6" s="6">
        <v>2009</v>
      </c>
      <c r="C6" s="6">
        <v>2010</v>
      </c>
      <c r="D6" s="7" t="s">
        <v>46</v>
      </c>
      <c r="E6" s="20"/>
      <c r="F6" s="23"/>
    </row>
    <row r="7" spans="1:6" x14ac:dyDescent="0.3">
      <c r="A7" s="18" t="s">
        <v>21</v>
      </c>
      <c r="B7" s="14">
        <v>134696</v>
      </c>
      <c r="C7" s="14">
        <v>150928</v>
      </c>
      <c r="D7" s="17">
        <f>+(C7-B7)/B7</f>
        <v>0.12050840410999585</v>
      </c>
      <c r="E7" s="21"/>
      <c r="F7" s="23"/>
    </row>
    <row r="8" spans="1:6" x14ac:dyDescent="0.3">
      <c r="A8" s="18" t="s">
        <v>22</v>
      </c>
      <c r="B8" s="14">
        <v>546601</v>
      </c>
      <c r="C8" s="14">
        <v>335301</v>
      </c>
      <c r="D8" s="17">
        <f t="shared" ref="D8:D16" si="0">+(C8-B8)/B8</f>
        <v>-0.38657082588579239</v>
      </c>
      <c r="E8" s="21"/>
      <c r="F8" s="23"/>
    </row>
    <row r="9" spans="1:6" x14ac:dyDescent="0.3">
      <c r="A9" s="18" t="s">
        <v>23</v>
      </c>
      <c r="B9" s="14">
        <v>662827</v>
      </c>
      <c r="C9" s="14">
        <v>530092</v>
      </c>
      <c r="D9" s="17">
        <f t="shared" si="0"/>
        <v>-0.20025587370460166</v>
      </c>
      <c r="E9" s="21"/>
      <c r="F9" s="23"/>
    </row>
    <row r="10" spans="1:6" x14ac:dyDescent="0.3">
      <c r="A10" s="18" t="s">
        <v>36</v>
      </c>
      <c r="B10" s="14">
        <v>568768</v>
      </c>
      <c r="C10" s="14">
        <v>456838</v>
      </c>
      <c r="D10" s="17">
        <f t="shared" si="0"/>
        <v>-0.19679377180150781</v>
      </c>
      <c r="E10" s="21"/>
      <c r="F10" s="23"/>
    </row>
    <row r="11" spans="1:6" x14ac:dyDescent="0.3">
      <c r="A11" s="18" t="s">
        <v>60</v>
      </c>
      <c r="B11" s="14">
        <v>835217</v>
      </c>
      <c r="C11" s="14">
        <v>918614</v>
      </c>
      <c r="D11" s="17">
        <f t="shared" si="0"/>
        <v>9.985069748340851E-2</v>
      </c>
      <c r="E11" s="21"/>
      <c r="F11" s="23"/>
    </row>
    <row r="12" spans="1:6" x14ac:dyDescent="0.3">
      <c r="A12" s="18" t="s">
        <v>47</v>
      </c>
      <c r="B12" s="14">
        <v>570566</v>
      </c>
      <c r="C12" s="14">
        <v>739413</v>
      </c>
      <c r="D12" s="17">
        <f t="shared" si="0"/>
        <v>0.29592895475720599</v>
      </c>
      <c r="E12" s="21"/>
      <c r="F12" s="23"/>
    </row>
    <row r="13" spans="1:6" x14ac:dyDescent="0.3">
      <c r="A13" s="18" t="s">
        <v>24</v>
      </c>
      <c r="B13" s="14">
        <v>46578</v>
      </c>
      <c r="C13" s="14">
        <v>61190</v>
      </c>
      <c r="D13" s="17">
        <f t="shared" si="0"/>
        <v>0.31371033535145348</v>
      </c>
      <c r="E13" s="21"/>
      <c r="F13" s="23"/>
    </row>
    <row r="14" spans="1:6" x14ac:dyDescent="0.3">
      <c r="A14" s="18" t="s">
        <v>25</v>
      </c>
      <c r="B14" s="14">
        <v>36178</v>
      </c>
      <c r="C14" s="14">
        <v>980</v>
      </c>
      <c r="D14" s="17">
        <f t="shared" si="0"/>
        <v>-0.97291171430150925</v>
      </c>
      <c r="E14" s="21"/>
      <c r="F14" s="23"/>
    </row>
    <row r="15" spans="1:6" x14ac:dyDescent="0.3">
      <c r="A15" s="18" t="s">
        <v>26</v>
      </c>
      <c r="B15" s="14">
        <v>2339489</v>
      </c>
      <c r="C15" s="14">
        <v>3885263</v>
      </c>
      <c r="D15" s="17">
        <f t="shared" si="0"/>
        <v>0.66073146742728861</v>
      </c>
      <c r="E15" s="21"/>
      <c r="F15" s="23"/>
    </row>
    <row r="16" spans="1:6" ht="15.75" thickBot="1" x14ac:dyDescent="0.35">
      <c r="A16" s="26" t="s">
        <v>27</v>
      </c>
      <c r="B16" s="27">
        <f>SUM(B7:B15)</f>
        <v>5740920</v>
      </c>
      <c r="C16" s="27">
        <f>SUM(C7:C15)</f>
        <v>7078619</v>
      </c>
      <c r="D16" s="45">
        <f t="shared" si="0"/>
        <v>0.23301125951938018</v>
      </c>
      <c r="E16" s="22"/>
      <c r="F16" s="23"/>
    </row>
    <row r="17" spans="1:6" x14ac:dyDescent="0.3">
      <c r="A17" s="1"/>
      <c r="E17" s="21"/>
      <c r="F17" s="23"/>
    </row>
    <row r="18" spans="1:6" x14ac:dyDescent="0.3">
      <c r="A18" s="6" t="s">
        <v>48</v>
      </c>
      <c r="B18" s="6">
        <v>2009</v>
      </c>
      <c r="C18" s="6">
        <v>2010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1052994</v>
      </c>
      <c r="C19" s="14">
        <v>962604</v>
      </c>
      <c r="D19" s="17">
        <f t="shared" ref="D19:D30" si="1">+(C19-B19)/B19</f>
        <v>-8.5840944962649365E-2</v>
      </c>
      <c r="E19" s="21"/>
      <c r="F19" s="23"/>
    </row>
    <row r="20" spans="1:6" x14ac:dyDescent="0.3">
      <c r="A20" s="18" t="s">
        <v>49</v>
      </c>
      <c r="B20" s="14">
        <v>119465</v>
      </c>
      <c r="C20" s="14">
        <v>140488</v>
      </c>
      <c r="D20" s="17">
        <f t="shared" si="1"/>
        <v>0.1759762273469217</v>
      </c>
      <c r="E20" s="21"/>
      <c r="F20" s="23"/>
    </row>
    <row r="21" spans="1:6" x14ac:dyDescent="0.3">
      <c r="A21" s="18" t="s">
        <v>38</v>
      </c>
      <c r="B21" s="14">
        <v>311187</v>
      </c>
      <c r="C21" s="14">
        <v>244690</v>
      </c>
      <c r="D21" s="17">
        <f t="shared" si="1"/>
        <v>-0.21368823247757779</v>
      </c>
      <c r="E21" s="21"/>
      <c r="F21" s="23"/>
    </row>
    <row r="22" spans="1:6" x14ac:dyDescent="0.3">
      <c r="A22" s="18" t="s">
        <v>30</v>
      </c>
      <c r="B22" s="14">
        <v>77747</v>
      </c>
      <c r="C22" s="14">
        <v>50328</v>
      </c>
      <c r="D22" s="17">
        <f t="shared" si="1"/>
        <v>-0.35266955638159669</v>
      </c>
      <c r="E22" s="21"/>
      <c r="F22" s="23"/>
    </row>
    <row r="23" spans="1:6" x14ac:dyDescent="0.3">
      <c r="A23" s="18" t="s">
        <v>31</v>
      </c>
      <c r="B23" s="14">
        <v>61327</v>
      </c>
      <c r="C23" s="14">
        <v>38673</v>
      </c>
      <c r="D23" s="17">
        <f t="shared" si="1"/>
        <v>-0.36939683989107569</v>
      </c>
      <c r="E23" s="21"/>
      <c r="F23" s="23"/>
    </row>
    <row r="24" spans="1:6" x14ac:dyDescent="0.3">
      <c r="A24" s="18" t="s">
        <v>32</v>
      </c>
      <c r="B24" s="14">
        <v>171393</v>
      </c>
      <c r="C24" s="14">
        <v>123876</v>
      </c>
      <c r="D24" s="17">
        <f t="shared" si="1"/>
        <v>-0.27724002730566594</v>
      </c>
      <c r="E24" s="21"/>
      <c r="F24" s="23"/>
    </row>
    <row r="25" spans="1:6" x14ac:dyDescent="0.3">
      <c r="A25" s="18" t="s">
        <v>24</v>
      </c>
      <c r="B25" s="14">
        <v>35162</v>
      </c>
      <c r="C25" s="14">
        <v>46388</v>
      </c>
      <c r="D25" s="17">
        <f t="shared" si="1"/>
        <v>0.31926511574995736</v>
      </c>
      <c r="E25" s="21"/>
      <c r="F25" s="23"/>
    </row>
    <row r="26" spans="1:6" x14ac:dyDescent="0.3">
      <c r="A26" s="18" t="s">
        <v>0</v>
      </c>
      <c r="B26" s="14">
        <v>2843</v>
      </c>
      <c r="C26" s="14">
        <v>1139</v>
      </c>
      <c r="D26" s="17">
        <f t="shared" si="1"/>
        <v>-0.5993668659866338</v>
      </c>
      <c r="E26" s="21"/>
      <c r="F26" s="23"/>
    </row>
    <row r="27" spans="1:6" x14ac:dyDescent="0.3">
      <c r="A27" s="18" t="s">
        <v>33</v>
      </c>
      <c r="B27" s="14">
        <f>SUM(B19:B26)</f>
        <v>1832118</v>
      </c>
      <c r="C27" s="14">
        <f>SUM(C19:C26)</f>
        <v>1608186</v>
      </c>
      <c r="D27" s="17">
        <f t="shared" si="1"/>
        <v>-0.12222575183476174</v>
      </c>
      <c r="E27" s="21"/>
      <c r="F27" s="23"/>
    </row>
    <row r="28" spans="1:6" x14ac:dyDescent="0.3">
      <c r="A28" s="18" t="s">
        <v>39</v>
      </c>
      <c r="B28" s="14">
        <v>2719</v>
      </c>
      <c r="C28" s="14">
        <v>3699</v>
      </c>
      <c r="D28" s="17">
        <f t="shared" si="1"/>
        <v>0.36042662743655757</v>
      </c>
      <c r="E28" s="21"/>
      <c r="F28" s="23"/>
    </row>
    <row r="29" spans="1:6" x14ac:dyDescent="0.3">
      <c r="A29" s="32" t="s">
        <v>34</v>
      </c>
      <c r="B29" s="32">
        <v>3906083</v>
      </c>
      <c r="C29" s="32">
        <v>5466734</v>
      </c>
      <c r="D29" s="47">
        <f t="shared" si="1"/>
        <v>0.39954373729385678</v>
      </c>
      <c r="E29" s="22"/>
      <c r="F29" s="22"/>
    </row>
    <row r="30" spans="1:6" ht="15.75" thickBot="1" x14ac:dyDescent="0.35">
      <c r="A30" s="27" t="s">
        <v>35</v>
      </c>
      <c r="B30" s="27">
        <f>+B27+B28+B29</f>
        <v>5740920</v>
      </c>
      <c r="C30" s="27">
        <f>+C27+C28+C29</f>
        <v>7078619</v>
      </c>
      <c r="D30" s="45">
        <f t="shared" si="1"/>
        <v>0.23301125951938018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7" x14ac:dyDescent="0.3">
      <c r="A33" s="41" t="s">
        <v>66</v>
      </c>
      <c r="B33" s="14"/>
      <c r="C33" s="14"/>
      <c r="D33" s="17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2009</v>
      </c>
      <c r="C36" s="6" t="s">
        <v>55</v>
      </c>
      <c r="D36" s="6">
        <v>2010</v>
      </c>
      <c r="E36" s="6" t="s">
        <v>55</v>
      </c>
      <c r="F36" s="7" t="s">
        <v>46</v>
      </c>
    </row>
    <row r="37" spans="1:7" s="9" customFormat="1" x14ac:dyDescent="0.3">
      <c r="A37" s="30" t="s">
        <v>4</v>
      </c>
      <c r="B37" s="50">
        <v>1043130</v>
      </c>
      <c r="C37" s="42">
        <v>1</v>
      </c>
      <c r="D37" s="50">
        <v>1021412</v>
      </c>
      <c r="E37" s="42">
        <v>1</v>
      </c>
      <c r="F37" s="17">
        <f>IF(B37&lt;&gt;0,(D37-B37)/B37,0)</f>
        <v>-2.082003201901968E-2</v>
      </c>
      <c r="G37" s="8"/>
    </row>
    <row r="38" spans="1:7" x14ac:dyDescent="0.3">
      <c r="A38" s="14" t="s">
        <v>50</v>
      </c>
      <c r="B38" s="51">
        <v>-640419</v>
      </c>
      <c r="C38" s="17">
        <f t="shared" ref="C38:C55" si="2">+B38/$B$37</f>
        <v>-0.61393977740070749</v>
      </c>
      <c r="D38" s="51">
        <v>-619750</v>
      </c>
      <c r="E38" s="17">
        <f>+D38/$D$37</f>
        <v>-0.60675809565581762</v>
      </c>
      <c r="F38" s="17">
        <f t="shared" ref="F38:F53" si="3">IF(B38&lt;&gt;0,(D38-B38)/B38,0)</f>
        <v>-3.2274182995819925E-2</v>
      </c>
    </row>
    <row r="39" spans="1:7" s="9" customFormat="1" x14ac:dyDescent="0.3">
      <c r="A39" s="30" t="s">
        <v>6</v>
      </c>
      <c r="B39" s="30">
        <f>SUM(B37:B38)</f>
        <v>402711</v>
      </c>
      <c r="C39" s="42">
        <f t="shared" si="2"/>
        <v>0.38606022259929251</v>
      </c>
      <c r="D39" s="30">
        <f>SUM(D37:D38)</f>
        <v>401662</v>
      </c>
      <c r="E39" s="42">
        <f t="shared" ref="E39:E55" si="4">+D39/$D$37</f>
        <v>0.39324190434418238</v>
      </c>
      <c r="F39" s="17">
        <f t="shared" si="3"/>
        <v>-2.6048456585491828E-3</v>
      </c>
      <c r="G39" s="8"/>
    </row>
    <row r="40" spans="1:7" x14ac:dyDescent="0.3">
      <c r="A40" s="14" t="s">
        <v>7</v>
      </c>
      <c r="B40" s="14">
        <v>-50616</v>
      </c>
      <c r="C40" s="17">
        <f t="shared" si="2"/>
        <v>-4.8523194616203157E-2</v>
      </c>
      <c r="D40" s="14">
        <v>-51905</v>
      </c>
      <c r="E40" s="17">
        <f t="shared" si="4"/>
        <v>-5.0816908358233506E-2</v>
      </c>
      <c r="F40" s="17">
        <f t="shared" si="3"/>
        <v>2.5466255729413623E-2</v>
      </c>
    </row>
    <row r="41" spans="1:7" x14ac:dyDescent="0.3">
      <c r="A41" s="14" t="s">
        <v>8</v>
      </c>
      <c r="B41" s="14">
        <v>-250667</v>
      </c>
      <c r="C41" s="17">
        <f t="shared" si="2"/>
        <v>-0.24030274270704513</v>
      </c>
      <c r="D41" s="14">
        <v>-238008</v>
      </c>
      <c r="E41" s="17">
        <f t="shared" si="4"/>
        <v>-0.23301860561653867</v>
      </c>
      <c r="F41" s="17">
        <f t="shared" si="3"/>
        <v>-5.0501262631299691E-2</v>
      </c>
    </row>
    <row r="42" spans="1:7" s="9" customFormat="1" x14ac:dyDescent="0.3">
      <c r="A42" s="30" t="s">
        <v>9</v>
      </c>
      <c r="B42" s="30">
        <f>SUM(B40:B41)</f>
        <v>-301283</v>
      </c>
      <c r="C42" s="42">
        <f t="shared" si="2"/>
        <v>-0.28882593732324829</v>
      </c>
      <c r="D42" s="30">
        <f>SUM(D40:D41)</f>
        <v>-289913</v>
      </c>
      <c r="E42" s="42">
        <f t="shared" si="4"/>
        <v>-0.28383551397477219</v>
      </c>
      <c r="F42" s="17">
        <f t="shared" si="3"/>
        <v>-3.773860456779838E-2</v>
      </c>
      <c r="G42" s="8"/>
    </row>
    <row r="43" spans="1:7" s="9" customFormat="1" x14ac:dyDescent="0.3">
      <c r="A43" s="30" t="s">
        <v>1</v>
      </c>
      <c r="B43" s="30">
        <f>+B39+B42</f>
        <v>101428</v>
      </c>
      <c r="C43" s="42">
        <f t="shared" si="2"/>
        <v>9.7234285276044219E-2</v>
      </c>
      <c r="D43" s="30">
        <f>+D39+D42</f>
        <v>111749</v>
      </c>
      <c r="E43" s="42">
        <f t="shared" si="4"/>
        <v>0.10940639036941019</v>
      </c>
      <c r="F43" s="17">
        <f t="shared" si="3"/>
        <v>0.10175691130654257</v>
      </c>
      <c r="G43" s="8"/>
    </row>
    <row r="44" spans="1:7" x14ac:dyDescent="0.3">
      <c r="A44" s="14" t="s">
        <v>51</v>
      </c>
      <c r="B44" s="14">
        <v>3136</v>
      </c>
      <c r="C44" s="17">
        <f t="shared" si="2"/>
        <v>3.0063366982063596E-3</v>
      </c>
      <c r="D44" s="14">
        <v>1111</v>
      </c>
      <c r="E44" s="17">
        <f t="shared" si="4"/>
        <v>1.087709954455205E-3</v>
      </c>
      <c r="F44" s="17">
        <f t="shared" si="3"/>
        <v>-0.64572704081632648</v>
      </c>
    </row>
    <row r="45" spans="1:7" x14ac:dyDescent="0.3">
      <c r="A45" s="14" t="s">
        <v>11</v>
      </c>
      <c r="B45" s="14">
        <f>-24890-6385</f>
        <v>-31275</v>
      </c>
      <c r="C45" s="17">
        <f t="shared" si="2"/>
        <v>-2.9981881452934917E-2</v>
      </c>
      <c r="D45" s="14">
        <v>-17664</v>
      </c>
      <c r="E45" s="17">
        <f t="shared" si="4"/>
        <v>-1.7293707142661336E-2</v>
      </c>
      <c r="F45" s="17">
        <f t="shared" si="3"/>
        <v>-0.43520383693045561</v>
      </c>
    </row>
    <row r="46" spans="1:7" x14ac:dyDescent="0.3">
      <c r="A46" s="14" t="s">
        <v>12</v>
      </c>
      <c r="B46" s="14">
        <v>5091</v>
      </c>
      <c r="C46" s="17">
        <f t="shared" si="2"/>
        <v>4.8805038681660005E-3</v>
      </c>
      <c r="D46" s="14">
        <v>-3006</v>
      </c>
      <c r="E46" s="17">
        <f t="shared" si="4"/>
        <v>-2.9429848092640382E-3</v>
      </c>
      <c r="F46" s="17">
        <f t="shared" si="3"/>
        <v>-1.590453741897466</v>
      </c>
    </row>
    <row r="47" spans="1:7" x14ac:dyDescent="0.3">
      <c r="A47" s="14" t="s">
        <v>52</v>
      </c>
      <c r="B47" s="14">
        <f>-575-28102+10198</f>
        <v>-18479</v>
      </c>
      <c r="C47" s="17">
        <f t="shared" si="2"/>
        <v>-1.7714954032575038E-2</v>
      </c>
      <c r="D47" s="14">
        <v>1391</v>
      </c>
      <c r="E47" s="17">
        <f t="shared" si="4"/>
        <v>1.3618402760100722E-3</v>
      </c>
      <c r="F47" s="17">
        <f t="shared" si="3"/>
        <v>-1.0752746360733807</v>
      </c>
    </row>
    <row r="48" spans="1:7" x14ac:dyDescent="0.3">
      <c r="A48" s="14" t="s">
        <v>14</v>
      </c>
      <c r="B48" s="14">
        <v>6237</v>
      </c>
      <c r="C48" s="17">
        <f t="shared" si="2"/>
        <v>5.9791205314773804E-3</v>
      </c>
      <c r="D48" s="14">
        <v>7197</v>
      </c>
      <c r="E48" s="17">
        <f t="shared" si="4"/>
        <v>7.0461283008227829E-3</v>
      </c>
      <c r="F48" s="17">
        <f t="shared" si="3"/>
        <v>0.15392015392015393</v>
      </c>
    </row>
    <row r="49" spans="1:7" hidden="1" x14ac:dyDescent="0.3">
      <c r="A49" s="14" t="s">
        <v>16</v>
      </c>
      <c r="B49" s="14">
        <v>0</v>
      </c>
      <c r="C49" s="17">
        <f t="shared" si="2"/>
        <v>0</v>
      </c>
      <c r="D49" s="14">
        <v>0</v>
      </c>
      <c r="E49" s="17">
        <f t="shared" si="4"/>
        <v>0</v>
      </c>
      <c r="F49" s="17">
        <f t="shared" si="3"/>
        <v>0</v>
      </c>
    </row>
    <row r="50" spans="1:7" s="9" customFormat="1" x14ac:dyDescent="0.3">
      <c r="A50" s="30" t="s">
        <v>2</v>
      </c>
      <c r="B50" s="30">
        <f>SUM(B44:B49)</f>
        <v>-35290</v>
      </c>
      <c r="C50" s="42">
        <f t="shared" si="2"/>
        <v>-3.3830874387660213E-2</v>
      </c>
      <c r="D50" s="30">
        <f>SUM(D44:D49)</f>
        <v>-10971</v>
      </c>
      <c r="E50" s="42">
        <f t="shared" si="4"/>
        <v>-1.0741013420637314E-2</v>
      </c>
      <c r="F50" s="17">
        <f t="shared" si="3"/>
        <v>-0.68911873051856054</v>
      </c>
      <c r="G50" s="8"/>
    </row>
    <row r="51" spans="1:7" s="9" customFormat="1" x14ac:dyDescent="0.3">
      <c r="A51" s="30" t="s">
        <v>41</v>
      </c>
      <c r="B51" s="30">
        <f>+B43+B50</f>
        <v>66138</v>
      </c>
      <c r="C51" s="42">
        <f t="shared" si="2"/>
        <v>6.3403410888383999E-2</v>
      </c>
      <c r="D51" s="30">
        <f>+D43+D50</f>
        <v>100778</v>
      </c>
      <c r="E51" s="42">
        <f t="shared" si="4"/>
        <v>9.8665376948772879E-2</v>
      </c>
      <c r="F51" s="17">
        <f t="shared" si="3"/>
        <v>0.52375336417793095</v>
      </c>
      <c r="G51" s="8"/>
    </row>
    <row r="52" spans="1:7" x14ac:dyDescent="0.3">
      <c r="A52" s="14" t="s">
        <v>15</v>
      </c>
      <c r="B52" s="14">
        <v>-21803</v>
      </c>
      <c r="C52" s="17">
        <f t="shared" si="2"/>
        <v>-2.0901517548148361E-2</v>
      </c>
      <c r="D52" s="14">
        <v>-31110</v>
      </c>
      <c r="E52" s="17">
        <f t="shared" si="4"/>
        <v>-3.0457836798471135E-2</v>
      </c>
      <c r="F52" s="17">
        <f t="shared" si="3"/>
        <v>0.42686786222079531</v>
      </c>
    </row>
    <row r="53" spans="1:7" x14ac:dyDescent="0.3">
      <c r="A53" s="14" t="s">
        <v>18</v>
      </c>
      <c r="B53" s="14">
        <v>-79</v>
      </c>
      <c r="C53" s="17">
        <f t="shared" si="2"/>
        <v>-7.573360942547909E-5</v>
      </c>
      <c r="D53" s="14">
        <v>-164</v>
      </c>
      <c r="E53" s="17">
        <f t="shared" si="4"/>
        <v>-1.605620454821365E-4</v>
      </c>
      <c r="F53" s="17">
        <f t="shared" si="3"/>
        <v>1.0759493670886076</v>
      </c>
    </row>
    <row r="54" spans="1:7" s="9" customFormat="1" x14ac:dyDescent="0.3">
      <c r="A54" s="43" t="s">
        <v>17</v>
      </c>
      <c r="B54" s="43">
        <f>+B51+B52+B53</f>
        <v>44256</v>
      </c>
      <c r="C54" s="44">
        <f t="shared" si="2"/>
        <v>4.242615973081016E-2</v>
      </c>
      <c r="D54" s="43">
        <f>+D51+D52+D53</f>
        <v>69504</v>
      </c>
      <c r="E54" s="44">
        <f t="shared" si="4"/>
        <v>6.8046978104819605E-2</v>
      </c>
      <c r="F54" s="44">
        <f>+(D54-B54)/B54</f>
        <v>0.57049891540130149</v>
      </c>
      <c r="G54" s="8"/>
    </row>
    <row r="55" spans="1:7" s="9" customFormat="1" ht="15.75" thickBot="1" x14ac:dyDescent="0.35">
      <c r="A55" s="27" t="s">
        <v>19</v>
      </c>
      <c r="B55" s="27">
        <v>123893</v>
      </c>
      <c r="C55" s="45">
        <f t="shared" si="2"/>
        <v>0.11877043129811241</v>
      </c>
      <c r="D55" s="27">
        <v>136156</v>
      </c>
      <c r="E55" s="45">
        <f t="shared" si="4"/>
        <v>0.13330174307723033</v>
      </c>
      <c r="F55" s="45">
        <f>+(D55-B55)/B55</f>
        <v>9.8980571945146215E-2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4"/>
    </row>
    <row r="58" spans="1:7" x14ac:dyDescent="0.3">
      <c r="D58" s="10"/>
    </row>
  </sheetData>
  <pageMargins left="0.70866141732283472" right="0.43307086614173229" top="0.43307086614173229" bottom="0.51181102362204722" header="0.31496062992125984" footer="0.31496062992125984"/>
  <pageSetup scale="88" orientation="portrait" r:id="rId1"/>
  <headerFooter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="86" zoomScaleNormal="86" workbookViewId="0">
      <selection activeCell="E44" sqref="E44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28.5703125" style="11" bestFit="1" customWidth="1"/>
    <col min="8" max="8" width="11.5703125" style="5" bestFit="1" customWidth="1"/>
    <col min="9" max="16384" width="11.42578125" style="5"/>
  </cols>
  <sheetData>
    <row r="1" spans="1:11" x14ac:dyDescent="0.3">
      <c r="A1" s="24" t="s">
        <v>69</v>
      </c>
    </row>
    <row r="2" spans="1:11" x14ac:dyDescent="0.3">
      <c r="A2" s="24" t="s">
        <v>77</v>
      </c>
    </row>
    <row r="3" spans="1:11" x14ac:dyDescent="0.3">
      <c r="A3" s="24" t="s">
        <v>44</v>
      </c>
    </row>
    <row r="4" spans="1:11" x14ac:dyDescent="0.3">
      <c r="A4" s="24" t="s">
        <v>45</v>
      </c>
    </row>
    <row r="5" spans="1:11" ht="12" customHeight="1" x14ac:dyDescent="0.3">
      <c r="G5" s="5"/>
    </row>
    <row r="6" spans="1:11" x14ac:dyDescent="0.3">
      <c r="A6" s="6" t="s">
        <v>20</v>
      </c>
      <c r="B6" s="6">
        <v>2009</v>
      </c>
      <c r="C6" s="6">
        <v>2010</v>
      </c>
      <c r="D6" s="7" t="s">
        <v>46</v>
      </c>
      <c r="G6" s="5"/>
    </row>
    <row r="7" spans="1:11" x14ac:dyDescent="0.3">
      <c r="A7" s="18" t="s">
        <v>21</v>
      </c>
      <c r="B7" s="14">
        <v>218</v>
      </c>
      <c r="C7" s="14">
        <v>173</v>
      </c>
      <c r="D7" s="17">
        <f t="shared" ref="D7:D13" si="0">IF(B7&lt;&gt;0,(C7-B7)/B7,0)</f>
        <v>-0.20642201834862386</v>
      </c>
      <c r="G7" s="5"/>
    </row>
    <row r="8" spans="1:11" x14ac:dyDescent="0.3">
      <c r="A8" s="18" t="s">
        <v>22</v>
      </c>
      <c r="B8" s="14">
        <v>3356934</v>
      </c>
      <c r="C8" s="14">
        <v>3790314</v>
      </c>
      <c r="D8" s="17">
        <f t="shared" si="0"/>
        <v>0.12909994655837737</v>
      </c>
      <c r="G8" s="5"/>
    </row>
    <row r="9" spans="1:11" s="11" customFormat="1" x14ac:dyDescent="0.3">
      <c r="A9" s="18" t="s">
        <v>23</v>
      </c>
      <c r="B9" s="14">
        <v>42902</v>
      </c>
      <c r="C9" s="14">
        <v>19794</v>
      </c>
      <c r="D9" s="17">
        <f t="shared" si="0"/>
        <v>-0.538622908022936</v>
      </c>
      <c r="E9" s="5"/>
      <c r="F9" s="5"/>
      <c r="G9" s="5"/>
      <c r="H9" s="5"/>
      <c r="I9" s="5"/>
      <c r="J9" s="5"/>
      <c r="K9" s="5"/>
    </row>
    <row r="10" spans="1:11" s="11" customFormat="1" hidden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  <c r="G10" s="5"/>
      <c r="H10" s="5"/>
      <c r="I10" s="5"/>
      <c r="J10" s="5"/>
      <c r="K10" s="5"/>
    </row>
    <row r="11" spans="1:11" s="11" customFormat="1" x14ac:dyDescent="0.3">
      <c r="A11" s="18" t="s">
        <v>59</v>
      </c>
      <c r="B11" s="14">
        <v>209</v>
      </c>
      <c r="C11" s="14">
        <v>155</v>
      </c>
      <c r="D11" s="17">
        <f t="shared" si="0"/>
        <v>-0.25837320574162681</v>
      </c>
      <c r="E11" s="5"/>
      <c r="F11" s="5"/>
      <c r="G11" s="5"/>
      <c r="H11" s="5"/>
      <c r="I11" s="5"/>
      <c r="J11" s="5"/>
      <c r="K11" s="5"/>
    </row>
    <row r="12" spans="1:11" s="11" customFormat="1" x14ac:dyDescent="0.3">
      <c r="A12" s="18" t="s">
        <v>26</v>
      </c>
      <c r="B12" s="14">
        <v>1132757</v>
      </c>
      <c r="C12" s="14">
        <v>1952853</v>
      </c>
      <c r="D12" s="17">
        <f t="shared" si="0"/>
        <v>0.7239822839320349</v>
      </c>
      <c r="E12" s="5"/>
      <c r="F12" s="5"/>
      <c r="G12" s="5"/>
      <c r="H12" s="5"/>
      <c r="I12" s="5"/>
      <c r="J12" s="5"/>
      <c r="K12" s="5"/>
    </row>
    <row r="13" spans="1:11" s="11" customFormat="1" ht="15.75" thickBot="1" x14ac:dyDescent="0.35">
      <c r="A13" s="26" t="s">
        <v>27</v>
      </c>
      <c r="B13" s="27">
        <f>SUM(B7:B12)</f>
        <v>4533020</v>
      </c>
      <c r="C13" s="27">
        <f>SUM(C7:C12)</f>
        <v>5763289</v>
      </c>
      <c r="D13" s="46">
        <f t="shared" si="0"/>
        <v>0.27140162628887587</v>
      </c>
      <c r="E13" s="5"/>
      <c r="F13" s="5"/>
      <c r="G13" s="5"/>
      <c r="H13" s="5"/>
      <c r="I13" s="5"/>
      <c r="J13" s="5"/>
      <c r="K13" s="5"/>
    </row>
    <row r="14" spans="1:11" x14ac:dyDescent="0.3">
      <c r="G14" s="5"/>
    </row>
    <row r="15" spans="1:11" s="11" customFormat="1" x14ac:dyDescent="0.3">
      <c r="A15" s="6" t="s">
        <v>48</v>
      </c>
      <c r="B15" s="6">
        <v>2009</v>
      </c>
      <c r="C15" s="6">
        <v>2010</v>
      </c>
      <c r="D15" s="7" t="s">
        <v>46</v>
      </c>
      <c r="E15" s="5"/>
      <c r="F15" s="5"/>
      <c r="G15" s="5"/>
      <c r="H15" s="5"/>
      <c r="I15" s="5"/>
      <c r="J15" s="5"/>
      <c r="K15" s="5"/>
    </row>
    <row r="16" spans="1:11" s="11" customFormat="1" x14ac:dyDescent="0.3">
      <c r="A16" s="18" t="s">
        <v>28</v>
      </c>
      <c r="B16" s="14">
        <v>38</v>
      </c>
      <c r="C16" s="14">
        <v>23</v>
      </c>
      <c r="D16" s="17">
        <f t="shared" ref="D16:D24" si="1">IF(B16&lt;&gt;0,(C16-B16)/B16,0)</f>
        <v>-0.39473684210526316</v>
      </c>
      <c r="E16" s="5"/>
      <c r="F16" s="5"/>
      <c r="G16" s="5"/>
      <c r="H16" s="5"/>
      <c r="I16" s="5"/>
      <c r="J16" s="5"/>
      <c r="K16" s="5"/>
    </row>
    <row r="17" spans="1:11" s="11" customFormat="1" x14ac:dyDescent="0.3">
      <c r="A17" s="18" t="s">
        <v>29</v>
      </c>
      <c r="B17" s="14">
        <v>171516</v>
      </c>
      <c r="C17" s="14">
        <v>158905</v>
      </c>
      <c r="D17" s="17">
        <f t="shared" si="1"/>
        <v>-7.3526668065953024E-2</v>
      </c>
      <c r="E17" s="5"/>
      <c r="F17" s="5"/>
      <c r="G17" s="5"/>
      <c r="H17" s="5"/>
      <c r="I17" s="5"/>
      <c r="J17" s="5"/>
      <c r="K17" s="5"/>
    </row>
    <row r="18" spans="1:11" x14ac:dyDescent="0.3">
      <c r="A18" s="18" t="s">
        <v>30</v>
      </c>
      <c r="B18" s="14">
        <v>2009</v>
      </c>
      <c r="C18" s="14">
        <v>415</v>
      </c>
      <c r="D18" s="17">
        <f t="shared" si="1"/>
        <v>-0.79342956694873068</v>
      </c>
      <c r="G18" s="5"/>
    </row>
    <row r="19" spans="1:11" x14ac:dyDescent="0.3">
      <c r="A19" s="18" t="s">
        <v>31</v>
      </c>
      <c r="B19" s="14">
        <v>176</v>
      </c>
      <c r="C19" s="14">
        <v>176</v>
      </c>
      <c r="D19" s="17">
        <f t="shared" si="1"/>
        <v>0</v>
      </c>
      <c r="G19" s="5"/>
    </row>
    <row r="20" spans="1:11" x14ac:dyDescent="0.3">
      <c r="A20" s="18" t="s">
        <v>32</v>
      </c>
      <c r="B20" s="14">
        <v>939</v>
      </c>
      <c r="C20" s="14">
        <v>1053</v>
      </c>
      <c r="D20" s="17">
        <f t="shared" si="1"/>
        <v>0.12140575079872204</v>
      </c>
      <c r="G20" s="5"/>
    </row>
    <row r="21" spans="1:11" x14ac:dyDescent="0.3">
      <c r="A21" s="18" t="s">
        <v>24</v>
      </c>
      <c r="B21" s="14">
        <v>9538</v>
      </c>
      <c r="C21" s="14">
        <v>10416</v>
      </c>
      <c r="D21" s="17">
        <f t="shared" si="1"/>
        <v>9.2052841266512891E-2</v>
      </c>
      <c r="G21" s="5"/>
    </row>
    <row r="22" spans="1:11" s="9" customFormat="1" x14ac:dyDescent="0.3">
      <c r="A22" s="29" t="s">
        <v>33</v>
      </c>
      <c r="B22" s="30">
        <f>SUM(B16:B21)</f>
        <v>184216</v>
      </c>
      <c r="C22" s="30">
        <f>SUM(C16:C21)</f>
        <v>170988</v>
      </c>
      <c r="D22" s="42">
        <f t="shared" si="1"/>
        <v>-7.1807009163156299E-2</v>
      </c>
      <c r="F22" s="5"/>
      <c r="G22" s="5"/>
      <c r="H22" s="5"/>
      <c r="I22" s="5"/>
      <c r="J22" s="5"/>
      <c r="K22" s="5"/>
    </row>
    <row r="23" spans="1:11" s="9" customFormat="1" x14ac:dyDescent="0.3">
      <c r="A23" s="31" t="s">
        <v>34</v>
      </c>
      <c r="B23" s="32">
        <v>4348804</v>
      </c>
      <c r="C23" s="32">
        <v>5592301</v>
      </c>
      <c r="D23" s="47">
        <f t="shared" si="1"/>
        <v>0.28593999637601508</v>
      </c>
      <c r="F23" s="5"/>
      <c r="G23" s="5"/>
      <c r="H23" s="5"/>
      <c r="I23" s="5"/>
      <c r="J23" s="5"/>
      <c r="K23" s="5"/>
    </row>
    <row r="24" spans="1:11" s="9" customFormat="1" ht="15.75" thickBot="1" x14ac:dyDescent="0.35">
      <c r="A24" s="26" t="s">
        <v>35</v>
      </c>
      <c r="B24" s="27">
        <f>+B22+B23</f>
        <v>4533020</v>
      </c>
      <c r="C24" s="27">
        <f>+C22+C23</f>
        <v>5763289</v>
      </c>
      <c r="D24" s="45">
        <f t="shared" si="1"/>
        <v>0.27140162628887587</v>
      </c>
      <c r="F24" s="5"/>
      <c r="G24" s="5"/>
      <c r="H24" s="5"/>
      <c r="I24" s="5"/>
      <c r="J24" s="5"/>
      <c r="K24" s="5"/>
    </row>
    <row r="25" spans="1:11" x14ac:dyDescent="0.3">
      <c r="A25" s="18" t="s">
        <v>54</v>
      </c>
      <c r="B25" s="14">
        <v>435123458</v>
      </c>
      <c r="C25" s="14">
        <v>435123458</v>
      </c>
      <c r="D25" s="17"/>
      <c r="G25" s="5"/>
    </row>
    <row r="26" spans="1:11" x14ac:dyDescent="0.3">
      <c r="A26" s="18" t="s">
        <v>71</v>
      </c>
      <c r="B26" s="33">
        <f>+B23/+(B25/1000000)</f>
        <v>9994.4140451283129</v>
      </c>
      <c r="C26" s="33">
        <f>+C23/+(C25/1000000)</f>
        <v>12852.216760972698</v>
      </c>
      <c r="D26" s="17"/>
      <c r="G26" s="5"/>
    </row>
    <row r="27" spans="1:11" x14ac:dyDescent="0.3">
      <c r="G27" s="5"/>
    </row>
    <row r="28" spans="1:11" x14ac:dyDescent="0.3">
      <c r="A28" s="6" t="s">
        <v>70</v>
      </c>
      <c r="B28" s="6">
        <v>2009</v>
      </c>
      <c r="C28" s="6">
        <v>2010</v>
      </c>
      <c r="D28" s="6" t="s">
        <v>46</v>
      </c>
      <c r="G28" s="5"/>
    </row>
    <row r="29" spans="1:11" x14ac:dyDescent="0.3">
      <c r="A29" s="19" t="s">
        <v>64</v>
      </c>
      <c r="B29" s="17"/>
      <c r="C29" s="17"/>
      <c r="D29" s="34"/>
      <c r="G29" s="5"/>
    </row>
    <row r="30" spans="1:11" x14ac:dyDescent="0.3">
      <c r="A30" s="19" t="s">
        <v>44</v>
      </c>
      <c r="B30" s="17"/>
      <c r="C30" s="17"/>
      <c r="D30" s="34"/>
      <c r="G30" s="5"/>
    </row>
    <row r="31" spans="1:11" x14ac:dyDescent="0.3">
      <c r="A31" s="19" t="s">
        <v>45</v>
      </c>
      <c r="B31" s="17"/>
      <c r="C31" s="17"/>
      <c r="D31" s="34"/>
      <c r="G31" s="5"/>
    </row>
    <row r="32" spans="1:11" s="9" customFormat="1" x14ac:dyDescent="0.3">
      <c r="A32" s="19" t="s">
        <v>72</v>
      </c>
      <c r="B32" s="30">
        <v>95622</v>
      </c>
      <c r="C32" s="30">
        <v>110577</v>
      </c>
      <c r="D32" s="17">
        <f>IF(B32&lt;&gt;0,(C32-B32)/B32,0)</f>
        <v>0.15639706343728429</v>
      </c>
      <c r="F32" s="5"/>
      <c r="G32" s="5"/>
      <c r="H32" s="5"/>
      <c r="I32" s="5"/>
      <c r="J32" s="5"/>
      <c r="K32" s="5"/>
    </row>
    <row r="33" spans="1:11" hidden="1" x14ac:dyDescent="0.3">
      <c r="A33" s="19" t="s">
        <v>5</v>
      </c>
      <c r="B33" s="14">
        <v>0</v>
      </c>
      <c r="C33" s="14">
        <v>0</v>
      </c>
      <c r="D33" s="17">
        <f t="shared" ref="D33:D43" si="2">IF(B33&lt;&gt;0,(C33-B33)/B33,0)</f>
        <v>0</v>
      </c>
      <c r="G33" s="5"/>
    </row>
    <row r="34" spans="1:11" s="9" customFormat="1" x14ac:dyDescent="0.3">
      <c r="A34" s="19" t="s">
        <v>57</v>
      </c>
      <c r="B34" s="14">
        <v>6621</v>
      </c>
      <c r="C34" s="14">
        <v>6832</v>
      </c>
      <c r="D34" s="17">
        <f t="shared" si="2"/>
        <v>3.1868297840205409E-2</v>
      </c>
      <c r="F34" s="5"/>
      <c r="G34" s="5"/>
      <c r="H34" s="5"/>
      <c r="I34" s="5"/>
      <c r="J34" s="5"/>
      <c r="K34" s="5"/>
    </row>
    <row r="35" spans="1:11" s="9" customFormat="1" x14ac:dyDescent="0.3">
      <c r="A35" s="19" t="s">
        <v>56</v>
      </c>
      <c r="B35" s="14">
        <v>3478</v>
      </c>
      <c r="C35" s="14">
        <v>6123</v>
      </c>
      <c r="D35" s="17">
        <f t="shared" si="2"/>
        <v>0.76049453709028181</v>
      </c>
      <c r="F35" s="5"/>
      <c r="G35" s="5"/>
      <c r="H35" s="5"/>
      <c r="I35" s="5"/>
      <c r="J35" s="5"/>
      <c r="K35" s="5"/>
    </row>
    <row r="36" spans="1:11" s="9" customFormat="1" x14ac:dyDescent="0.3">
      <c r="A36" s="35" t="s">
        <v>4</v>
      </c>
      <c r="B36" s="30">
        <f>SUM(B32:B35)</f>
        <v>105721</v>
      </c>
      <c r="C36" s="30">
        <f>SUM(C32:C35)</f>
        <v>123532</v>
      </c>
      <c r="D36" s="17">
        <f t="shared" si="2"/>
        <v>0.16847173220079265</v>
      </c>
      <c r="F36" s="5"/>
      <c r="G36" s="5"/>
      <c r="H36" s="5"/>
      <c r="I36" s="5"/>
      <c r="J36" s="5"/>
      <c r="K36" s="5"/>
    </row>
    <row r="37" spans="1:11" x14ac:dyDescent="0.3">
      <c r="A37" s="19" t="s">
        <v>58</v>
      </c>
      <c r="B37" s="14">
        <v>-4731</v>
      </c>
      <c r="C37" s="14">
        <v>-5159</v>
      </c>
      <c r="D37" s="17">
        <f t="shared" si="2"/>
        <v>9.0467131684633273E-2</v>
      </c>
      <c r="G37" s="5"/>
    </row>
    <row r="38" spans="1:11" s="9" customFormat="1" x14ac:dyDescent="0.3">
      <c r="A38" s="35" t="s">
        <v>42</v>
      </c>
      <c r="B38" s="30">
        <f>SUM(B36:B37)</f>
        <v>100990</v>
      </c>
      <c r="C38" s="30">
        <f>SUM(C36:C37)</f>
        <v>118373</v>
      </c>
      <c r="D38" s="17">
        <f t="shared" si="2"/>
        <v>0.17212595306465986</v>
      </c>
      <c r="F38" s="5"/>
      <c r="G38" s="5"/>
      <c r="H38" s="5"/>
      <c r="I38" s="5"/>
      <c r="J38" s="5"/>
      <c r="K38" s="5"/>
    </row>
    <row r="39" spans="1:11" s="9" customFormat="1" x14ac:dyDescent="0.3">
      <c r="A39" s="19" t="s">
        <v>10</v>
      </c>
      <c r="B39" s="14">
        <v>141</v>
      </c>
      <c r="C39" s="14">
        <v>40</v>
      </c>
      <c r="D39" s="17">
        <f t="shared" si="2"/>
        <v>-0.71631205673758869</v>
      </c>
      <c r="F39" s="5"/>
      <c r="G39" s="5"/>
      <c r="H39" s="5"/>
      <c r="I39" s="5"/>
      <c r="J39" s="5"/>
      <c r="K39" s="5"/>
    </row>
    <row r="40" spans="1:11" x14ac:dyDescent="0.3">
      <c r="A40" s="19" t="s">
        <v>13</v>
      </c>
      <c r="B40" s="14">
        <v>-96</v>
      </c>
      <c r="C40" s="14">
        <v>-266</v>
      </c>
      <c r="D40" s="17">
        <f t="shared" si="2"/>
        <v>1.7708333333333333</v>
      </c>
      <c r="G40" s="5"/>
    </row>
    <row r="41" spans="1:11" s="9" customFormat="1" x14ac:dyDescent="0.3">
      <c r="A41" s="35" t="s">
        <v>43</v>
      </c>
      <c r="B41" s="30">
        <f>SUM(B38:B40)</f>
        <v>101035</v>
      </c>
      <c r="C41" s="30">
        <f>SUM(C38:C40)</f>
        <v>118147</v>
      </c>
      <c r="D41" s="17">
        <f t="shared" si="2"/>
        <v>0.16936705102192309</v>
      </c>
      <c r="F41" s="5"/>
      <c r="G41" s="5"/>
      <c r="H41" s="5"/>
      <c r="I41" s="5"/>
      <c r="J41" s="5"/>
      <c r="K41" s="5"/>
    </row>
    <row r="42" spans="1:11" x14ac:dyDescent="0.3">
      <c r="A42" s="19" t="s">
        <v>15</v>
      </c>
      <c r="B42" s="14">
        <v>-103</v>
      </c>
      <c r="C42" s="14">
        <v>-196</v>
      </c>
      <c r="D42" s="17">
        <f t="shared" si="2"/>
        <v>0.90291262135922334</v>
      </c>
      <c r="G42" s="5"/>
    </row>
    <row r="43" spans="1:11" ht="15.75" thickBot="1" x14ac:dyDescent="0.35">
      <c r="A43" s="36" t="s">
        <v>17</v>
      </c>
      <c r="B43" s="37">
        <f>SUM(B41:B42)</f>
        <v>100932</v>
      </c>
      <c r="C43" s="37">
        <f>SUM(C41:C42)</f>
        <v>117951</v>
      </c>
      <c r="D43" s="45">
        <f t="shared" si="2"/>
        <v>0.1686184758054928</v>
      </c>
      <c r="G43" s="5"/>
    </row>
    <row r="44" spans="1:11" x14ac:dyDescent="0.3">
      <c r="G44" s="5"/>
    </row>
    <row r="45" spans="1:11" x14ac:dyDescent="0.3">
      <c r="A45" s="19"/>
      <c r="B45" s="14"/>
      <c r="C45" s="14"/>
      <c r="D45" s="17"/>
      <c r="G45" s="5"/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11.5703125" style="11" bestFit="1" customWidth="1"/>
    <col min="8" max="8" width="11.5703125" style="5" bestFit="1" customWidth="1"/>
    <col min="9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65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2006</v>
      </c>
      <c r="C6" s="6">
        <v>2007</v>
      </c>
      <c r="D6" s="7" t="s">
        <v>46</v>
      </c>
    </row>
    <row r="7" spans="1:4" x14ac:dyDescent="0.3">
      <c r="A7" s="18" t="s">
        <v>21</v>
      </c>
      <c r="B7" s="14">
        <v>54334</v>
      </c>
      <c r="C7" s="14">
        <v>1287</v>
      </c>
      <c r="D7" s="17">
        <f t="shared" ref="D7:D12" si="0">IF(B7&lt;&gt;0,(C7-B7)/B7,0)</f>
        <v>-0.97631317407148377</v>
      </c>
    </row>
    <row r="8" spans="1:4" x14ac:dyDescent="0.3">
      <c r="A8" s="18" t="s">
        <v>22</v>
      </c>
      <c r="B8" s="14">
        <v>2636961</v>
      </c>
      <c r="C8" s="14">
        <v>2676067</v>
      </c>
      <c r="D8" s="17">
        <f t="shared" si="0"/>
        <v>1.4829950082689884E-2</v>
      </c>
    </row>
    <row r="9" spans="1:4" x14ac:dyDescent="0.3">
      <c r="A9" s="18" t="s">
        <v>23</v>
      </c>
      <c r="B9" s="14">
        <v>13143</v>
      </c>
      <c r="C9" s="14">
        <v>39052</v>
      </c>
      <c r="D9" s="17">
        <f t="shared" si="0"/>
        <v>1.9713155291790307</v>
      </c>
    </row>
    <row r="10" spans="1:4" x14ac:dyDescent="0.3">
      <c r="A10" s="18" t="s">
        <v>59</v>
      </c>
      <c r="B10" s="14">
        <v>23263</v>
      </c>
      <c r="C10" s="14">
        <v>1291</v>
      </c>
      <c r="D10" s="17">
        <f t="shared" si="0"/>
        <v>-0.94450414821820061</v>
      </c>
    </row>
    <row r="11" spans="1:4" x14ac:dyDescent="0.3">
      <c r="A11" s="18" t="s">
        <v>26</v>
      </c>
      <c r="B11" s="14">
        <v>1483760</v>
      </c>
      <c r="C11" s="14">
        <v>1206991</v>
      </c>
      <c r="D11" s="17">
        <f t="shared" si="0"/>
        <v>-0.18653218849409609</v>
      </c>
    </row>
    <row r="12" spans="1:4" ht="15.75" thickBot="1" x14ac:dyDescent="0.35">
      <c r="A12" s="26" t="s">
        <v>27</v>
      </c>
      <c r="B12" s="27">
        <f>SUM(B7:B11)</f>
        <v>4211461</v>
      </c>
      <c r="C12" s="27">
        <f>SUM(C7:C11)</f>
        <v>3924688</v>
      </c>
      <c r="D12" s="46">
        <f t="shared" si="0"/>
        <v>-6.8093471600473091E-2</v>
      </c>
    </row>
    <row r="14" spans="1:4" x14ac:dyDescent="0.3">
      <c r="A14" s="6" t="s">
        <v>48</v>
      </c>
      <c r="B14" s="6">
        <v>2006</v>
      </c>
      <c r="C14" s="6">
        <v>2007</v>
      </c>
      <c r="D14" s="7" t="s">
        <v>46</v>
      </c>
    </row>
    <row r="15" spans="1:4" x14ac:dyDescent="0.3">
      <c r="A15" s="18" t="s">
        <v>28</v>
      </c>
      <c r="B15" s="14"/>
      <c r="C15" s="14">
        <v>7000</v>
      </c>
      <c r="D15" s="17">
        <f t="shared" ref="D15:D23" si="1">IF(B15&lt;&gt;0,(C15-B15)/B15,0)</f>
        <v>0</v>
      </c>
    </row>
    <row r="16" spans="1:4" x14ac:dyDescent="0.3">
      <c r="A16" s="18" t="s">
        <v>29</v>
      </c>
      <c r="B16" s="14">
        <v>130207</v>
      </c>
      <c r="C16" s="14">
        <v>138428</v>
      </c>
      <c r="D16" s="17">
        <f t="shared" si="1"/>
        <v>6.3137926532367689E-2</v>
      </c>
    </row>
    <row r="17" spans="1:8" x14ac:dyDescent="0.3">
      <c r="A17" s="18" t="s">
        <v>30</v>
      </c>
      <c r="B17" s="14">
        <v>2997</v>
      </c>
      <c r="C17" s="14">
        <v>254</v>
      </c>
      <c r="D17" s="17">
        <f t="shared" si="1"/>
        <v>-0.9152485819152486</v>
      </c>
    </row>
    <row r="18" spans="1:8" x14ac:dyDescent="0.3">
      <c r="A18" s="18" t="s">
        <v>31</v>
      </c>
      <c r="B18" s="14">
        <v>250</v>
      </c>
      <c r="C18" s="14">
        <v>528</v>
      </c>
      <c r="D18" s="17">
        <f t="shared" si="1"/>
        <v>1.1120000000000001</v>
      </c>
    </row>
    <row r="19" spans="1:8" x14ac:dyDescent="0.3">
      <c r="A19" s="18" t="s">
        <v>32</v>
      </c>
      <c r="B19" s="14">
        <v>395</v>
      </c>
      <c r="C19" s="14">
        <v>99</v>
      </c>
      <c r="D19" s="17">
        <f t="shared" si="1"/>
        <v>-0.74936708860759493</v>
      </c>
    </row>
    <row r="20" spans="1:8" x14ac:dyDescent="0.3">
      <c r="A20" s="18" t="s">
        <v>24</v>
      </c>
      <c r="B20" s="14">
        <v>10057</v>
      </c>
      <c r="C20" s="14">
        <v>11496</v>
      </c>
      <c r="D20" s="17">
        <f t="shared" si="1"/>
        <v>0.14308441881276723</v>
      </c>
    </row>
    <row r="21" spans="1:8" s="9" customFormat="1" x14ac:dyDescent="0.3">
      <c r="A21" s="29" t="s">
        <v>33</v>
      </c>
      <c r="B21" s="30">
        <f>SUM(B15:B20)</f>
        <v>143906</v>
      </c>
      <c r="C21" s="30">
        <f>SUM(C15:C20)</f>
        <v>157805</v>
      </c>
      <c r="D21" s="42">
        <f t="shared" si="1"/>
        <v>9.6583881144636077E-2</v>
      </c>
      <c r="G21" s="12"/>
    </row>
    <row r="22" spans="1:8" s="9" customFormat="1" x14ac:dyDescent="0.3">
      <c r="A22" s="31" t="s">
        <v>34</v>
      </c>
      <c r="B22" s="32">
        <v>4067555</v>
      </c>
      <c r="C22" s="32">
        <v>3766883</v>
      </c>
      <c r="D22" s="47">
        <f t="shared" si="1"/>
        <v>-7.3919590515678341E-2</v>
      </c>
      <c r="G22" s="12"/>
      <c r="H22" s="12"/>
    </row>
    <row r="23" spans="1:8" s="9" customFormat="1" ht="15.75" thickBot="1" x14ac:dyDescent="0.35">
      <c r="A23" s="26" t="s">
        <v>35</v>
      </c>
      <c r="B23" s="27">
        <f>+B21+B22</f>
        <v>4211461</v>
      </c>
      <c r="C23" s="27">
        <f>+C21+C22</f>
        <v>3924688</v>
      </c>
      <c r="D23" s="45">
        <f t="shared" si="1"/>
        <v>-6.8093471600473091E-2</v>
      </c>
      <c r="G23" s="12"/>
      <c r="H23" s="12"/>
    </row>
    <row r="24" spans="1:8" x14ac:dyDescent="0.3">
      <c r="A24" s="18" t="s">
        <v>54</v>
      </c>
      <c r="B24" s="14">
        <v>435123458</v>
      </c>
      <c r="C24" s="14">
        <v>435123458</v>
      </c>
      <c r="D24" s="17"/>
      <c r="H24" s="11"/>
    </row>
    <row r="25" spans="1:8" x14ac:dyDescent="0.3">
      <c r="A25" s="18" t="s">
        <v>71</v>
      </c>
      <c r="B25" s="33">
        <f>+B22/+(B24/1000000)</f>
        <v>9348.0480659353452</v>
      </c>
      <c r="C25" s="33">
        <f>+C22/+(C24/1000000)</f>
        <v>8657.0441807805255</v>
      </c>
      <c r="D25" s="17"/>
      <c r="H25" s="11"/>
    </row>
    <row r="26" spans="1:8" x14ac:dyDescent="0.3">
      <c r="G26" s="13"/>
      <c r="H26" s="13"/>
    </row>
    <row r="27" spans="1:8" x14ac:dyDescent="0.3">
      <c r="A27" s="6" t="s">
        <v>70</v>
      </c>
      <c r="B27" s="6">
        <v>2006</v>
      </c>
      <c r="C27" s="6">
        <v>2007</v>
      </c>
      <c r="D27" s="7" t="s">
        <v>46</v>
      </c>
      <c r="H27" s="13"/>
    </row>
    <row r="28" spans="1:8" x14ac:dyDescent="0.3">
      <c r="A28" s="19" t="s">
        <v>66</v>
      </c>
      <c r="B28" s="14"/>
      <c r="C28" s="17"/>
      <c r="D28" s="34"/>
    </row>
    <row r="29" spans="1:8" x14ac:dyDescent="0.3">
      <c r="A29" s="19" t="s">
        <v>44</v>
      </c>
      <c r="B29" s="14"/>
      <c r="C29" s="17"/>
      <c r="D29" s="34"/>
    </row>
    <row r="30" spans="1:8" x14ac:dyDescent="0.3">
      <c r="A30" s="19" t="s">
        <v>45</v>
      </c>
      <c r="B30" s="14"/>
      <c r="C30" s="17"/>
      <c r="D30" s="34"/>
    </row>
    <row r="31" spans="1:8" s="9" customFormat="1" x14ac:dyDescent="0.3">
      <c r="A31" s="19" t="s">
        <v>72</v>
      </c>
      <c r="B31" s="30">
        <v>91532</v>
      </c>
      <c r="C31" s="30">
        <v>37425</v>
      </c>
      <c r="D31" s="25">
        <f>IF(C31&lt;&gt;0,(C31-B31)/B31,0)</f>
        <v>-0.59112660053314692</v>
      </c>
      <c r="G31" s="12"/>
    </row>
    <row r="32" spans="1:8" s="9" customFormat="1" x14ac:dyDescent="0.3">
      <c r="A32" s="19" t="s">
        <v>5</v>
      </c>
      <c r="B32" s="14">
        <v>53403</v>
      </c>
      <c r="C32" s="14">
        <v>2701</v>
      </c>
      <c r="D32" s="25">
        <f t="shared" ref="D32:D42" si="2">IF(C32&lt;&gt;0,(C32-B32)/B32,0)</f>
        <v>-0.94942231709829039</v>
      </c>
      <c r="G32" s="12"/>
    </row>
    <row r="33" spans="1:7" s="9" customFormat="1" x14ac:dyDescent="0.3">
      <c r="A33" s="19" t="s">
        <v>57</v>
      </c>
      <c r="B33" s="14">
        <v>8956</v>
      </c>
      <c r="C33" s="14">
        <v>2752</v>
      </c>
      <c r="D33" s="25">
        <f t="shared" si="2"/>
        <v>-0.69271996426976323</v>
      </c>
      <c r="G33" s="12"/>
    </row>
    <row r="34" spans="1:7" s="9" customFormat="1" x14ac:dyDescent="0.3">
      <c r="A34" s="19" t="s">
        <v>56</v>
      </c>
      <c r="B34" s="14">
        <v>1534</v>
      </c>
      <c r="C34" s="14">
        <v>910</v>
      </c>
      <c r="D34" s="25">
        <f t="shared" si="2"/>
        <v>-0.40677966101694918</v>
      </c>
      <c r="G34" s="12"/>
    </row>
    <row r="35" spans="1:7" s="9" customFormat="1" x14ac:dyDescent="0.3">
      <c r="A35" s="35" t="s">
        <v>4</v>
      </c>
      <c r="B35" s="30">
        <f>SUM(B31:B34)</f>
        <v>155425</v>
      </c>
      <c r="C35" s="30">
        <f>SUM(C31:C34)</f>
        <v>43788</v>
      </c>
      <c r="D35" s="25">
        <f t="shared" si="2"/>
        <v>-0.7182692617017854</v>
      </c>
      <c r="G35" s="12"/>
    </row>
    <row r="36" spans="1:7" x14ac:dyDescent="0.3">
      <c r="A36" s="19" t="s">
        <v>58</v>
      </c>
      <c r="B36" s="14">
        <v>-2382</v>
      </c>
      <c r="C36" s="14">
        <v>-1501</v>
      </c>
      <c r="D36" s="25">
        <f t="shared" si="2"/>
        <v>-0.36985726280436609</v>
      </c>
    </row>
    <row r="37" spans="1:7" s="9" customFormat="1" x14ac:dyDescent="0.3">
      <c r="A37" s="35" t="s">
        <v>42</v>
      </c>
      <c r="B37" s="30">
        <f>SUM(B35:B36)</f>
        <v>153043</v>
      </c>
      <c r="C37" s="30">
        <f>SUM(C35:C36)</f>
        <v>42287</v>
      </c>
      <c r="D37" s="25">
        <f t="shared" si="2"/>
        <v>-0.72369203426487982</v>
      </c>
      <c r="G37" s="12"/>
    </row>
    <row r="38" spans="1:7" x14ac:dyDescent="0.3">
      <c r="A38" s="19" t="s">
        <v>10</v>
      </c>
      <c r="B38" s="14">
        <f>82+520</f>
        <v>602</v>
      </c>
      <c r="C38" s="14">
        <v>7</v>
      </c>
      <c r="D38" s="25">
        <f t="shared" si="2"/>
        <v>-0.98837209302325579</v>
      </c>
    </row>
    <row r="39" spans="1:7" s="9" customFormat="1" x14ac:dyDescent="0.3">
      <c r="A39" s="19" t="s">
        <v>13</v>
      </c>
      <c r="B39" s="14">
        <v>-14</v>
      </c>
      <c r="C39" s="14">
        <v>-65</v>
      </c>
      <c r="D39" s="25">
        <f t="shared" si="2"/>
        <v>3.6428571428571428</v>
      </c>
      <c r="G39" s="12"/>
    </row>
    <row r="40" spans="1:7" s="9" customFormat="1" x14ac:dyDescent="0.3">
      <c r="A40" s="35" t="s">
        <v>43</v>
      </c>
      <c r="B40" s="30">
        <f>SUM(B37:B39)</f>
        <v>153631</v>
      </c>
      <c r="C40" s="30">
        <f>SUM(C37:C39)</f>
        <v>42229</v>
      </c>
      <c r="D40" s="25">
        <f t="shared" si="2"/>
        <v>-0.72512709023569466</v>
      </c>
      <c r="G40" s="12"/>
    </row>
    <row r="41" spans="1:7" x14ac:dyDescent="0.3">
      <c r="A41" s="19" t="s">
        <v>15</v>
      </c>
      <c r="B41" s="14">
        <v>-264</v>
      </c>
      <c r="C41" s="14">
        <v>-54</v>
      </c>
      <c r="D41" s="25">
        <f t="shared" si="2"/>
        <v>-0.79545454545454541</v>
      </c>
    </row>
    <row r="42" spans="1:7" ht="15.75" thickBot="1" x14ac:dyDescent="0.35">
      <c r="A42" s="36" t="s">
        <v>17</v>
      </c>
      <c r="B42" s="37">
        <f>SUM(B40:B41)</f>
        <v>153367</v>
      </c>
      <c r="C42" s="37">
        <f>SUM(C40:C41)</f>
        <v>42175</v>
      </c>
      <c r="D42" s="28">
        <f t="shared" si="2"/>
        <v>-0.72500603128443541</v>
      </c>
    </row>
    <row r="44" spans="1:7" x14ac:dyDescent="0.3">
      <c r="A44" s="19" t="s">
        <v>53</v>
      </c>
      <c r="B44" s="14"/>
      <c r="C44" s="14"/>
      <c r="D44" s="17"/>
    </row>
  </sheetData>
  <phoneticPr fontId="0" type="noConversion"/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zoomScale="87" zoomScaleNormal="87" workbookViewId="0">
      <selection activeCell="E44" sqref="E44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14" x14ac:dyDescent="0.3">
      <c r="A1" s="38" t="s">
        <v>40</v>
      </c>
      <c r="I1" s="61"/>
      <c r="J1" s="61"/>
      <c r="K1" s="61"/>
      <c r="L1" s="61"/>
      <c r="M1" s="61"/>
      <c r="N1" s="61"/>
    </row>
    <row r="2" spans="1:14" x14ac:dyDescent="0.3">
      <c r="A2" s="38" t="s">
        <v>63</v>
      </c>
      <c r="I2" s="61"/>
      <c r="J2" s="61"/>
      <c r="K2" s="61"/>
      <c r="L2" s="61"/>
      <c r="M2" s="61"/>
      <c r="N2" s="61"/>
    </row>
    <row r="3" spans="1:14" x14ac:dyDescent="0.3">
      <c r="A3" s="24" t="s">
        <v>44</v>
      </c>
    </row>
    <row r="4" spans="1:14" x14ac:dyDescent="0.3">
      <c r="A4" s="24" t="s">
        <v>45</v>
      </c>
    </row>
    <row r="6" spans="1:14" x14ac:dyDescent="0.3">
      <c r="A6" s="6" t="s">
        <v>20</v>
      </c>
      <c r="B6" s="6">
        <v>2009</v>
      </c>
      <c r="C6" s="6">
        <v>2010</v>
      </c>
      <c r="D6" s="7" t="s">
        <v>46</v>
      </c>
      <c r="E6" s="20"/>
      <c r="F6" s="23"/>
    </row>
    <row r="7" spans="1:14" x14ac:dyDescent="0.3">
      <c r="A7" s="18" t="s">
        <v>21</v>
      </c>
      <c r="B7" s="14">
        <v>116344</v>
      </c>
      <c r="C7" s="14">
        <v>119283</v>
      </c>
      <c r="D7" s="17">
        <f>+(C7-B7)/B7</f>
        <v>2.5261294093378257E-2</v>
      </c>
      <c r="E7" s="21"/>
      <c r="F7" s="23"/>
    </row>
    <row r="8" spans="1:14" x14ac:dyDescent="0.3">
      <c r="A8" s="18" t="s">
        <v>22</v>
      </c>
      <c r="B8" s="14">
        <v>352257</v>
      </c>
      <c r="C8" s="14">
        <v>334998</v>
      </c>
      <c r="D8" s="17">
        <f t="shared" ref="D8:D16" si="0">+(C8-B8)/B8</f>
        <v>-4.8995477733586555E-2</v>
      </c>
      <c r="E8" s="21"/>
      <c r="F8" s="23"/>
    </row>
    <row r="9" spans="1:14" x14ac:dyDescent="0.3">
      <c r="A9" s="18" t="s">
        <v>23</v>
      </c>
      <c r="B9" s="14">
        <v>638715</v>
      </c>
      <c r="C9" s="14">
        <v>536436</v>
      </c>
      <c r="D9" s="17">
        <f t="shared" si="0"/>
        <v>-0.16013245344167587</v>
      </c>
      <c r="E9" s="21"/>
      <c r="F9" s="23"/>
    </row>
    <row r="10" spans="1:14" x14ac:dyDescent="0.3">
      <c r="A10" s="18" t="s">
        <v>36</v>
      </c>
      <c r="B10" s="14">
        <v>591574</v>
      </c>
      <c r="C10" s="14">
        <v>511302</v>
      </c>
      <c r="D10" s="17">
        <f t="shared" si="0"/>
        <v>-0.13569223799558466</v>
      </c>
      <c r="E10" s="21"/>
      <c r="F10" s="23"/>
    </row>
    <row r="11" spans="1:14" x14ac:dyDescent="0.3">
      <c r="A11" s="18" t="s">
        <v>60</v>
      </c>
      <c r="B11" s="14">
        <v>841176</v>
      </c>
      <c r="C11" s="14">
        <v>928346</v>
      </c>
      <c r="D11" s="17">
        <f t="shared" si="0"/>
        <v>0.10362872930278562</v>
      </c>
      <c r="E11" s="21"/>
      <c r="F11" s="23"/>
    </row>
    <row r="12" spans="1:14" x14ac:dyDescent="0.3">
      <c r="A12" s="18" t="s">
        <v>47</v>
      </c>
      <c r="B12" s="14">
        <v>734690</v>
      </c>
      <c r="C12" s="14">
        <v>729989</v>
      </c>
      <c r="D12" s="17">
        <f t="shared" si="0"/>
        <v>-6.3986171038124921E-3</v>
      </c>
      <c r="E12" s="21"/>
      <c r="F12" s="23"/>
    </row>
    <row r="13" spans="1:14" x14ac:dyDescent="0.3">
      <c r="A13" s="18" t="s">
        <v>24</v>
      </c>
      <c r="B13" s="14">
        <v>44021</v>
      </c>
      <c r="C13" s="14">
        <f>63639</f>
        <v>63639</v>
      </c>
      <c r="D13" s="17">
        <f t="shared" si="0"/>
        <v>0.44565093932441335</v>
      </c>
      <c r="E13" s="21"/>
      <c r="F13" s="23"/>
    </row>
    <row r="14" spans="1:14" x14ac:dyDescent="0.3">
      <c r="A14" s="18" t="s">
        <v>25</v>
      </c>
      <c r="B14" s="14">
        <v>2859</v>
      </c>
      <c r="C14" s="14">
        <v>967</v>
      </c>
      <c r="D14" s="17">
        <f t="shared" si="0"/>
        <v>-0.66176984959776142</v>
      </c>
      <c r="E14" s="21"/>
      <c r="F14" s="23"/>
    </row>
    <row r="15" spans="1:14" x14ac:dyDescent="0.3">
      <c r="A15" s="18" t="s">
        <v>26</v>
      </c>
      <c r="B15" s="14">
        <v>2729212</v>
      </c>
      <c r="C15" s="14">
        <v>3953164</v>
      </c>
      <c r="D15" s="17">
        <f t="shared" si="0"/>
        <v>0.44846351254501299</v>
      </c>
      <c r="E15" s="21"/>
      <c r="F15" s="23"/>
    </row>
    <row r="16" spans="1:14" ht="15.75" thickBot="1" x14ac:dyDescent="0.35">
      <c r="A16" s="26" t="s">
        <v>27</v>
      </c>
      <c r="B16" s="27">
        <f>SUM(B7:B15)</f>
        <v>6050848</v>
      </c>
      <c r="C16" s="27">
        <f>SUM(C7:C15)</f>
        <v>7178124</v>
      </c>
      <c r="D16" s="45">
        <f t="shared" si="0"/>
        <v>0.18630049870695811</v>
      </c>
      <c r="E16" s="22"/>
      <c r="F16" s="23"/>
    </row>
    <row r="17" spans="1:6" x14ac:dyDescent="0.3">
      <c r="A17" s="1"/>
      <c r="C17" s="14"/>
      <c r="E17" s="21"/>
      <c r="F17" s="23"/>
    </row>
    <row r="18" spans="1:6" x14ac:dyDescent="0.3">
      <c r="A18" s="6" t="s">
        <v>48</v>
      </c>
      <c r="B18" s="6">
        <v>2009</v>
      </c>
      <c r="C18" s="6">
        <v>2010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1057684</v>
      </c>
      <c r="C19" s="14">
        <v>909586</v>
      </c>
      <c r="D19" s="17">
        <f t="shared" ref="D19:D30" si="1">+(C19-B19)/B19</f>
        <v>-0.14002102707424902</v>
      </c>
      <c r="E19" s="21"/>
      <c r="F19" s="23"/>
    </row>
    <row r="20" spans="1:6" x14ac:dyDescent="0.3">
      <c r="A20" s="18" t="s">
        <v>49</v>
      </c>
      <c r="B20" s="14">
        <v>82294</v>
      </c>
      <c r="C20" s="14">
        <v>108192</v>
      </c>
      <c r="D20" s="17">
        <f t="shared" si="1"/>
        <v>0.31470095025153716</v>
      </c>
      <c r="E20" s="21"/>
      <c r="F20" s="23"/>
    </row>
    <row r="21" spans="1:6" x14ac:dyDescent="0.3">
      <c r="A21" s="18" t="s">
        <v>38</v>
      </c>
      <c r="B21" s="14">
        <v>254732</v>
      </c>
      <c r="C21" s="14">
        <v>255329</v>
      </c>
      <c r="D21" s="17">
        <f t="shared" si="1"/>
        <v>2.3436395898434434E-3</v>
      </c>
      <c r="E21" s="21"/>
      <c r="F21" s="23"/>
    </row>
    <row r="22" spans="1:6" x14ac:dyDescent="0.3">
      <c r="A22" s="18" t="s">
        <v>30</v>
      </c>
      <c r="B22" s="14">
        <v>88871</v>
      </c>
      <c r="C22" s="14">
        <v>59321</v>
      </c>
      <c r="D22" s="17">
        <f t="shared" si="1"/>
        <v>-0.3325044165138234</v>
      </c>
      <c r="E22" s="21"/>
      <c r="F22" s="23"/>
    </row>
    <row r="23" spans="1:6" x14ac:dyDescent="0.3">
      <c r="A23" s="18" t="s">
        <v>31</v>
      </c>
      <c r="B23" s="14">
        <v>47073</v>
      </c>
      <c r="C23" s="14">
        <v>39290</v>
      </c>
      <c r="D23" s="17">
        <f t="shared" si="1"/>
        <v>-0.16533894164382978</v>
      </c>
      <c r="E23" s="21"/>
      <c r="F23" s="23"/>
    </row>
    <row r="24" spans="1:6" x14ac:dyDescent="0.3">
      <c r="A24" s="18" t="s">
        <v>32</v>
      </c>
      <c r="B24" s="14">
        <v>171964</v>
      </c>
      <c r="C24" s="14">
        <v>160042</v>
      </c>
      <c r="D24" s="17">
        <f t="shared" si="1"/>
        <v>-6.9328464097136611E-2</v>
      </c>
      <c r="E24" s="21"/>
      <c r="F24" s="23"/>
    </row>
    <row r="25" spans="1:6" x14ac:dyDescent="0.3">
      <c r="A25" s="18" t="s">
        <v>24</v>
      </c>
      <c r="B25" s="14">
        <v>41880</v>
      </c>
      <c r="C25" s="14">
        <v>51362</v>
      </c>
      <c r="D25" s="17">
        <f t="shared" si="1"/>
        <v>0.22640878701050621</v>
      </c>
      <c r="E25" s="21"/>
      <c r="F25" s="23"/>
    </row>
    <row r="26" spans="1:6" x14ac:dyDescent="0.3">
      <c r="A26" s="18" t="s">
        <v>0</v>
      </c>
      <c r="B26" s="14">
        <v>1430</v>
      </c>
      <c r="C26" s="14">
        <v>2980</v>
      </c>
      <c r="D26" s="17">
        <f t="shared" si="1"/>
        <v>1.083916083916084</v>
      </c>
      <c r="E26" s="21"/>
      <c r="F26" s="23"/>
    </row>
    <row r="27" spans="1:6" x14ac:dyDescent="0.3">
      <c r="A27" s="18" t="s">
        <v>33</v>
      </c>
      <c r="B27" s="30">
        <f>SUM(B19:B26)</f>
        <v>1745928</v>
      </c>
      <c r="C27" s="30">
        <f>SUM(C19:C26)</f>
        <v>1586102</v>
      </c>
      <c r="D27" s="17">
        <f t="shared" si="1"/>
        <v>-9.1542148358924311E-2</v>
      </c>
      <c r="E27" s="21"/>
      <c r="F27" s="23"/>
    </row>
    <row r="28" spans="1:6" x14ac:dyDescent="0.3">
      <c r="A28" s="18" t="s">
        <v>39</v>
      </c>
      <c r="B28" s="14">
        <v>3040</v>
      </c>
      <c r="C28" s="14">
        <v>3835</v>
      </c>
      <c r="D28" s="17">
        <f t="shared" si="1"/>
        <v>0.26151315789473684</v>
      </c>
      <c r="E28" s="21"/>
      <c r="F28" s="23"/>
    </row>
    <row r="29" spans="1:6" x14ac:dyDescent="0.3">
      <c r="A29" s="32" t="s">
        <v>34</v>
      </c>
      <c r="B29" s="32">
        <v>4301880</v>
      </c>
      <c r="C29" s="32">
        <v>5588187</v>
      </c>
      <c r="D29" s="47">
        <f t="shared" si="1"/>
        <v>0.29901043264805155</v>
      </c>
      <c r="E29" s="22"/>
      <c r="F29" s="22"/>
    </row>
    <row r="30" spans="1:6" ht="15.75" thickBot="1" x14ac:dyDescent="0.35">
      <c r="A30" s="27" t="s">
        <v>35</v>
      </c>
      <c r="B30" s="27">
        <f>+B27+B28+B29</f>
        <v>6050848</v>
      </c>
      <c r="C30" s="27">
        <f>+C27+C28+C29</f>
        <v>7178124</v>
      </c>
      <c r="D30" s="45">
        <f t="shared" si="1"/>
        <v>0.18630049870695811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21" x14ac:dyDescent="0.3">
      <c r="A33" s="41" t="s">
        <v>64</v>
      </c>
      <c r="B33" s="14"/>
      <c r="C33" s="14"/>
      <c r="D33" s="17"/>
    </row>
    <row r="34" spans="1:21" x14ac:dyDescent="0.3">
      <c r="A34" s="41" t="s">
        <v>44</v>
      </c>
      <c r="B34" s="14"/>
      <c r="C34" s="14"/>
      <c r="D34" s="17"/>
    </row>
    <row r="35" spans="1:21" x14ac:dyDescent="0.3">
      <c r="A35" s="41" t="s">
        <v>45</v>
      </c>
      <c r="B35" s="14"/>
      <c r="C35" s="14"/>
      <c r="D35" s="17"/>
    </row>
    <row r="36" spans="1:21" x14ac:dyDescent="0.3">
      <c r="A36" s="6"/>
      <c r="B36" s="6">
        <v>2009</v>
      </c>
      <c r="C36" s="6" t="s">
        <v>55</v>
      </c>
      <c r="D36" s="6">
        <v>2010</v>
      </c>
      <c r="E36" s="6" t="s">
        <v>55</v>
      </c>
      <c r="F36" s="7" t="s">
        <v>46</v>
      </c>
    </row>
    <row r="37" spans="1:21" s="9" customFormat="1" x14ac:dyDescent="0.3">
      <c r="A37" s="30" t="s">
        <v>4</v>
      </c>
      <c r="B37" s="50">
        <v>2138848</v>
      </c>
      <c r="C37" s="42">
        <v>1</v>
      </c>
      <c r="D37" s="50">
        <v>2078760</v>
      </c>
      <c r="E37" s="42">
        <v>1</v>
      </c>
      <c r="F37" s="17">
        <f>IF(B37&lt;&gt;0,(D37-B37)/B37,0)</f>
        <v>-2.8093627971693173E-2</v>
      </c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3">
      <c r="A38" s="14" t="s">
        <v>50</v>
      </c>
      <c r="B38" s="51">
        <v>-1324263</v>
      </c>
      <c r="C38" s="17">
        <f t="shared" ref="C38:C55" si="2">+B38/$B$37</f>
        <v>-0.61914778422777117</v>
      </c>
      <c r="D38" s="51">
        <v>-1257579</v>
      </c>
      <c r="E38" s="17">
        <f>+D38/$D$37</f>
        <v>-0.60496594123419734</v>
      </c>
      <c r="F38" s="17">
        <f t="shared" ref="F38:F53" si="3">IF(B38&lt;&gt;0,(D38-B38)/B38,0)</f>
        <v>-5.0355556260350098E-2</v>
      </c>
    </row>
    <row r="39" spans="1:21" s="9" customFormat="1" x14ac:dyDescent="0.3">
      <c r="A39" s="30" t="s">
        <v>6</v>
      </c>
      <c r="B39" s="30">
        <f>SUM(B37:B38)</f>
        <v>814585</v>
      </c>
      <c r="C39" s="42">
        <f t="shared" si="2"/>
        <v>0.38085221577222877</v>
      </c>
      <c r="D39" s="30">
        <f>SUM(D37:D38)</f>
        <v>821181</v>
      </c>
      <c r="E39" s="42">
        <f t="shared" ref="E39:E55" si="4">+D39/$D$37</f>
        <v>0.39503405876580266</v>
      </c>
      <c r="F39" s="17">
        <f t="shared" si="3"/>
        <v>8.0973747368291837E-3</v>
      </c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3">
      <c r="A40" s="14" t="s">
        <v>7</v>
      </c>
      <c r="B40" s="14">
        <v>-108855</v>
      </c>
      <c r="C40" s="17">
        <f t="shared" si="2"/>
        <v>-5.0894219692095934E-2</v>
      </c>
      <c r="D40" s="14">
        <v>-107201</v>
      </c>
      <c r="E40" s="17">
        <f t="shared" si="4"/>
        <v>-5.1569685774211546E-2</v>
      </c>
      <c r="F40" s="17">
        <f t="shared" si="3"/>
        <v>-1.5194524826604197E-2</v>
      </c>
    </row>
    <row r="41" spans="1:21" x14ac:dyDescent="0.3">
      <c r="A41" s="14" t="s">
        <v>8</v>
      </c>
      <c r="B41" s="14">
        <v>-496637</v>
      </c>
      <c r="C41" s="17">
        <f t="shared" si="2"/>
        <v>-0.23219836098684898</v>
      </c>
      <c r="D41" s="14">
        <v>-501112</v>
      </c>
      <c r="E41" s="17">
        <f t="shared" si="4"/>
        <v>-0.241062941368893</v>
      </c>
      <c r="F41" s="17">
        <f t="shared" si="3"/>
        <v>9.010605331459396E-3</v>
      </c>
    </row>
    <row r="42" spans="1:21" s="9" customFormat="1" x14ac:dyDescent="0.3">
      <c r="A42" s="30" t="s">
        <v>9</v>
      </c>
      <c r="B42" s="30">
        <f>SUM(B40:B41)</f>
        <v>-605492</v>
      </c>
      <c r="C42" s="42">
        <f t="shared" si="2"/>
        <v>-0.28309258067894494</v>
      </c>
      <c r="D42" s="30">
        <f>SUM(D40:D41)</f>
        <v>-608313</v>
      </c>
      <c r="E42" s="42">
        <f t="shared" si="4"/>
        <v>-0.29263262714310456</v>
      </c>
      <c r="F42" s="17">
        <f t="shared" si="3"/>
        <v>4.6590210935900066E-3</v>
      </c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s="9" customFormat="1" x14ac:dyDescent="0.3">
      <c r="A43" s="30" t="s">
        <v>1</v>
      </c>
      <c r="B43" s="30">
        <f>+B39+B42</f>
        <v>209093</v>
      </c>
      <c r="C43" s="42">
        <f t="shared" si="2"/>
        <v>9.7759635093283864E-2</v>
      </c>
      <c r="D43" s="30">
        <f>+D39+D42</f>
        <v>212868</v>
      </c>
      <c r="E43" s="42">
        <f t="shared" si="4"/>
        <v>0.10240143162269814</v>
      </c>
      <c r="F43" s="17">
        <f t="shared" si="3"/>
        <v>1.8054167284414113E-2</v>
      </c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3">
      <c r="A44" s="14" t="s">
        <v>51</v>
      </c>
      <c r="B44" s="14">
        <v>5680</v>
      </c>
      <c r="C44" s="17">
        <f t="shared" si="2"/>
        <v>2.6556351830518111E-3</v>
      </c>
      <c r="D44" s="14">
        <v>1962</v>
      </c>
      <c r="E44" s="17">
        <f t="shared" si="4"/>
        <v>9.4383189978641108E-4</v>
      </c>
      <c r="F44" s="17">
        <f t="shared" si="3"/>
        <v>-0.65457746478873235</v>
      </c>
    </row>
    <row r="45" spans="1:21" x14ac:dyDescent="0.3">
      <c r="A45" s="14" t="s">
        <v>11</v>
      </c>
      <c r="B45" s="14">
        <v>-58582</v>
      </c>
      <c r="C45" s="17">
        <f t="shared" si="2"/>
        <v>-2.7389510615060071E-2</v>
      </c>
      <c r="D45" s="14">
        <v>-37169</v>
      </c>
      <c r="E45" s="17">
        <f t="shared" si="4"/>
        <v>-1.7880370990398121E-2</v>
      </c>
      <c r="F45" s="17">
        <f t="shared" si="3"/>
        <v>-0.36552183264483973</v>
      </c>
    </row>
    <row r="46" spans="1:21" x14ac:dyDescent="0.3">
      <c r="A46" s="14" t="s">
        <v>12</v>
      </c>
      <c r="B46" s="14">
        <v>11039</v>
      </c>
      <c r="C46" s="17">
        <f t="shared" si="2"/>
        <v>5.1611895749487571E-3</v>
      </c>
      <c r="D46" s="14">
        <v>-6747</v>
      </c>
      <c r="E46" s="17">
        <f t="shared" si="4"/>
        <v>-3.2456849275529641E-3</v>
      </c>
      <c r="F46" s="17">
        <f t="shared" si="3"/>
        <v>-1.611196666364707</v>
      </c>
    </row>
    <row r="47" spans="1:21" x14ac:dyDescent="0.3">
      <c r="A47" s="14" t="s">
        <v>52</v>
      </c>
      <c r="B47" s="14">
        <v>-61542</v>
      </c>
      <c r="C47" s="17">
        <f t="shared" si="2"/>
        <v>-2.8773433175241999E-2</v>
      </c>
      <c r="D47" s="14">
        <v>-5404</v>
      </c>
      <c r="E47" s="17">
        <f t="shared" si="4"/>
        <v>-2.5996267005330099E-3</v>
      </c>
      <c r="F47" s="17">
        <f t="shared" si="3"/>
        <v>-0.91219004907217838</v>
      </c>
    </row>
    <row r="48" spans="1:21" x14ac:dyDescent="0.3">
      <c r="A48" s="14" t="s">
        <v>14</v>
      </c>
      <c r="B48" s="14">
        <v>14391</v>
      </c>
      <c r="C48" s="17">
        <f t="shared" si="2"/>
        <v>6.7283883660736992E-3</v>
      </c>
      <c r="D48" s="14">
        <v>15210</v>
      </c>
      <c r="E48" s="17">
        <f t="shared" si="4"/>
        <v>7.3168619754084164E-3</v>
      </c>
      <c r="F48" s="17">
        <f t="shared" si="3"/>
        <v>5.6910569105691054E-2</v>
      </c>
    </row>
    <row r="49" spans="1:21" x14ac:dyDescent="0.3">
      <c r="A49" s="14" t="s">
        <v>16</v>
      </c>
      <c r="B49" s="14">
        <v>0</v>
      </c>
      <c r="C49" s="17">
        <f t="shared" si="2"/>
        <v>0</v>
      </c>
      <c r="D49" s="14">
        <v>-160</v>
      </c>
      <c r="E49" s="17">
        <f t="shared" si="4"/>
        <v>-7.6968962265966249E-5</v>
      </c>
      <c r="F49" s="17">
        <f t="shared" si="3"/>
        <v>0</v>
      </c>
    </row>
    <row r="50" spans="1:21" s="9" customFormat="1" x14ac:dyDescent="0.3">
      <c r="A50" s="30" t="s">
        <v>2</v>
      </c>
      <c r="B50" s="30">
        <f>SUM(B44:B49)</f>
        <v>-89014</v>
      </c>
      <c r="C50" s="42">
        <f t="shared" si="2"/>
        <v>-4.1617730666227801E-2</v>
      </c>
      <c r="D50" s="30">
        <f>SUM(D44:D49)</f>
        <v>-32308</v>
      </c>
      <c r="E50" s="42">
        <f t="shared" si="4"/>
        <v>-1.5541957705555234E-2</v>
      </c>
      <c r="F50" s="17">
        <f t="shared" si="3"/>
        <v>-0.63704585795492841</v>
      </c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s="9" customFormat="1" x14ac:dyDescent="0.3">
      <c r="A51" s="30" t="s">
        <v>41</v>
      </c>
      <c r="B51" s="30">
        <f>+B43+B50</f>
        <v>120079</v>
      </c>
      <c r="C51" s="42">
        <f t="shared" si="2"/>
        <v>5.6141904427056064E-2</v>
      </c>
      <c r="D51" s="30">
        <f>+D43+D50</f>
        <v>180560</v>
      </c>
      <c r="E51" s="42">
        <f t="shared" si="4"/>
        <v>8.685947391714291E-2</v>
      </c>
      <c r="F51" s="17">
        <f t="shared" si="3"/>
        <v>0.5036767461421231</v>
      </c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">
      <c r="A52" s="14" t="s">
        <v>15</v>
      </c>
      <c r="B52" s="14">
        <v>-41797</v>
      </c>
      <c r="C52" s="17">
        <f t="shared" si="2"/>
        <v>-1.9541828124298687E-2</v>
      </c>
      <c r="D52" s="14">
        <v>-55664</v>
      </c>
      <c r="E52" s="17">
        <f t="shared" si="4"/>
        <v>-2.6777501972329656E-2</v>
      </c>
      <c r="F52" s="17">
        <f t="shared" si="3"/>
        <v>0.33177022274325907</v>
      </c>
    </row>
    <row r="53" spans="1:21" x14ac:dyDescent="0.3">
      <c r="A53" s="14" t="s">
        <v>18</v>
      </c>
      <c r="B53" s="14">
        <v>34</v>
      </c>
      <c r="C53" s="17">
        <f t="shared" si="2"/>
        <v>1.5896407785873518E-5</v>
      </c>
      <c r="D53" s="14">
        <v>-299</v>
      </c>
      <c r="E53" s="17">
        <f t="shared" si="4"/>
        <v>-1.4383574823452442E-4</v>
      </c>
      <c r="F53" s="17">
        <f t="shared" si="3"/>
        <v>-9.7941176470588243</v>
      </c>
    </row>
    <row r="54" spans="1:21" s="9" customFormat="1" x14ac:dyDescent="0.3">
      <c r="A54" s="43" t="s">
        <v>17</v>
      </c>
      <c r="B54" s="43">
        <f>+B51+B52+B53</f>
        <v>78316</v>
      </c>
      <c r="C54" s="44">
        <f t="shared" si="2"/>
        <v>3.6615972710543246E-2</v>
      </c>
      <c r="D54" s="43">
        <f>+D51+D52+D53</f>
        <v>124597</v>
      </c>
      <c r="E54" s="44">
        <f t="shared" si="4"/>
        <v>5.9938136196578728E-2</v>
      </c>
      <c r="F54" s="44">
        <f>+(D54-B54)/B54</f>
        <v>0.59095204045150418</v>
      </c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s="9" customFormat="1" ht="15.75" thickBot="1" x14ac:dyDescent="0.35">
      <c r="A55" s="27" t="s">
        <v>19</v>
      </c>
      <c r="B55" s="27">
        <v>253766</v>
      </c>
      <c r="C55" s="45">
        <f t="shared" si="2"/>
        <v>0.11864611229970526</v>
      </c>
      <c r="D55" s="27">
        <v>261229</v>
      </c>
      <c r="E55" s="45">
        <f t="shared" si="4"/>
        <v>0.12566578152360061</v>
      </c>
      <c r="F55" s="45">
        <f>+(D55-B55)/B55</f>
        <v>2.940898307889946E-2</v>
      </c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">
      <c r="A56" s="2"/>
      <c r="C56" s="3"/>
      <c r="D56" s="10"/>
    </row>
    <row r="57" spans="1:21" x14ac:dyDescent="0.3">
      <c r="A57" s="19" t="s">
        <v>53</v>
      </c>
      <c r="B57" s="14"/>
      <c r="C57" s="14"/>
      <c r="D57" s="17"/>
    </row>
    <row r="58" spans="1:21" x14ac:dyDescent="0.3">
      <c r="D58" s="10"/>
    </row>
  </sheetData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7" zoomScale="86" zoomScaleNormal="86" workbookViewId="0">
      <selection activeCell="A29" sqref="A29:C44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28.5703125" style="11" bestFit="1" customWidth="1"/>
    <col min="8" max="8" width="11.5703125" style="5" bestFit="1" customWidth="1"/>
    <col min="9" max="16384" width="11.42578125" style="5"/>
  </cols>
  <sheetData>
    <row r="1" spans="1:11" x14ac:dyDescent="0.3">
      <c r="A1" s="24" t="s">
        <v>69</v>
      </c>
    </row>
    <row r="2" spans="1:11" x14ac:dyDescent="0.3">
      <c r="A2" s="24" t="s">
        <v>78</v>
      </c>
    </row>
    <row r="3" spans="1:11" x14ac:dyDescent="0.3">
      <c r="A3" s="24" t="s">
        <v>44</v>
      </c>
    </row>
    <row r="4" spans="1:11" x14ac:dyDescent="0.3">
      <c r="A4" s="24" t="s">
        <v>45</v>
      </c>
    </row>
    <row r="5" spans="1:11" ht="12" customHeight="1" x14ac:dyDescent="0.3">
      <c r="G5" s="5"/>
    </row>
    <row r="6" spans="1:11" x14ac:dyDescent="0.3">
      <c r="A6" s="6" t="s">
        <v>20</v>
      </c>
      <c r="B6" s="6">
        <v>2009</v>
      </c>
      <c r="C6" s="6">
        <v>2010</v>
      </c>
      <c r="D6" s="7" t="s">
        <v>46</v>
      </c>
      <c r="G6" s="5"/>
    </row>
    <row r="7" spans="1:11" x14ac:dyDescent="0.3">
      <c r="A7" s="18" t="s">
        <v>21</v>
      </c>
      <c r="B7" s="14">
        <v>351.04640899999998</v>
      </c>
      <c r="C7" s="14">
        <v>618</v>
      </c>
      <c r="D7" s="17">
        <f t="shared" ref="D7:D14" si="0">IF(B7&lt;&gt;0,(C7-B7)/B7,0)</f>
        <v>0.76045099495662416</v>
      </c>
      <c r="G7" s="5"/>
    </row>
    <row r="8" spans="1:11" x14ac:dyDescent="0.3">
      <c r="A8" s="18" t="s">
        <v>22</v>
      </c>
      <c r="B8" s="14">
        <v>3674469</v>
      </c>
      <c r="C8" s="14">
        <v>2628396</v>
      </c>
      <c r="D8" s="17">
        <f t="shared" si="0"/>
        <v>-0.28468684863037352</v>
      </c>
      <c r="G8" s="5"/>
    </row>
    <row r="9" spans="1:11" s="11" customFormat="1" x14ac:dyDescent="0.3">
      <c r="A9" s="18" t="s">
        <v>23</v>
      </c>
      <c r="B9" s="14">
        <v>42390.248979000004</v>
      </c>
      <c r="C9" s="14">
        <v>37824</v>
      </c>
      <c r="D9" s="17">
        <f t="shared" si="0"/>
        <v>-0.10771932434891121</v>
      </c>
      <c r="E9" s="5"/>
      <c r="F9" s="5"/>
      <c r="G9" s="5"/>
      <c r="H9" s="5"/>
      <c r="I9" s="5"/>
      <c r="J9" s="5"/>
      <c r="K9" s="5"/>
    </row>
    <row r="10" spans="1:11" s="11" customFormat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  <c r="G10" s="5"/>
      <c r="H10" s="5"/>
      <c r="I10" s="5"/>
      <c r="J10" s="5"/>
      <c r="K10" s="5"/>
    </row>
    <row r="11" spans="1:11" s="11" customFormat="1" x14ac:dyDescent="0.3">
      <c r="A11" s="18" t="s">
        <v>24</v>
      </c>
      <c r="B11" s="14">
        <v>491.85170699999998</v>
      </c>
      <c r="C11" s="14">
        <v>0</v>
      </c>
      <c r="D11" s="17">
        <f t="shared" si="0"/>
        <v>-1</v>
      </c>
      <c r="E11" s="5"/>
      <c r="F11" s="5"/>
      <c r="G11" s="5"/>
      <c r="H11" s="5"/>
      <c r="I11" s="5"/>
      <c r="J11" s="5"/>
      <c r="K11" s="5"/>
    </row>
    <row r="12" spans="1:11" s="11" customFormat="1" x14ac:dyDescent="0.3">
      <c r="A12" s="18" t="s">
        <v>59</v>
      </c>
      <c r="B12" s="14">
        <f>155+54</f>
        <v>209</v>
      </c>
      <c r="C12" s="14">
        <f>110+155</f>
        <v>265</v>
      </c>
      <c r="D12" s="17">
        <f t="shared" si="0"/>
        <v>0.26794258373205743</v>
      </c>
      <c r="E12" s="5"/>
      <c r="F12" s="5"/>
      <c r="G12" s="5"/>
      <c r="H12" s="5"/>
      <c r="I12" s="5"/>
      <c r="J12" s="5"/>
      <c r="K12" s="5"/>
    </row>
    <row r="13" spans="1:11" s="11" customFormat="1" x14ac:dyDescent="0.3">
      <c r="A13" s="18" t="s">
        <v>26</v>
      </c>
      <c r="B13" s="14">
        <v>1378868.0053719999</v>
      </c>
      <c r="C13" s="14">
        <v>3880021</v>
      </c>
      <c r="D13" s="17">
        <f t="shared" si="0"/>
        <v>1.8139176374269579</v>
      </c>
      <c r="E13" s="5"/>
      <c r="F13" s="5"/>
      <c r="G13" s="5"/>
      <c r="H13" s="5"/>
      <c r="I13" s="5"/>
      <c r="J13" s="5"/>
      <c r="K13" s="5"/>
    </row>
    <row r="14" spans="1:11" s="11" customFormat="1" ht="15.75" thickBot="1" x14ac:dyDescent="0.35">
      <c r="A14" s="26" t="s">
        <v>27</v>
      </c>
      <c r="B14" s="27">
        <f>SUM(B7:B13)</f>
        <v>5096779.1524669994</v>
      </c>
      <c r="C14" s="27">
        <f>SUM(C7:C13)</f>
        <v>6547124</v>
      </c>
      <c r="D14" s="46">
        <f t="shared" si="0"/>
        <v>0.28456105398072601</v>
      </c>
      <c r="E14" s="5"/>
      <c r="F14" s="5"/>
      <c r="G14" s="5"/>
      <c r="H14" s="5"/>
      <c r="I14" s="5"/>
      <c r="J14" s="5"/>
      <c r="K14" s="5"/>
    </row>
    <row r="15" spans="1:11" x14ac:dyDescent="0.3">
      <c r="G15" s="5"/>
    </row>
    <row r="16" spans="1:11" s="11" customFormat="1" x14ac:dyDescent="0.3">
      <c r="A16" s="6" t="s">
        <v>48</v>
      </c>
      <c r="B16" s="6">
        <v>2009</v>
      </c>
      <c r="C16" s="6">
        <v>2010</v>
      </c>
      <c r="D16" s="7" t="s">
        <v>46</v>
      </c>
      <c r="E16" s="5"/>
      <c r="F16" s="5"/>
      <c r="G16" s="5"/>
      <c r="H16" s="5"/>
      <c r="I16" s="5"/>
      <c r="J16" s="5"/>
      <c r="K16" s="5"/>
    </row>
    <row r="17" spans="1:11" s="11" customFormat="1" x14ac:dyDescent="0.3">
      <c r="A17" s="18" t="s">
        <v>28</v>
      </c>
      <c r="B17" s="14">
        <v>115.76253199999999</v>
      </c>
      <c r="C17" s="14">
        <v>0</v>
      </c>
      <c r="D17" s="17">
        <f t="shared" ref="D17:D25" si="1">IF(B17&lt;&gt;0,(C17-B17)/B17,0)</f>
        <v>-1</v>
      </c>
      <c r="E17" s="5"/>
      <c r="F17" s="5"/>
      <c r="G17" s="5"/>
      <c r="H17" s="5"/>
      <c r="I17" s="5"/>
      <c r="J17" s="5"/>
      <c r="K17" s="5"/>
    </row>
    <row r="18" spans="1:11" s="11" customFormat="1" x14ac:dyDescent="0.3">
      <c r="A18" s="18" t="s">
        <v>29</v>
      </c>
      <c r="B18" s="14">
        <v>141644.109547</v>
      </c>
      <c r="C18" s="14">
        <v>111269</v>
      </c>
      <c r="D18" s="17">
        <f t="shared" si="1"/>
        <v>-0.21444668362238534</v>
      </c>
      <c r="E18" s="5"/>
      <c r="F18" s="5"/>
      <c r="G18" s="5"/>
      <c r="H18" s="5"/>
      <c r="I18" s="5"/>
      <c r="J18" s="5"/>
      <c r="K18" s="5"/>
    </row>
    <row r="19" spans="1:11" x14ac:dyDescent="0.3">
      <c r="A19" s="18" t="s">
        <v>30</v>
      </c>
      <c r="B19" s="14">
        <v>1914.8314620000001</v>
      </c>
      <c r="C19" s="14">
        <v>298</v>
      </c>
      <c r="D19" s="17">
        <f t="shared" si="1"/>
        <v>-0.84437272631360183</v>
      </c>
      <c r="G19" s="5"/>
    </row>
    <row r="20" spans="1:11" x14ac:dyDescent="0.3">
      <c r="A20" s="18" t="s">
        <v>31</v>
      </c>
      <c r="B20" s="14">
        <v>159.08754500000001</v>
      </c>
      <c r="C20" s="14">
        <v>279</v>
      </c>
      <c r="D20" s="17">
        <f t="shared" si="1"/>
        <v>0.75375137003968473</v>
      </c>
      <c r="G20" s="5"/>
    </row>
    <row r="21" spans="1:11" x14ac:dyDescent="0.3">
      <c r="A21" s="18" t="s">
        <v>32</v>
      </c>
      <c r="B21" s="14">
        <v>1177.3063010000001</v>
      </c>
      <c r="C21" s="14">
        <f>3215-C20</f>
        <v>2936</v>
      </c>
      <c r="D21" s="17">
        <f t="shared" si="1"/>
        <v>1.4938284943401485</v>
      </c>
      <c r="G21" s="5"/>
    </row>
    <row r="22" spans="1:11" x14ac:dyDescent="0.3">
      <c r="A22" s="18" t="s">
        <v>24</v>
      </c>
      <c r="B22" s="14">
        <v>6358.6844350000001</v>
      </c>
      <c r="C22" s="14">
        <v>15300</v>
      </c>
      <c r="D22" s="17">
        <f t="shared" si="1"/>
        <v>1.4061580907812421</v>
      </c>
      <c r="G22" s="5"/>
    </row>
    <row r="23" spans="1:11" s="9" customFormat="1" x14ac:dyDescent="0.3">
      <c r="A23" s="29" t="s">
        <v>33</v>
      </c>
      <c r="B23" s="30">
        <f>SUM(B17:B22)</f>
        <v>151369.78182199999</v>
      </c>
      <c r="C23" s="30">
        <f>SUM(C17:C22)</f>
        <v>130082</v>
      </c>
      <c r="D23" s="42">
        <f t="shared" si="1"/>
        <v>-0.1406342901850311</v>
      </c>
      <c r="F23" s="5"/>
      <c r="G23" s="5"/>
      <c r="H23" s="5"/>
      <c r="I23" s="5"/>
      <c r="J23" s="5"/>
      <c r="K23" s="5"/>
    </row>
    <row r="24" spans="1:11" s="9" customFormat="1" x14ac:dyDescent="0.3">
      <c r="A24" s="31" t="s">
        <v>34</v>
      </c>
      <c r="B24" s="32">
        <f>+B14-B23</f>
        <v>4945409.3706449997</v>
      </c>
      <c r="C24" s="32">
        <f>+C14-C23</f>
        <v>6417042</v>
      </c>
      <c r="D24" s="47">
        <f t="shared" si="1"/>
        <v>0.29757549255483862</v>
      </c>
      <c r="E24" s="60"/>
      <c r="F24" s="5"/>
      <c r="G24" s="5"/>
      <c r="H24" s="5"/>
      <c r="I24" s="5"/>
      <c r="J24" s="5"/>
      <c r="K24" s="5"/>
    </row>
    <row r="25" spans="1:11" s="9" customFormat="1" ht="15.75" thickBot="1" x14ac:dyDescent="0.35">
      <c r="A25" s="26" t="s">
        <v>35</v>
      </c>
      <c r="B25" s="27">
        <f>+B23+B24</f>
        <v>5096779.1524669994</v>
      </c>
      <c r="C25" s="27">
        <f>+C23+C24</f>
        <v>6547124</v>
      </c>
      <c r="D25" s="45">
        <f t="shared" si="1"/>
        <v>0.28456105398072601</v>
      </c>
      <c r="F25" s="5"/>
      <c r="G25" s="5"/>
      <c r="H25" s="5"/>
      <c r="I25" s="5"/>
      <c r="J25" s="5"/>
      <c r="K25" s="5"/>
    </row>
    <row r="26" spans="1:11" x14ac:dyDescent="0.3">
      <c r="A26" s="18" t="s">
        <v>54</v>
      </c>
      <c r="B26" s="14">
        <v>435123458</v>
      </c>
      <c r="C26" s="14">
        <v>435123458</v>
      </c>
      <c r="D26" s="17"/>
      <c r="G26" s="5"/>
    </row>
    <row r="27" spans="1:11" x14ac:dyDescent="0.3">
      <c r="A27" s="18" t="s">
        <v>71</v>
      </c>
      <c r="B27" s="33">
        <f>+B24/+(B26/1000000)</f>
        <v>11365.531505417021</v>
      </c>
      <c r="C27" s="33">
        <f>(C24/+(C26/1000000))</f>
        <v>14747.635141289025</v>
      </c>
      <c r="D27" s="17"/>
      <c r="G27" s="5"/>
    </row>
    <row r="28" spans="1:11" x14ac:dyDescent="0.3">
      <c r="G28" s="5"/>
    </row>
    <row r="29" spans="1:11" x14ac:dyDescent="0.3">
      <c r="A29" s="6" t="s">
        <v>70</v>
      </c>
      <c r="B29" s="6">
        <v>2009</v>
      </c>
      <c r="C29" s="6">
        <v>2010</v>
      </c>
      <c r="D29" s="6" t="s">
        <v>46</v>
      </c>
      <c r="G29" s="5"/>
    </row>
    <row r="30" spans="1:11" x14ac:dyDescent="0.3">
      <c r="A30" s="19" t="s">
        <v>62</v>
      </c>
      <c r="B30" s="17"/>
      <c r="C30" s="17"/>
      <c r="D30" s="34"/>
      <c r="G30" s="5"/>
    </row>
    <row r="31" spans="1:11" x14ac:dyDescent="0.3">
      <c r="A31" s="19" t="s">
        <v>44</v>
      </c>
      <c r="B31" s="17"/>
      <c r="C31" s="17"/>
      <c r="D31" s="34"/>
      <c r="G31" s="5"/>
    </row>
    <row r="32" spans="1:11" x14ac:dyDescent="0.3">
      <c r="A32" s="19" t="s">
        <v>45</v>
      </c>
      <c r="B32" s="17"/>
      <c r="C32" s="17"/>
      <c r="D32" s="34"/>
      <c r="G32" s="5"/>
    </row>
    <row r="33" spans="1:11" s="9" customFormat="1" x14ac:dyDescent="0.3">
      <c r="A33" s="19" t="s">
        <v>72</v>
      </c>
      <c r="B33" s="30">
        <f>129491-437</f>
        <v>129054</v>
      </c>
      <c r="C33" s="30">
        <v>157449</v>
      </c>
      <c r="D33" s="17">
        <f>IF(B33&lt;&gt;0,(C33-B33)/B33,0)</f>
        <v>0.2200241759263564</v>
      </c>
      <c r="F33" s="5"/>
      <c r="G33" s="5"/>
      <c r="H33" s="5"/>
      <c r="I33" s="5"/>
      <c r="J33" s="5"/>
      <c r="K33" s="5"/>
    </row>
    <row r="34" spans="1:11" x14ac:dyDescent="0.3">
      <c r="A34" s="19" t="s">
        <v>5</v>
      </c>
      <c r="B34" s="14">
        <v>0</v>
      </c>
      <c r="C34" s="14">
        <v>0</v>
      </c>
      <c r="D34" s="17">
        <f t="shared" ref="D34:D44" si="2">IF(B34&lt;&gt;0,(C34-B34)/B34,0)</f>
        <v>0</v>
      </c>
      <c r="G34" s="5"/>
    </row>
    <row r="35" spans="1:11" s="9" customFormat="1" x14ac:dyDescent="0.3">
      <c r="A35" s="19" t="s">
        <v>57</v>
      </c>
      <c r="B35" s="14">
        <v>9800.1143919999995</v>
      </c>
      <c r="C35" s="14">
        <v>23303</v>
      </c>
      <c r="D35" s="17">
        <f t="shared" si="2"/>
        <v>1.3778293872796665</v>
      </c>
      <c r="F35" s="5"/>
      <c r="G35" s="5"/>
      <c r="H35" s="5"/>
      <c r="I35" s="5"/>
      <c r="J35" s="5"/>
      <c r="K35" s="5"/>
    </row>
    <row r="36" spans="1:11" s="9" customFormat="1" x14ac:dyDescent="0.3">
      <c r="A36" s="19" t="s">
        <v>56</v>
      </c>
      <c r="B36" s="14">
        <f>5677+437</f>
        <v>6114</v>
      </c>
      <c r="C36" s="14">
        <f>6958+1737</f>
        <v>8695</v>
      </c>
      <c r="D36" s="17">
        <f t="shared" si="2"/>
        <v>0.42214589466797514</v>
      </c>
      <c r="F36" s="5"/>
      <c r="G36" s="5"/>
      <c r="H36" s="5"/>
      <c r="I36" s="5"/>
      <c r="J36" s="5"/>
      <c r="K36" s="5"/>
    </row>
    <row r="37" spans="1:11" s="9" customFormat="1" x14ac:dyDescent="0.3">
      <c r="A37" s="35" t="s">
        <v>4</v>
      </c>
      <c r="B37" s="30">
        <f>SUM(B33:B36)</f>
        <v>144968.11439199999</v>
      </c>
      <c r="C37" s="30">
        <f>SUM(C33:C36)</f>
        <v>189447</v>
      </c>
      <c r="D37" s="17">
        <f t="shared" si="2"/>
        <v>0.30681840482333378</v>
      </c>
      <c r="F37" s="5"/>
      <c r="G37" s="5"/>
      <c r="H37" s="5"/>
      <c r="I37" s="5"/>
      <c r="J37" s="5"/>
      <c r="K37" s="5"/>
    </row>
    <row r="38" spans="1:11" x14ac:dyDescent="0.3">
      <c r="A38" s="19" t="s">
        <v>58</v>
      </c>
      <c r="B38" s="14">
        <v>-6753.4162860000006</v>
      </c>
      <c r="C38" s="14">
        <v>-8522</v>
      </c>
      <c r="D38" s="17">
        <f t="shared" si="2"/>
        <v>0.26187986037027178</v>
      </c>
      <c r="G38" s="5"/>
    </row>
    <row r="39" spans="1:11" s="9" customFormat="1" x14ac:dyDescent="0.3">
      <c r="A39" s="35" t="s">
        <v>42</v>
      </c>
      <c r="B39" s="30">
        <f>SUM(B37:B38)</f>
        <v>138214.698106</v>
      </c>
      <c r="C39" s="30">
        <f>SUM(C37:C38)</f>
        <v>180925</v>
      </c>
      <c r="D39" s="17">
        <f t="shared" si="2"/>
        <v>0.30901418213310788</v>
      </c>
      <c r="F39" s="5"/>
      <c r="G39" s="5"/>
      <c r="H39" s="5"/>
      <c r="I39" s="5"/>
      <c r="J39" s="5"/>
      <c r="K39" s="5"/>
    </row>
    <row r="40" spans="1:11" s="9" customFormat="1" x14ac:dyDescent="0.3">
      <c r="A40" s="19" t="s">
        <v>10</v>
      </c>
      <c r="B40" s="14">
        <v>157.40784700000003</v>
      </c>
      <c r="C40" s="14">
        <v>7758</v>
      </c>
      <c r="D40" s="17">
        <f t="shared" si="2"/>
        <v>48.285980005812533</v>
      </c>
      <c r="F40" s="5"/>
      <c r="G40" s="5"/>
      <c r="H40" s="5"/>
      <c r="I40" s="5"/>
      <c r="J40" s="5"/>
      <c r="K40" s="5"/>
    </row>
    <row r="41" spans="1:11" x14ac:dyDescent="0.3">
      <c r="A41" s="19" t="s">
        <v>13</v>
      </c>
      <c r="B41" s="14">
        <v>-528.18213100000003</v>
      </c>
      <c r="C41" s="14">
        <v>-1470</v>
      </c>
      <c r="D41" s="17">
        <f t="shared" si="2"/>
        <v>1.7831308817980438</v>
      </c>
      <c r="G41" s="5"/>
    </row>
    <row r="42" spans="1:11" s="9" customFormat="1" x14ac:dyDescent="0.3">
      <c r="A42" s="35" t="s">
        <v>43</v>
      </c>
      <c r="B42" s="30">
        <f>SUM(B39:B41)</f>
        <v>137843.92382199998</v>
      </c>
      <c r="C42" s="30">
        <f>SUM(C39:C41)</f>
        <v>187213</v>
      </c>
      <c r="D42" s="17">
        <f t="shared" si="2"/>
        <v>0.35815199400265968</v>
      </c>
      <c r="F42" s="5"/>
      <c r="G42" s="5"/>
      <c r="H42" s="5"/>
      <c r="I42" s="5"/>
      <c r="J42" s="5"/>
      <c r="K42" s="5"/>
    </row>
    <row r="43" spans="1:11" x14ac:dyDescent="0.3">
      <c r="A43" s="19" t="s">
        <v>15</v>
      </c>
      <c r="B43" s="14">
        <v>-153.98000000000005</v>
      </c>
      <c r="C43" s="14">
        <v>-1516</v>
      </c>
      <c r="D43" s="17">
        <f t="shared" si="2"/>
        <v>8.8454344720093498</v>
      </c>
      <c r="G43" s="5"/>
    </row>
    <row r="44" spans="1:11" ht="15.75" thickBot="1" x14ac:dyDescent="0.35">
      <c r="A44" s="36" t="s">
        <v>17</v>
      </c>
      <c r="B44" s="37">
        <f>SUM(B42:B43)</f>
        <v>137689.94382199997</v>
      </c>
      <c r="C44" s="37">
        <f>SUM(C42:C43)</f>
        <v>185697</v>
      </c>
      <c r="D44" s="45">
        <f t="shared" si="2"/>
        <v>0.34866058366660113</v>
      </c>
      <c r="G44" s="5"/>
    </row>
    <row r="45" spans="1:11" x14ac:dyDescent="0.3">
      <c r="G45" s="5"/>
    </row>
    <row r="46" spans="1:11" x14ac:dyDescent="0.3">
      <c r="A46" s="19"/>
      <c r="B46" s="14"/>
      <c r="C46" s="14"/>
      <c r="D46" s="17"/>
      <c r="G46" s="5"/>
    </row>
    <row r="47" spans="1:11" x14ac:dyDescent="0.3">
      <c r="A47" s="5" t="s">
        <v>82</v>
      </c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opLeftCell="A27" zoomScale="87" zoomScaleNormal="87" workbookViewId="0">
      <selection activeCell="A36" sqref="A36:E55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8" width="11.42578125" style="5"/>
    <col min="9" max="9" width="18.28515625" style="5" customWidth="1"/>
    <col min="10" max="16384" width="11.42578125" style="5"/>
  </cols>
  <sheetData>
    <row r="1" spans="1:14" x14ac:dyDescent="0.3">
      <c r="A1" s="38" t="s">
        <v>40</v>
      </c>
      <c r="I1" s="4"/>
      <c r="J1" s="2"/>
      <c r="K1" s="2"/>
      <c r="L1" s="3"/>
      <c r="M1" s="21"/>
      <c r="N1" s="4"/>
    </row>
    <row r="2" spans="1:14" x14ac:dyDescent="0.3">
      <c r="A2" s="38" t="s">
        <v>61</v>
      </c>
      <c r="H2" s="4"/>
      <c r="I2" s="4"/>
      <c r="J2" s="4"/>
      <c r="K2" s="4"/>
      <c r="L2" s="4"/>
      <c r="M2" s="4"/>
      <c r="N2" s="4"/>
    </row>
    <row r="3" spans="1:14" x14ac:dyDescent="0.3">
      <c r="A3" s="24" t="s">
        <v>44</v>
      </c>
      <c r="H3" s="4"/>
      <c r="I3" s="4"/>
      <c r="J3" s="4"/>
      <c r="K3" s="4"/>
      <c r="L3" s="4"/>
      <c r="M3" s="4"/>
      <c r="N3" s="4"/>
    </row>
    <row r="4" spans="1:14" x14ac:dyDescent="0.3">
      <c r="A4" s="24" t="s">
        <v>45</v>
      </c>
      <c r="H4" s="4"/>
      <c r="I4" s="4"/>
      <c r="J4" s="4"/>
      <c r="K4" s="4"/>
      <c r="L4" s="4"/>
      <c r="M4" s="4"/>
      <c r="N4" s="4"/>
    </row>
    <row r="5" spans="1:14" x14ac:dyDescent="0.3">
      <c r="H5" s="4"/>
      <c r="I5" s="4"/>
      <c r="J5" s="4"/>
      <c r="K5" s="4"/>
      <c r="L5" s="4"/>
      <c r="M5" s="4"/>
      <c r="N5" s="4"/>
    </row>
    <row r="6" spans="1:14" x14ac:dyDescent="0.3">
      <c r="A6" s="6" t="s">
        <v>20</v>
      </c>
      <c r="B6" s="6">
        <v>2009</v>
      </c>
      <c r="C6" s="6">
        <v>2010</v>
      </c>
      <c r="D6" s="7" t="s">
        <v>46</v>
      </c>
      <c r="H6" s="4"/>
      <c r="I6" s="4"/>
      <c r="J6" s="4"/>
      <c r="K6" s="4"/>
      <c r="L6" s="4"/>
      <c r="M6" s="4"/>
      <c r="N6" s="4"/>
    </row>
    <row r="7" spans="1:14" x14ac:dyDescent="0.3">
      <c r="A7" s="18" t="s">
        <v>21</v>
      </c>
      <c r="B7" s="2">
        <v>135155</v>
      </c>
      <c r="C7" s="2">
        <v>104390</v>
      </c>
      <c r="D7" s="17">
        <f>+(C7-B7)/B7</f>
        <v>-0.2276275387518035</v>
      </c>
      <c r="H7" s="4"/>
      <c r="I7" s="4"/>
      <c r="J7" s="4"/>
      <c r="K7" s="4"/>
      <c r="L7" s="4"/>
      <c r="M7" s="4"/>
      <c r="N7" s="4"/>
    </row>
    <row r="8" spans="1:14" x14ac:dyDescent="0.3">
      <c r="A8" s="18" t="s">
        <v>22</v>
      </c>
      <c r="B8" s="2">
        <v>339888</v>
      </c>
      <c r="C8" s="2">
        <v>325972</v>
      </c>
      <c r="D8" s="17">
        <f t="shared" ref="D8:D16" si="0">+(C8-B8)/B8</f>
        <v>-4.0942898837264041E-2</v>
      </c>
      <c r="H8" s="4"/>
      <c r="I8" s="4"/>
      <c r="J8" s="4"/>
      <c r="K8" s="4"/>
      <c r="L8" s="4"/>
      <c r="M8" s="4"/>
      <c r="N8" s="4"/>
    </row>
    <row r="9" spans="1:14" x14ac:dyDescent="0.3">
      <c r="A9" s="18" t="s">
        <v>23</v>
      </c>
      <c r="B9" s="2">
        <v>570273</v>
      </c>
      <c r="C9" s="2">
        <v>579826</v>
      </c>
      <c r="D9" s="17">
        <f t="shared" si="0"/>
        <v>1.6751625975629215E-2</v>
      </c>
      <c r="H9" s="4"/>
      <c r="I9" s="4"/>
      <c r="J9" s="4"/>
      <c r="K9" s="4"/>
      <c r="L9" s="4"/>
      <c r="M9" s="4"/>
      <c r="N9" s="4"/>
    </row>
    <row r="10" spans="1:14" x14ac:dyDescent="0.3">
      <c r="A10" s="18" t="s">
        <v>36</v>
      </c>
      <c r="B10" s="2">
        <v>568119</v>
      </c>
      <c r="C10" s="2">
        <v>531192</v>
      </c>
      <c r="D10" s="17">
        <f t="shared" si="0"/>
        <v>-6.4998706256963773E-2</v>
      </c>
      <c r="H10" s="4"/>
      <c r="I10" s="4"/>
      <c r="J10" s="4"/>
      <c r="K10" s="4"/>
      <c r="L10" s="4"/>
      <c r="M10" s="4"/>
      <c r="N10" s="4"/>
    </row>
    <row r="11" spans="1:14" x14ac:dyDescent="0.3">
      <c r="A11" s="18" t="s">
        <v>60</v>
      </c>
      <c r="B11" s="2">
        <v>886647</v>
      </c>
      <c r="C11" s="2">
        <v>953860</v>
      </c>
      <c r="D11" s="17">
        <f t="shared" si="0"/>
        <v>7.580581674555939E-2</v>
      </c>
      <c r="H11" s="4"/>
      <c r="I11" s="4"/>
      <c r="J11" s="4"/>
      <c r="K11" s="4"/>
      <c r="L11" s="4"/>
      <c r="M11" s="4"/>
      <c r="N11" s="4"/>
    </row>
    <row r="12" spans="1:14" x14ac:dyDescent="0.3">
      <c r="A12" s="18" t="s">
        <v>47</v>
      </c>
      <c r="B12" s="2">
        <v>711221</v>
      </c>
      <c r="C12" s="2">
        <v>725070</v>
      </c>
      <c r="D12" s="17">
        <f t="shared" si="0"/>
        <v>1.9472147194753809E-2</v>
      </c>
      <c r="H12" s="4"/>
      <c r="I12" s="4"/>
      <c r="J12" s="4"/>
      <c r="K12" s="4"/>
      <c r="L12" s="4"/>
      <c r="M12" s="4"/>
      <c r="N12" s="4"/>
    </row>
    <row r="13" spans="1:14" x14ac:dyDescent="0.3">
      <c r="A13" s="18" t="s">
        <v>24</v>
      </c>
      <c r="B13" s="2">
        <v>52847</v>
      </c>
      <c r="C13" s="2">
        <v>62998</v>
      </c>
      <c r="D13" s="17">
        <f t="shared" si="0"/>
        <v>0.19208280507881242</v>
      </c>
      <c r="H13" s="4"/>
      <c r="I13" s="4"/>
      <c r="J13" s="4"/>
      <c r="K13" s="4"/>
      <c r="L13" s="4"/>
      <c r="M13" s="4"/>
      <c r="N13" s="4"/>
    </row>
    <row r="14" spans="1:14" x14ac:dyDescent="0.3">
      <c r="A14" s="18" t="s">
        <v>25</v>
      </c>
      <c r="B14" s="2">
        <v>1207</v>
      </c>
      <c r="C14" s="2">
        <v>968</v>
      </c>
      <c r="D14" s="17">
        <f t="shared" si="0"/>
        <v>-0.19801159900579951</v>
      </c>
      <c r="H14" s="4"/>
      <c r="I14" s="4"/>
      <c r="J14" s="4"/>
      <c r="K14" s="4"/>
      <c r="L14" s="4"/>
      <c r="M14" s="4"/>
      <c r="N14" s="4"/>
    </row>
    <row r="15" spans="1:14" x14ac:dyDescent="0.3">
      <c r="A15" s="18" t="s">
        <v>26</v>
      </c>
      <c r="B15" s="2">
        <v>3343736</v>
      </c>
      <c r="C15" s="2">
        <v>4210570</v>
      </c>
      <c r="D15" s="17">
        <f t="shared" si="0"/>
        <v>0.25924116018728749</v>
      </c>
      <c r="H15" s="4"/>
      <c r="I15" s="4"/>
      <c r="J15" s="4"/>
      <c r="K15" s="4"/>
      <c r="L15" s="4"/>
      <c r="M15" s="4"/>
      <c r="N15" s="4"/>
    </row>
    <row r="16" spans="1:14" ht="15.75" thickBot="1" x14ac:dyDescent="0.35">
      <c r="A16" s="26" t="s">
        <v>27</v>
      </c>
      <c r="B16" s="27">
        <f>SUM(B7:B15)</f>
        <v>6609093</v>
      </c>
      <c r="C16" s="64">
        <f>SUM(C7:C15)</f>
        <v>7494846</v>
      </c>
      <c r="D16" s="45">
        <f t="shared" si="0"/>
        <v>0.13402035649974967</v>
      </c>
      <c r="H16" s="4"/>
      <c r="I16" s="4"/>
      <c r="J16" s="4"/>
      <c r="K16" s="4"/>
      <c r="L16" s="4"/>
      <c r="M16" s="4"/>
      <c r="N16" s="4"/>
    </row>
    <row r="17" spans="1:14" x14ac:dyDescent="0.3">
      <c r="A17" s="1"/>
      <c r="H17" s="4"/>
      <c r="I17" s="4"/>
      <c r="J17" s="4"/>
      <c r="K17" s="4"/>
      <c r="L17" s="4"/>
      <c r="M17" s="4"/>
      <c r="N17" s="4"/>
    </row>
    <row r="18" spans="1:14" x14ac:dyDescent="0.3">
      <c r="A18" s="6" t="s">
        <v>48</v>
      </c>
      <c r="B18" s="6">
        <v>2009</v>
      </c>
      <c r="C18" s="6">
        <v>2010</v>
      </c>
      <c r="D18" s="7" t="s">
        <v>46</v>
      </c>
      <c r="H18" s="4"/>
      <c r="I18" s="4"/>
      <c r="J18" s="4"/>
      <c r="K18" s="4"/>
      <c r="L18" s="4"/>
      <c r="M18" s="4"/>
      <c r="N18" s="4"/>
    </row>
    <row r="19" spans="1:14" x14ac:dyDescent="0.3">
      <c r="A19" s="18" t="s">
        <v>28</v>
      </c>
      <c r="B19" s="2">
        <v>1054632.5706948291</v>
      </c>
      <c r="C19" s="2">
        <v>915955</v>
      </c>
      <c r="D19" s="17">
        <f t="shared" ref="D19:D30" si="1">+(C19-B19)/B19</f>
        <v>-0.13149373018459257</v>
      </c>
      <c r="H19" s="4"/>
      <c r="I19" s="4"/>
      <c r="J19" s="4"/>
      <c r="K19" s="4"/>
      <c r="L19" s="4"/>
      <c r="M19" s="4"/>
      <c r="N19" s="4"/>
    </row>
    <row r="20" spans="1:14" x14ac:dyDescent="0.3">
      <c r="A20" s="18" t="s">
        <v>49</v>
      </c>
      <c r="B20" s="2">
        <f>81765</f>
        <v>81765</v>
      </c>
      <c r="C20" s="2">
        <v>95069</v>
      </c>
      <c r="D20" s="17">
        <f t="shared" si="1"/>
        <v>0.1627102060783954</v>
      </c>
      <c r="H20" s="4"/>
      <c r="I20" s="4"/>
      <c r="J20" s="4"/>
      <c r="K20" s="4"/>
      <c r="L20" s="4"/>
      <c r="M20" s="4"/>
      <c r="N20" s="4"/>
    </row>
    <row r="21" spans="1:14" x14ac:dyDescent="0.3">
      <c r="A21" s="18" t="s">
        <v>38</v>
      </c>
      <c r="B21" s="2">
        <f>217636-1905.6</f>
        <v>215730.4</v>
      </c>
      <c r="C21" s="2">
        <v>202944</v>
      </c>
      <c r="D21" s="17">
        <f t="shared" si="1"/>
        <v>-5.9270274379503281E-2</v>
      </c>
      <c r="H21" s="4"/>
      <c r="I21" s="4"/>
      <c r="J21" s="4"/>
      <c r="K21" s="4"/>
      <c r="L21" s="4"/>
      <c r="M21" s="4"/>
      <c r="N21" s="4"/>
    </row>
    <row r="22" spans="1:14" x14ac:dyDescent="0.3">
      <c r="A22" s="18" t="s">
        <v>30</v>
      </c>
      <c r="B22" s="2">
        <v>37357</v>
      </c>
      <c r="C22" s="2">
        <v>42375</v>
      </c>
      <c r="D22" s="17">
        <f t="shared" si="1"/>
        <v>0.13432556147442246</v>
      </c>
      <c r="H22" s="4"/>
      <c r="I22" s="4"/>
      <c r="J22" s="4"/>
      <c r="K22" s="4"/>
      <c r="L22" s="4"/>
      <c r="M22" s="4"/>
      <c r="N22" s="4"/>
    </row>
    <row r="23" spans="1:14" x14ac:dyDescent="0.3">
      <c r="A23" s="18" t="s">
        <v>31</v>
      </c>
      <c r="B23" s="2">
        <v>45206</v>
      </c>
      <c r="C23" s="2">
        <v>40564</v>
      </c>
      <c r="D23" s="17">
        <f t="shared" si="1"/>
        <v>-0.10268548422775738</v>
      </c>
      <c r="H23" s="4"/>
      <c r="I23" s="4"/>
      <c r="J23" s="4"/>
      <c r="K23" s="4"/>
      <c r="L23" s="4"/>
      <c r="M23" s="4"/>
      <c r="N23" s="4"/>
    </row>
    <row r="24" spans="1:14" x14ac:dyDescent="0.3">
      <c r="A24" s="18" t="s">
        <v>32</v>
      </c>
      <c r="B24" s="2">
        <v>209845</v>
      </c>
      <c r="C24" s="2">
        <v>224882</v>
      </c>
      <c r="D24" s="17">
        <f t="shared" si="1"/>
        <v>7.1657652076532685E-2</v>
      </c>
      <c r="H24" s="4"/>
      <c r="I24" s="4"/>
      <c r="J24" s="4"/>
      <c r="K24" s="4"/>
      <c r="L24" s="4"/>
      <c r="M24" s="4"/>
      <c r="N24" s="4"/>
    </row>
    <row r="25" spans="1:14" x14ac:dyDescent="0.3">
      <c r="A25" s="18" t="s">
        <v>24</v>
      </c>
      <c r="B25" s="2">
        <v>52938</v>
      </c>
      <c r="C25" s="2">
        <v>73846</v>
      </c>
      <c r="D25" s="17">
        <f t="shared" si="1"/>
        <v>0.39495258604405153</v>
      </c>
      <c r="H25" s="4"/>
      <c r="I25" s="4"/>
      <c r="J25" s="4"/>
      <c r="K25" s="4"/>
      <c r="L25" s="4"/>
      <c r="M25" s="4"/>
      <c r="N25" s="4"/>
    </row>
    <row r="26" spans="1:14" x14ac:dyDescent="0.3">
      <c r="A26" s="18" t="s">
        <v>0</v>
      </c>
      <c r="B26" s="2">
        <v>470</v>
      </c>
      <c r="C26" s="2">
        <v>4730</v>
      </c>
      <c r="D26" s="17">
        <f t="shared" si="1"/>
        <v>9.0638297872340434</v>
      </c>
      <c r="H26" s="4"/>
      <c r="I26" s="4"/>
      <c r="J26" s="4"/>
      <c r="K26" s="4"/>
      <c r="L26" s="4"/>
      <c r="M26" s="4"/>
      <c r="N26" s="4"/>
    </row>
    <row r="27" spans="1:14" x14ac:dyDescent="0.3">
      <c r="A27" s="18" t="s">
        <v>33</v>
      </c>
      <c r="B27" s="30">
        <f>SUM(B19:B26)</f>
        <v>1697943.970694829</v>
      </c>
      <c r="C27" s="60">
        <f>SUM(C19:C26)</f>
        <v>1600365</v>
      </c>
      <c r="D27" s="17">
        <f t="shared" si="1"/>
        <v>-5.7468899079689863E-2</v>
      </c>
      <c r="H27" s="4"/>
      <c r="I27" s="4"/>
      <c r="J27" s="4"/>
      <c r="K27" s="4"/>
      <c r="L27" s="4"/>
      <c r="M27" s="4"/>
      <c r="N27" s="4"/>
    </row>
    <row r="28" spans="1:14" x14ac:dyDescent="0.3">
      <c r="A28" s="18" t="s">
        <v>39</v>
      </c>
      <c r="B28" s="2">
        <v>3220</v>
      </c>
      <c r="C28" s="2">
        <v>11411</v>
      </c>
      <c r="D28" s="17">
        <f t="shared" si="1"/>
        <v>2.5437888198757763</v>
      </c>
      <c r="H28" s="4"/>
      <c r="I28" s="4"/>
      <c r="J28" s="4"/>
      <c r="K28" s="4"/>
      <c r="L28" s="4"/>
      <c r="M28" s="4"/>
      <c r="N28" s="4"/>
    </row>
    <row r="29" spans="1:14" x14ac:dyDescent="0.3">
      <c r="A29" s="32" t="s">
        <v>34</v>
      </c>
      <c r="B29" s="65">
        <v>4907929</v>
      </c>
      <c r="C29" s="65">
        <v>5883070</v>
      </c>
      <c r="D29" s="47">
        <f t="shared" si="1"/>
        <v>0.1986868595694844</v>
      </c>
      <c r="H29" s="4"/>
      <c r="I29" s="4"/>
      <c r="J29" s="4"/>
      <c r="K29" s="4"/>
      <c r="L29" s="4"/>
      <c r="M29" s="4"/>
      <c r="N29" s="4"/>
    </row>
    <row r="30" spans="1:14" ht="15.75" thickBot="1" x14ac:dyDescent="0.35">
      <c r="A30" s="27" t="s">
        <v>35</v>
      </c>
      <c r="B30" s="64">
        <f>+B27+B28+B29</f>
        <v>6609092.9706948288</v>
      </c>
      <c r="C30" s="64">
        <f>+C27+C28+C29</f>
        <v>7494846</v>
      </c>
      <c r="D30" s="45">
        <f t="shared" si="1"/>
        <v>0.13402036152807364</v>
      </c>
      <c r="H30" s="4"/>
      <c r="I30" s="4"/>
      <c r="J30" s="4"/>
      <c r="K30" s="4"/>
      <c r="L30" s="4"/>
      <c r="M30" s="4"/>
      <c r="N30" s="4"/>
    </row>
    <row r="31" spans="1:14" x14ac:dyDescent="0.3">
      <c r="A31" s="19"/>
      <c r="B31" s="14"/>
      <c r="C31" s="14"/>
      <c r="D31" s="17"/>
      <c r="H31" s="4"/>
      <c r="I31" s="4"/>
      <c r="J31" s="4"/>
      <c r="K31" s="4"/>
      <c r="L31" s="4"/>
      <c r="M31" s="4"/>
      <c r="N31" s="4"/>
    </row>
    <row r="32" spans="1:14" x14ac:dyDescent="0.3">
      <c r="A32" s="41" t="s">
        <v>3</v>
      </c>
      <c r="B32" s="4"/>
      <c r="C32" s="4"/>
      <c r="D32" s="4"/>
      <c r="E32" s="4"/>
      <c r="I32" s="4"/>
      <c r="J32" s="4"/>
      <c r="K32" s="4"/>
      <c r="L32" s="4"/>
      <c r="M32" s="4"/>
      <c r="N32" s="4"/>
    </row>
    <row r="33" spans="1:21" x14ac:dyDescent="0.3">
      <c r="A33" s="41" t="s">
        <v>62</v>
      </c>
      <c r="B33" s="4"/>
      <c r="C33" s="4"/>
      <c r="D33" s="4"/>
      <c r="E33" s="4"/>
      <c r="I33" s="4"/>
      <c r="J33" s="4"/>
      <c r="K33" s="4"/>
      <c r="L33" s="4"/>
      <c r="M33" s="4"/>
      <c r="N33" s="4"/>
    </row>
    <row r="34" spans="1:21" x14ac:dyDescent="0.3">
      <c r="A34" s="41" t="s">
        <v>44</v>
      </c>
      <c r="B34" s="4"/>
      <c r="C34" s="4"/>
      <c r="D34" s="4"/>
      <c r="E34" s="4"/>
      <c r="I34" s="4"/>
      <c r="J34" s="4"/>
      <c r="K34" s="4"/>
      <c r="L34" s="4"/>
      <c r="M34" s="4"/>
      <c r="N34" s="4"/>
    </row>
    <row r="35" spans="1:21" x14ac:dyDescent="0.3">
      <c r="A35" s="41" t="s">
        <v>45</v>
      </c>
      <c r="B35" s="4"/>
      <c r="C35" s="4"/>
      <c r="D35" s="4"/>
      <c r="E35" s="4"/>
      <c r="I35" s="4"/>
      <c r="J35" s="4"/>
      <c r="K35" s="4"/>
      <c r="L35" s="4"/>
      <c r="M35" s="4"/>
      <c r="N35" s="4"/>
    </row>
    <row r="36" spans="1:21" x14ac:dyDescent="0.3">
      <c r="A36" s="6"/>
      <c r="B36" s="6">
        <v>2009</v>
      </c>
      <c r="C36" s="6" t="s">
        <v>55</v>
      </c>
      <c r="D36" s="6">
        <v>2010</v>
      </c>
      <c r="E36" s="6" t="s">
        <v>55</v>
      </c>
      <c r="F36" s="7" t="s">
        <v>46</v>
      </c>
      <c r="I36" s="4"/>
      <c r="J36" s="4"/>
      <c r="K36" s="4"/>
      <c r="L36" s="4"/>
      <c r="M36" s="4"/>
      <c r="N36" s="4"/>
    </row>
    <row r="37" spans="1:21" s="9" customFormat="1" x14ac:dyDescent="0.3">
      <c r="A37" s="30" t="s">
        <v>4</v>
      </c>
      <c r="B37" s="62">
        <v>3294452</v>
      </c>
      <c r="C37" s="42">
        <v>1</v>
      </c>
      <c r="D37" s="62">
        <v>3166200</v>
      </c>
      <c r="E37" s="42">
        <v>1</v>
      </c>
      <c r="F37" s="17">
        <f>IF(B37&lt;&gt;0,(D37-B37)/B37,0)</f>
        <v>-3.8929691493456271E-2</v>
      </c>
      <c r="G37" s="8"/>
      <c r="H37" s="5"/>
      <c r="I37" s="4"/>
      <c r="J37" s="4"/>
      <c r="K37" s="4"/>
      <c r="L37" s="4"/>
      <c r="M37" s="4"/>
      <c r="N37" s="4"/>
      <c r="O37" s="5"/>
      <c r="P37" s="5"/>
      <c r="Q37" s="5"/>
      <c r="R37" s="5"/>
      <c r="S37" s="5"/>
      <c r="T37" s="5"/>
      <c r="U37" s="5"/>
    </row>
    <row r="38" spans="1:21" x14ac:dyDescent="0.3">
      <c r="A38" s="14" t="s">
        <v>50</v>
      </c>
      <c r="B38" s="10">
        <v>-2044306</v>
      </c>
      <c r="C38" s="17">
        <f t="shared" ref="C38:C55" si="2">+B38/$B$37</f>
        <v>-0.62052990907137207</v>
      </c>
      <c r="D38" s="10">
        <v>-1915336</v>
      </c>
      <c r="E38" s="17">
        <f>+D38/$D$37</f>
        <v>-0.604932095256143</v>
      </c>
      <c r="F38" s="17">
        <f t="shared" ref="F38:F53" si="3">IF(B38&lt;&gt;0,(D38-B38)/B38,0)</f>
        <v>-6.3087424289710051E-2</v>
      </c>
      <c r="I38" s="4"/>
      <c r="J38" s="4"/>
      <c r="K38" s="4"/>
      <c r="L38" s="4"/>
      <c r="M38" s="4"/>
      <c r="N38" s="4"/>
    </row>
    <row r="39" spans="1:21" s="9" customFormat="1" x14ac:dyDescent="0.3">
      <c r="A39" s="30" t="s">
        <v>6</v>
      </c>
      <c r="B39" s="60">
        <f>SUM(B37:B38)</f>
        <v>1250146</v>
      </c>
      <c r="C39" s="42">
        <f t="shared" si="2"/>
        <v>0.37947009092862788</v>
      </c>
      <c r="D39" s="60">
        <f>SUM(D37:D38)</f>
        <v>1250864</v>
      </c>
      <c r="E39" s="42">
        <f t="shared" ref="E39:E55" si="4">+D39/$D$37</f>
        <v>0.395067904743857</v>
      </c>
      <c r="F39" s="17">
        <f t="shared" si="3"/>
        <v>5.7433291791518753E-4</v>
      </c>
      <c r="G39" s="8"/>
      <c r="H39" s="5"/>
      <c r="I39" s="4"/>
      <c r="J39" s="4"/>
      <c r="K39" s="4"/>
      <c r="L39" s="4"/>
      <c r="M39" s="4"/>
      <c r="N39" s="4"/>
      <c r="O39" s="5"/>
      <c r="P39" s="5"/>
      <c r="Q39" s="5"/>
      <c r="R39" s="5"/>
      <c r="S39" s="5"/>
      <c r="T39" s="5"/>
      <c r="U39" s="5"/>
    </row>
    <row r="40" spans="1:21" x14ac:dyDescent="0.3">
      <c r="A40" s="14" t="s">
        <v>7</v>
      </c>
      <c r="B40" s="2">
        <v>-161228</v>
      </c>
      <c r="C40" s="17">
        <f t="shared" si="2"/>
        <v>-4.8939246952148643E-2</v>
      </c>
      <c r="D40" s="2">
        <v>-159947</v>
      </c>
      <c r="E40" s="17">
        <f t="shared" si="4"/>
        <v>-5.051702356136694E-2</v>
      </c>
      <c r="F40" s="17">
        <f t="shared" si="3"/>
        <v>-7.9452700523482273E-3</v>
      </c>
      <c r="I40" s="4"/>
      <c r="J40" s="4"/>
      <c r="K40" s="4"/>
      <c r="L40" s="4"/>
      <c r="M40" s="4"/>
      <c r="N40" s="4"/>
    </row>
    <row r="41" spans="1:21" x14ac:dyDescent="0.3">
      <c r="A41" s="14" t="s">
        <v>8</v>
      </c>
      <c r="B41" s="2">
        <v>-776011</v>
      </c>
      <c r="C41" s="17">
        <f t="shared" si="2"/>
        <v>-0.23555085944490919</v>
      </c>
      <c r="D41" s="2">
        <v>-775471</v>
      </c>
      <c r="E41" s="17">
        <f t="shared" si="4"/>
        <v>-0.24492167266755099</v>
      </c>
      <c r="F41" s="17">
        <f t="shared" si="3"/>
        <v>-6.958664245738785E-4</v>
      </c>
      <c r="I41" s="4"/>
      <c r="J41" s="4"/>
      <c r="K41" s="4"/>
      <c r="L41" s="4"/>
      <c r="M41" s="4"/>
      <c r="N41" s="4"/>
    </row>
    <row r="42" spans="1:21" s="9" customFormat="1" x14ac:dyDescent="0.3">
      <c r="A42" s="30" t="s">
        <v>9</v>
      </c>
      <c r="B42" s="60">
        <f>SUM(B40:B41)</f>
        <v>-937239</v>
      </c>
      <c r="C42" s="42">
        <f t="shared" si="2"/>
        <v>-0.28449010639705785</v>
      </c>
      <c r="D42" s="60">
        <f>SUM(D40:D41)</f>
        <v>-935418</v>
      </c>
      <c r="E42" s="42">
        <f t="shared" si="4"/>
        <v>-0.29543869622891794</v>
      </c>
      <c r="F42" s="17">
        <f t="shared" si="3"/>
        <v>-1.9429409147506665E-3</v>
      </c>
      <c r="G42" s="8"/>
      <c r="H42" s="5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5"/>
    </row>
    <row r="43" spans="1:21" s="9" customFormat="1" x14ac:dyDescent="0.3">
      <c r="A43" s="30" t="s">
        <v>1</v>
      </c>
      <c r="B43" s="60">
        <f>+B39+B42</f>
        <v>312907</v>
      </c>
      <c r="C43" s="42">
        <f t="shared" si="2"/>
        <v>9.4979984531570041E-2</v>
      </c>
      <c r="D43" s="60">
        <f>+D39+D42</f>
        <v>315446</v>
      </c>
      <c r="E43" s="42">
        <f t="shared" si="4"/>
        <v>9.9629208514939047E-2</v>
      </c>
      <c r="F43" s="17">
        <f t="shared" si="3"/>
        <v>8.1142320242116664E-3</v>
      </c>
      <c r="G43" s="8"/>
      <c r="H43" s="5"/>
      <c r="I43" s="4"/>
      <c r="J43" s="4"/>
      <c r="K43" s="4"/>
      <c r="L43" s="4"/>
      <c r="M43" s="4"/>
      <c r="N43" s="4"/>
      <c r="O43" s="5"/>
      <c r="P43" s="5"/>
      <c r="Q43" s="5"/>
      <c r="R43" s="5"/>
      <c r="S43" s="5"/>
      <c r="T43" s="5"/>
      <c r="U43" s="5"/>
    </row>
    <row r="44" spans="1:21" x14ac:dyDescent="0.3">
      <c r="A44" s="14" t="s">
        <v>51</v>
      </c>
      <c r="B44" s="2">
        <v>7179</v>
      </c>
      <c r="C44" s="17">
        <f t="shared" si="2"/>
        <v>2.1791181052266051E-3</v>
      </c>
      <c r="D44" s="2">
        <v>3954</v>
      </c>
      <c r="E44" s="17">
        <f t="shared" si="4"/>
        <v>1.2488156149327268E-3</v>
      </c>
      <c r="F44" s="17">
        <f t="shared" si="3"/>
        <v>-0.44922691182615965</v>
      </c>
      <c r="I44" s="4"/>
      <c r="J44" s="4"/>
      <c r="K44" s="4"/>
      <c r="L44" s="4"/>
      <c r="M44" s="4"/>
      <c r="N44" s="4"/>
    </row>
    <row r="45" spans="1:21" x14ac:dyDescent="0.3">
      <c r="A45" s="14" t="s">
        <v>11</v>
      </c>
      <c r="B45" s="2">
        <v>-86299</v>
      </c>
      <c r="C45" s="17">
        <f t="shared" si="2"/>
        <v>-2.6195251896218248E-2</v>
      </c>
      <c r="D45" s="2">
        <v>-54663</v>
      </c>
      <c r="E45" s="17">
        <f t="shared" si="4"/>
        <v>-1.7264544248626112E-2</v>
      </c>
      <c r="F45" s="17">
        <f t="shared" si="3"/>
        <v>-0.36658593958215041</v>
      </c>
      <c r="I45" s="4"/>
      <c r="J45" s="4"/>
      <c r="K45" s="4"/>
      <c r="L45" s="4"/>
      <c r="M45" s="4"/>
      <c r="N45" s="4"/>
    </row>
    <row r="46" spans="1:21" x14ac:dyDescent="0.3">
      <c r="A46" s="14" t="s">
        <v>12</v>
      </c>
      <c r="B46" s="2">
        <v>5828</v>
      </c>
      <c r="C46" s="17">
        <f t="shared" si="2"/>
        <v>1.7690347286893238E-3</v>
      </c>
      <c r="D46" s="2">
        <v>-7403</v>
      </c>
      <c r="E46" s="17">
        <f t="shared" si="4"/>
        <v>-2.3381340408060135E-3</v>
      </c>
      <c r="F46" s="17">
        <f t="shared" si="3"/>
        <v>-2.2702470830473578</v>
      </c>
      <c r="I46" s="4"/>
      <c r="J46" s="4"/>
      <c r="K46" s="4"/>
      <c r="L46" s="4"/>
      <c r="M46" s="4"/>
      <c r="N46" s="4"/>
    </row>
    <row r="47" spans="1:21" x14ac:dyDescent="0.3">
      <c r="A47" s="14" t="s">
        <v>52</v>
      </c>
      <c r="B47" s="2">
        <v>-71990</v>
      </c>
      <c r="C47" s="17">
        <f t="shared" si="2"/>
        <v>-2.1851889176105768E-2</v>
      </c>
      <c r="D47" s="2">
        <v>-12596</v>
      </c>
      <c r="E47" s="17">
        <f t="shared" si="4"/>
        <v>-3.9782704819657632E-3</v>
      </c>
      <c r="F47" s="17">
        <f t="shared" si="3"/>
        <v>-0.82503125434088065</v>
      </c>
      <c r="I47" s="4"/>
      <c r="J47" s="4"/>
      <c r="K47" s="4"/>
      <c r="L47" s="4"/>
      <c r="M47" s="4"/>
      <c r="N47" s="4"/>
    </row>
    <row r="48" spans="1:21" x14ac:dyDescent="0.3">
      <c r="A48" s="14" t="s">
        <v>14</v>
      </c>
      <c r="B48" s="2">
        <v>21700</v>
      </c>
      <c r="C48" s="17">
        <f t="shared" si="2"/>
        <v>6.5868314366091842E-3</v>
      </c>
      <c r="D48" s="2">
        <v>23311</v>
      </c>
      <c r="E48" s="17">
        <f t="shared" si="4"/>
        <v>7.3624534141873543E-3</v>
      </c>
      <c r="F48" s="17">
        <f t="shared" si="3"/>
        <v>7.4239631336405529E-2</v>
      </c>
      <c r="I48" s="4"/>
      <c r="J48" s="4"/>
      <c r="K48" s="4"/>
      <c r="L48" s="4"/>
      <c r="M48" s="4"/>
      <c r="N48" s="4"/>
    </row>
    <row r="49" spans="1:21" x14ac:dyDescent="0.3">
      <c r="A49" s="14" t="s">
        <v>16</v>
      </c>
      <c r="B49" s="2">
        <v>2124</v>
      </c>
      <c r="C49" s="17">
        <f t="shared" si="2"/>
        <v>6.4472027517778376E-4</v>
      </c>
      <c r="D49" s="2">
        <v>-156</v>
      </c>
      <c r="E49" s="17">
        <f t="shared" si="4"/>
        <v>-4.927041879855979E-5</v>
      </c>
      <c r="F49" s="17">
        <f t="shared" si="3"/>
        <v>-1.0734463276836159</v>
      </c>
      <c r="I49" s="4"/>
      <c r="J49" s="4"/>
      <c r="K49" s="4"/>
      <c r="L49" s="4"/>
      <c r="M49" s="4"/>
      <c r="N49" s="4"/>
    </row>
    <row r="50" spans="1:21" s="9" customFormat="1" x14ac:dyDescent="0.3">
      <c r="A50" s="30" t="s">
        <v>2</v>
      </c>
      <c r="B50" s="60">
        <f>SUM(B44:B49)</f>
        <v>-121458</v>
      </c>
      <c r="C50" s="42">
        <f t="shared" si="2"/>
        <v>-3.6867436526621118E-2</v>
      </c>
      <c r="D50" s="60">
        <f>SUM(D44:D49)</f>
        <v>-47553</v>
      </c>
      <c r="E50" s="42">
        <f t="shared" si="4"/>
        <v>-1.5018950161076369E-2</v>
      </c>
      <c r="F50" s="17">
        <f t="shared" si="3"/>
        <v>-0.60848194437583358</v>
      </c>
      <c r="G50" s="8"/>
      <c r="H50" s="5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5"/>
    </row>
    <row r="51" spans="1:21" s="9" customFormat="1" x14ac:dyDescent="0.3">
      <c r="A51" s="30" t="s">
        <v>41</v>
      </c>
      <c r="B51" s="60">
        <f>+B43+B50</f>
        <v>191449</v>
      </c>
      <c r="C51" s="42">
        <f t="shared" si="2"/>
        <v>5.8112548004948923E-2</v>
      </c>
      <c r="D51" s="60">
        <f>+D43+D50</f>
        <v>267893</v>
      </c>
      <c r="E51" s="42">
        <f t="shared" si="4"/>
        <v>8.4610258353862669E-2</v>
      </c>
      <c r="F51" s="17">
        <f t="shared" si="3"/>
        <v>0.39929171737642921</v>
      </c>
      <c r="G51" s="8"/>
      <c r="H51" s="5"/>
      <c r="I51" s="4"/>
      <c r="J51" s="4"/>
      <c r="K51" s="4"/>
      <c r="L51" s="4"/>
      <c r="M51" s="4"/>
      <c r="N51" s="4"/>
      <c r="O51" s="5"/>
      <c r="P51" s="5"/>
      <c r="Q51" s="5"/>
      <c r="R51" s="5"/>
      <c r="S51" s="5"/>
      <c r="T51" s="5"/>
      <c r="U51" s="5"/>
    </row>
    <row r="52" spans="1:21" x14ac:dyDescent="0.3">
      <c r="A52" s="14" t="s">
        <v>15</v>
      </c>
      <c r="B52" s="2">
        <v>-69551</v>
      </c>
      <c r="C52" s="17">
        <f t="shared" si="2"/>
        <v>-2.1111553605880431E-2</v>
      </c>
      <c r="D52" s="2">
        <v>-78617</v>
      </c>
      <c r="E52" s="17">
        <f t="shared" si="4"/>
        <v>-2.4830080222348557E-2</v>
      </c>
      <c r="F52" s="17">
        <f t="shared" si="3"/>
        <v>0.13035039036103002</v>
      </c>
      <c r="I52" s="4"/>
      <c r="J52" s="4"/>
      <c r="K52" s="4"/>
      <c r="L52" s="4"/>
      <c r="M52" s="4"/>
      <c r="N52" s="4"/>
    </row>
    <row r="53" spans="1:21" x14ac:dyDescent="0.3">
      <c r="A53" s="14" t="s">
        <v>18</v>
      </c>
      <c r="B53" s="2">
        <v>-146</v>
      </c>
      <c r="C53" s="17">
        <f t="shared" si="2"/>
        <v>-4.4316930402992667E-5</v>
      </c>
      <c r="D53" s="2">
        <v>-522</v>
      </c>
      <c r="E53" s="17">
        <f t="shared" si="4"/>
        <v>-1.648664013644116E-4</v>
      </c>
      <c r="F53" s="17">
        <f t="shared" si="3"/>
        <v>2.5753424657534247</v>
      </c>
      <c r="I53" s="4"/>
      <c r="J53" s="4"/>
      <c r="K53" s="4"/>
      <c r="L53" s="4"/>
      <c r="M53" s="4"/>
      <c r="N53" s="4"/>
    </row>
    <row r="54" spans="1:21" s="9" customFormat="1" x14ac:dyDescent="0.3">
      <c r="A54" s="43" t="s">
        <v>17</v>
      </c>
      <c r="B54" s="63">
        <f>+B51+B52+B53</f>
        <v>121752</v>
      </c>
      <c r="C54" s="44">
        <f t="shared" si="2"/>
        <v>3.6956677468665503E-2</v>
      </c>
      <c r="D54" s="63">
        <f>+D51+D52+D53</f>
        <v>188754</v>
      </c>
      <c r="E54" s="44">
        <f t="shared" si="4"/>
        <v>5.9615311730149709E-2</v>
      </c>
      <c r="F54" s="44">
        <f>+(D54-B54)/B54</f>
        <v>0.55031539522964712</v>
      </c>
      <c r="G54" s="8"/>
      <c r="H54" s="5"/>
      <c r="I54" s="4"/>
      <c r="J54" s="4"/>
      <c r="K54" s="4"/>
      <c r="L54" s="4"/>
      <c r="M54" s="4"/>
      <c r="N54" s="4"/>
      <c r="O54" s="5"/>
      <c r="P54" s="5"/>
      <c r="Q54" s="5"/>
      <c r="R54" s="5"/>
      <c r="S54" s="5"/>
      <c r="T54" s="5"/>
      <c r="U54" s="5"/>
    </row>
    <row r="55" spans="1:21" s="9" customFormat="1" ht="15.75" thickBot="1" x14ac:dyDescent="0.35">
      <c r="A55" s="27" t="s">
        <v>19</v>
      </c>
      <c r="B55" s="64">
        <v>379670</v>
      </c>
      <c r="C55" s="45">
        <f t="shared" si="2"/>
        <v>0.11524526689112484</v>
      </c>
      <c r="D55" s="64">
        <v>390030</v>
      </c>
      <c r="E55" s="45">
        <f t="shared" si="4"/>
        <v>0.12318552207693766</v>
      </c>
      <c r="F55" s="45">
        <f>+(D55-B55)/B55</f>
        <v>2.7286854373534911E-2</v>
      </c>
      <c r="G55" s="8"/>
      <c r="H55" s="5"/>
      <c r="I55" s="4"/>
      <c r="J55" s="4"/>
      <c r="K55" s="4"/>
      <c r="L55" s="4"/>
      <c r="M55" s="4"/>
      <c r="N55" s="4"/>
      <c r="O55" s="5"/>
      <c r="P55" s="5"/>
      <c r="Q55" s="5"/>
      <c r="R55" s="5"/>
      <c r="S55" s="5"/>
      <c r="T55" s="5"/>
      <c r="U55" s="5"/>
    </row>
    <row r="56" spans="1:21" x14ac:dyDescent="0.3">
      <c r="A56" s="2"/>
      <c r="C56" s="3"/>
      <c r="D56" s="10"/>
      <c r="I56" s="4"/>
      <c r="J56" s="4"/>
      <c r="K56" s="4"/>
      <c r="L56" s="4"/>
      <c r="M56" s="4"/>
      <c r="N56" s="4"/>
    </row>
    <row r="57" spans="1:21" x14ac:dyDescent="0.3">
      <c r="A57" s="19" t="s">
        <v>53</v>
      </c>
      <c r="B57" s="14"/>
      <c r="C57" s="14"/>
      <c r="D57" s="17"/>
      <c r="I57" s="4"/>
      <c r="J57" s="4"/>
      <c r="K57" s="4"/>
      <c r="L57" s="4"/>
      <c r="M57" s="4"/>
      <c r="N57" s="4"/>
    </row>
    <row r="58" spans="1:21" x14ac:dyDescent="0.3">
      <c r="D58" s="10"/>
    </row>
  </sheetData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22" zoomScale="86" zoomScaleNormal="86" workbookViewId="0">
      <selection activeCell="C43" sqref="B43:C43"/>
    </sheetView>
  </sheetViews>
  <sheetFormatPr baseColWidth="10" defaultRowHeight="15" x14ac:dyDescent="0.3"/>
  <cols>
    <col min="1" max="1" width="43.7109375" style="5" customWidth="1"/>
    <col min="2" max="3" width="11.7109375" style="14" bestFit="1" customWidth="1"/>
    <col min="4" max="4" width="13.28515625" style="3" bestFit="1" customWidth="1"/>
    <col min="5" max="6" width="11.42578125" style="5"/>
    <col min="7" max="7" width="28.5703125" style="11" bestFit="1" customWidth="1"/>
    <col min="8" max="8" width="11.5703125" style="5" bestFit="1" customWidth="1"/>
    <col min="9" max="16384" width="11.42578125" style="5"/>
  </cols>
  <sheetData>
    <row r="1" spans="1:11" x14ac:dyDescent="0.3">
      <c r="A1" s="24" t="s">
        <v>69</v>
      </c>
    </row>
    <row r="2" spans="1:11" x14ac:dyDescent="0.3">
      <c r="A2" s="24" t="s">
        <v>80</v>
      </c>
    </row>
    <row r="3" spans="1:11" x14ac:dyDescent="0.3">
      <c r="A3" s="24" t="s">
        <v>44</v>
      </c>
    </row>
    <row r="4" spans="1:11" x14ac:dyDescent="0.3">
      <c r="A4" s="24" t="s">
        <v>45</v>
      </c>
    </row>
    <row r="5" spans="1:11" ht="12" customHeight="1" x14ac:dyDescent="0.3">
      <c r="G5" s="5"/>
    </row>
    <row r="6" spans="1:11" x14ac:dyDescent="0.3">
      <c r="A6" s="6" t="s">
        <v>20</v>
      </c>
      <c r="B6" s="6">
        <v>2009</v>
      </c>
      <c r="C6" s="6">
        <v>2010</v>
      </c>
      <c r="D6" s="7" t="s">
        <v>46</v>
      </c>
      <c r="G6" s="5"/>
    </row>
    <row r="7" spans="1:11" x14ac:dyDescent="0.3">
      <c r="A7" s="18" t="s">
        <v>21</v>
      </c>
      <c r="B7" s="14">
        <v>191</v>
      </c>
      <c r="C7" s="14">
        <v>225</v>
      </c>
      <c r="D7" s="17">
        <f t="shared" ref="D7:D14" si="0">IF(B7&lt;&gt;0,(C7-B7)/B7,0)</f>
        <v>0.17801047120418848</v>
      </c>
      <c r="G7" s="5"/>
    </row>
    <row r="8" spans="1:11" x14ac:dyDescent="0.3">
      <c r="A8" s="18" t="s">
        <v>22</v>
      </c>
      <c r="B8" s="14">
        <v>3601952</v>
      </c>
      <c r="C8" s="14">
        <v>2716228</v>
      </c>
      <c r="D8" s="17">
        <f t="shared" si="0"/>
        <v>-0.24590111139737564</v>
      </c>
      <c r="G8" s="5"/>
    </row>
    <row r="9" spans="1:11" s="11" customFormat="1" x14ac:dyDescent="0.3">
      <c r="A9" s="18" t="s">
        <v>23</v>
      </c>
      <c r="B9" s="14">
        <v>43410</v>
      </c>
      <c r="C9" s="14">
        <v>90361</v>
      </c>
      <c r="D9" s="17">
        <f t="shared" si="0"/>
        <v>1.081571066574522</v>
      </c>
      <c r="E9" s="5"/>
      <c r="F9" s="5"/>
      <c r="G9" s="5"/>
      <c r="H9" s="5"/>
      <c r="I9" s="5"/>
      <c r="J9" s="5"/>
      <c r="K9" s="5"/>
    </row>
    <row r="10" spans="1:11" s="11" customFormat="1" hidden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  <c r="G10" s="5"/>
      <c r="H10" s="5"/>
      <c r="I10" s="5"/>
      <c r="J10" s="5"/>
      <c r="K10" s="5"/>
    </row>
    <row r="11" spans="1:11" s="11" customFormat="1" hidden="1" x14ac:dyDescent="0.3">
      <c r="A11" s="18" t="s">
        <v>24</v>
      </c>
      <c r="B11" s="14">
        <v>0</v>
      </c>
      <c r="C11" s="14">
        <v>0</v>
      </c>
      <c r="D11" s="17">
        <f t="shared" si="0"/>
        <v>0</v>
      </c>
      <c r="E11" s="5"/>
      <c r="F11" s="5"/>
      <c r="G11" s="5"/>
      <c r="H11" s="5"/>
      <c r="I11" s="5"/>
      <c r="J11" s="5"/>
      <c r="K11" s="5"/>
    </row>
    <row r="12" spans="1:11" s="11" customFormat="1" x14ac:dyDescent="0.3">
      <c r="A12" s="18" t="s">
        <v>59</v>
      </c>
      <c r="B12" s="14">
        <v>209</v>
      </c>
      <c r="C12" s="14">
        <v>155</v>
      </c>
      <c r="D12" s="17">
        <f t="shared" si="0"/>
        <v>-0.25837320574162681</v>
      </c>
      <c r="E12" s="5"/>
      <c r="F12" s="5"/>
      <c r="G12" s="5"/>
      <c r="H12" s="5"/>
      <c r="I12" s="5"/>
      <c r="J12" s="5"/>
      <c r="K12" s="5"/>
    </row>
    <row r="13" spans="1:11" s="11" customFormat="1" x14ac:dyDescent="0.3">
      <c r="A13" s="18" t="s">
        <v>26</v>
      </c>
      <c r="B13" s="14">
        <v>1869198</v>
      </c>
      <c r="C13" s="14">
        <v>3596772</v>
      </c>
      <c r="D13" s="17">
        <f t="shared" si="0"/>
        <v>0.92423274580863024</v>
      </c>
      <c r="E13" s="5"/>
      <c r="F13" s="5"/>
      <c r="G13" s="5"/>
      <c r="H13" s="5"/>
      <c r="I13" s="5"/>
      <c r="J13" s="5"/>
      <c r="K13" s="5"/>
    </row>
    <row r="14" spans="1:11" s="11" customFormat="1" ht="15.75" thickBot="1" x14ac:dyDescent="0.35">
      <c r="A14" s="26" t="s">
        <v>27</v>
      </c>
      <c r="B14" s="27">
        <f>SUM(B7:B13)</f>
        <v>5514960</v>
      </c>
      <c r="C14" s="27">
        <f>SUM(C7:C13)</f>
        <v>6403741</v>
      </c>
      <c r="D14" s="46">
        <f t="shared" si="0"/>
        <v>0.1611581951637002</v>
      </c>
      <c r="E14" s="5"/>
      <c r="F14" s="5"/>
      <c r="G14" s="5"/>
      <c r="H14" s="5"/>
      <c r="I14" s="5"/>
      <c r="J14" s="5"/>
      <c r="K14" s="5"/>
    </row>
    <row r="15" spans="1:11" x14ac:dyDescent="0.3">
      <c r="G15" s="5"/>
    </row>
    <row r="16" spans="1:11" s="11" customFormat="1" x14ac:dyDescent="0.3">
      <c r="A16" s="6" t="s">
        <v>48</v>
      </c>
      <c r="B16" s="6">
        <v>2009</v>
      </c>
      <c r="C16" s="6">
        <v>2010</v>
      </c>
      <c r="D16" s="7" t="s">
        <v>46</v>
      </c>
      <c r="E16" s="5"/>
      <c r="F16" s="5"/>
      <c r="G16" s="5"/>
      <c r="H16" s="5"/>
      <c r="I16" s="5"/>
      <c r="J16" s="5"/>
      <c r="K16" s="5"/>
    </row>
    <row r="17" spans="1:11" s="11" customFormat="1" x14ac:dyDescent="0.3">
      <c r="A17" s="18" t="s">
        <v>28</v>
      </c>
      <c r="B17" s="14">
        <v>0</v>
      </c>
      <c r="C17" s="14">
        <v>445</v>
      </c>
      <c r="D17" s="17">
        <f t="shared" ref="D17:D25" si="1">IF(B17&lt;&gt;0,(C17-B17)/B17,0)</f>
        <v>0</v>
      </c>
      <c r="E17" s="5"/>
      <c r="F17" s="5"/>
      <c r="G17" s="5"/>
      <c r="H17" s="5"/>
      <c r="I17" s="5"/>
      <c r="J17" s="5"/>
      <c r="K17" s="5"/>
    </row>
    <row r="18" spans="1:11" s="11" customFormat="1" x14ac:dyDescent="0.3">
      <c r="A18" s="18" t="s">
        <v>29</v>
      </c>
      <c r="B18" s="14">
        <f>70725+40773</f>
        <v>111498</v>
      </c>
      <c r="C18" s="14">
        <f>70262+158</f>
        <v>70420</v>
      </c>
      <c r="D18" s="17">
        <f t="shared" si="1"/>
        <v>-0.36841916446931783</v>
      </c>
      <c r="E18" s="5"/>
      <c r="F18" s="5"/>
      <c r="G18" s="5"/>
      <c r="H18" s="5"/>
      <c r="I18" s="5"/>
      <c r="J18" s="5"/>
      <c r="K18" s="5"/>
    </row>
    <row r="19" spans="1:11" x14ac:dyDescent="0.3">
      <c r="A19" s="18" t="s">
        <v>30</v>
      </c>
      <c r="B19" s="14">
        <v>430</v>
      </c>
      <c r="C19" s="14">
        <v>604</v>
      </c>
      <c r="D19" s="17">
        <f t="shared" si="1"/>
        <v>0.40465116279069768</v>
      </c>
      <c r="G19" s="5"/>
    </row>
    <row r="20" spans="1:11" x14ac:dyDescent="0.3">
      <c r="A20" s="18" t="s">
        <v>31</v>
      </c>
      <c r="B20" s="14">
        <v>650</v>
      </c>
      <c r="C20" s="14">
        <v>947</v>
      </c>
      <c r="D20" s="17">
        <f t="shared" si="1"/>
        <v>0.45692307692307693</v>
      </c>
      <c r="G20" s="5"/>
    </row>
    <row r="21" spans="1:11" hidden="1" x14ac:dyDescent="0.3">
      <c r="A21" s="18" t="s">
        <v>32</v>
      </c>
      <c r="B21" s="14">
        <v>0</v>
      </c>
      <c r="C21" s="14">
        <v>0</v>
      </c>
      <c r="D21" s="17">
        <f t="shared" si="1"/>
        <v>0</v>
      </c>
      <c r="G21" s="5"/>
    </row>
    <row r="22" spans="1:11" x14ac:dyDescent="0.3">
      <c r="A22" s="18" t="s">
        <v>24</v>
      </c>
      <c r="B22" s="14">
        <v>3179</v>
      </c>
      <c r="C22" s="14">
        <v>7650</v>
      </c>
      <c r="D22" s="17">
        <f t="shared" si="1"/>
        <v>1.4064171122994653</v>
      </c>
      <c r="G22" s="5"/>
    </row>
    <row r="23" spans="1:11" s="9" customFormat="1" x14ac:dyDescent="0.3">
      <c r="A23" s="29" t="s">
        <v>33</v>
      </c>
      <c r="B23" s="30">
        <f>SUM(B17:B22)</f>
        <v>115757</v>
      </c>
      <c r="C23" s="30">
        <f>SUM(C17:C22)</f>
        <v>80066</v>
      </c>
      <c r="D23" s="42">
        <f t="shared" si="1"/>
        <v>-0.30832692623340274</v>
      </c>
      <c r="F23" s="5"/>
      <c r="G23" s="5"/>
      <c r="H23" s="5"/>
      <c r="I23" s="5"/>
      <c r="J23" s="5"/>
      <c r="K23" s="5"/>
    </row>
    <row r="24" spans="1:11" s="9" customFormat="1" x14ac:dyDescent="0.3">
      <c r="A24" s="31" t="s">
        <v>34</v>
      </c>
      <c r="B24" s="32">
        <f>+B14-B23</f>
        <v>5399203</v>
      </c>
      <c r="C24" s="32">
        <f>+C14-C23</f>
        <v>6323675</v>
      </c>
      <c r="D24" s="47">
        <f t="shared" si="1"/>
        <v>0.17122378988158066</v>
      </c>
      <c r="E24" s="60"/>
      <c r="F24" s="5"/>
      <c r="G24" s="5"/>
      <c r="H24" s="5"/>
      <c r="I24" s="5"/>
      <c r="J24" s="5"/>
      <c r="K24" s="5"/>
    </row>
    <row r="25" spans="1:11" s="9" customFormat="1" ht="15.75" thickBot="1" x14ac:dyDescent="0.35">
      <c r="A25" s="26" t="s">
        <v>35</v>
      </c>
      <c r="B25" s="27">
        <f>+B23+B24</f>
        <v>5514960</v>
      </c>
      <c r="C25" s="27">
        <f>+C23+C24</f>
        <v>6403741</v>
      </c>
      <c r="D25" s="45">
        <f t="shared" si="1"/>
        <v>0.1611581951637002</v>
      </c>
      <c r="F25" s="5"/>
      <c r="G25" s="5"/>
      <c r="H25" s="5"/>
      <c r="I25" s="5"/>
      <c r="J25" s="5"/>
      <c r="K25" s="5"/>
    </row>
    <row r="26" spans="1:11" x14ac:dyDescent="0.3">
      <c r="A26" s="18" t="s">
        <v>54</v>
      </c>
      <c r="B26" s="14">
        <v>435123458</v>
      </c>
      <c r="C26" s="14">
        <v>435123458</v>
      </c>
      <c r="D26" s="17"/>
      <c r="G26" s="5"/>
    </row>
    <row r="27" spans="1:11" x14ac:dyDescent="0.3">
      <c r="A27" s="18" t="s">
        <v>71</v>
      </c>
      <c r="B27" s="33">
        <f>+B24/+(B26/1000000)</f>
        <v>12408.439261851976</v>
      </c>
      <c r="C27" s="33">
        <f>+C24/+(C26/1000000)</f>
        <v>14533.059258781675</v>
      </c>
      <c r="D27" s="17"/>
      <c r="G27" s="5"/>
    </row>
    <row r="28" spans="1:11" x14ac:dyDescent="0.3">
      <c r="G28" s="5"/>
    </row>
    <row r="29" spans="1:11" x14ac:dyDescent="0.3">
      <c r="A29" s="6" t="s">
        <v>70</v>
      </c>
      <c r="B29" s="6">
        <v>2009</v>
      </c>
      <c r="C29" s="6">
        <v>2010</v>
      </c>
      <c r="D29" s="6" t="s">
        <v>46</v>
      </c>
      <c r="G29" s="5"/>
    </row>
    <row r="30" spans="1:11" x14ac:dyDescent="0.3">
      <c r="A30" s="19" t="s">
        <v>68</v>
      </c>
      <c r="B30" s="17"/>
      <c r="C30" s="17"/>
      <c r="D30" s="34"/>
      <c r="G30" s="5"/>
    </row>
    <row r="31" spans="1:11" x14ac:dyDescent="0.3">
      <c r="A31" s="19" t="s">
        <v>44</v>
      </c>
      <c r="B31" s="17"/>
      <c r="C31" s="17"/>
      <c r="D31" s="34"/>
      <c r="G31" s="5"/>
    </row>
    <row r="32" spans="1:11" x14ac:dyDescent="0.3">
      <c r="A32" s="19" t="s">
        <v>45</v>
      </c>
      <c r="B32" s="17"/>
      <c r="C32" s="17"/>
      <c r="D32" s="34"/>
      <c r="G32" s="5"/>
    </row>
    <row r="33" spans="1:11" s="9" customFormat="1" x14ac:dyDescent="0.3">
      <c r="A33" s="19" t="s">
        <v>72</v>
      </c>
      <c r="B33" s="30">
        <v>212895</v>
      </c>
      <c r="C33" s="30">
        <v>239836</v>
      </c>
      <c r="D33" s="17">
        <f>IF(B33&lt;&gt;0,(C33-B33)/B33,0)</f>
        <v>0.12654594988139695</v>
      </c>
      <c r="F33" s="5"/>
      <c r="G33" s="5"/>
      <c r="H33" s="5"/>
      <c r="I33" s="5"/>
      <c r="J33" s="5"/>
      <c r="K33" s="5"/>
    </row>
    <row r="34" spans="1:11" x14ac:dyDescent="0.3">
      <c r="A34" s="19" t="s">
        <v>5</v>
      </c>
      <c r="B34" s="14">
        <v>0</v>
      </c>
      <c r="C34" s="14">
        <v>1579</v>
      </c>
      <c r="D34" s="17">
        <f t="shared" ref="D34:D44" si="2">IF(B34&lt;&gt;0,(C34-B34)/B34,0)</f>
        <v>0</v>
      </c>
      <c r="G34" s="5"/>
    </row>
    <row r="35" spans="1:11" s="9" customFormat="1" x14ac:dyDescent="0.3">
      <c r="A35" s="19" t="s">
        <v>57</v>
      </c>
      <c r="B35" s="14">
        <v>12979</v>
      </c>
      <c r="C35" s="14">
        <v>30953</v>
      </c>
      <c r="D35" s="17">
        <f t="shared" si="2"/>
        <v>1.3848524539640958</v>
      </c>
      <c r="F35" s="5"/>
      <c r="G35" s="5"/>
      <c r="H35" s="5"/>
      <c r="I35" s="5"/>
      <c r="J35" s="5"/>
      <c r="K35" s="5"/>
    </row>
    <row r="36" spans="1:11" s="9" customFormat="1" x14ac:dyDescent="0.3">
      <c r="A36" s="19" t="s">
        <v>56</v>
      </c>
      <c r="B36" s="14">
        <v>10094</v>
      </c>
      <c r="C36" s="14">
        <v>13131</v>
      </c>
      <c r="D36" s="17">
        <f t="shared" si="2"/>
        <v>0.30087180503269267</v>
      </c>
      <c r="F36" s="5"/>
      <c r="G36" s="5"/>
      <c r="H36" s="5"/>
      <c r="I36" s="5"/>
      <c r="J36" s="5"/>
      <c r="K36" s="5"/>
    </row>
    <row r="37" spans="1:11" s="9" customFormat="1" x14ac:dyDescent="0.3">
      <c r="A37" s="35" t="s">
        <v>4</v>
      </c>
      <c r="B37" s="30">
        <f>SUM(B33:B36)</f>
        <v>235968</v>
      </c>
      <c r="C37" s="30">
        <f>SUM(C33:C36)</f>
        <v>285499</v>
      </c>
      <c r="D37" s="17">
        <f t="shared" si="2"/>
        <v>0.20990558041768376</v>
      </c>
      <c r="F37" s="5"/>
      <c r="G37" s="5"/>
      <c r="H37" s="5"/>
      <c r="I37" s="5"/>
      <c r="J37" s="5"/>
      <c r="K37" s="5"/>
    </row>
    <row r="38" spans="1:11" x14ac:dyDescent="0.3">
      <c r="A38" s="19" t="s">
        <v>58</v>
      </c>
      <c r="B38" s="14">
        <v>-8740</v>
      </c>
      <c r="C38" s="14">
        <v>-11563</v>
      </c>
      <c r="D38" s="17">
        <f t="shared" si="2"/>
        <v>0.32299771167048053</v>
      </c>
      <c r="G38" s="5"/>
    </row>
    <row r="39" spans="1:11" s="9" customFormat="1" x14ac:dyDescent="0.3">
      <c r="A39" s="35" t="s">
        <v>42</v>
      </c>
      <c r="B39" s="30">
        <f>SUM(B37:B38)</f>
        <v>227228</v>
      </c>
      <c r="C39" s="30">
        <f>SUM(C37:C38)</f>
        <v>273936</v>
      </c>
      <c r="D39" s="17">
        <f t="shared" si="2"/>
        <v>0.20555565335257978</v>
      </c>
      <c r="F39" s="5"/>
      <c r="G39" s="5"/>
      <c r="H39" s="5"/>
      <c r="I39" s="5"/>
      <c r="J39" s="5"/>
      <c r="K39" s="5"/>
    </row>
    <row r="40" spans="1:11" s="9" customFormat="1" x14ac:dyDescent="0.3">
      <c r="A40" s="19" t="s">
        <v>10</v>
      </c>
      <c r="B40" s="14">
        <v>214.21695600000001</v>
      </c>
      <c r="C40" s="14">
        <v>7839</v>
      </c>
      <c r="D40" s="17">
        <f t="shared" si="2"/>
        <v>35.59374190715323</v>
      </c>
      <c r="F40" s="5"/>
      <c r="G40" s="5"/>
      <c r="H40" s="5"/>
      <c r="I40" s="5"/>
      <c r="J40" s="5"/>
      <c r="K40" s="5"/>
    </row>
    <row r="41" spans="1:11" x14ac:dyDescent="0.3">
      <c r="A41" s="19" t="s">
        <v>13</v>
      </c>
      <c r="B41" s="14">
        <v>-1741.084503</v>
      </c>
      <c r="C41" s="14">
        <v>-1496</v>
      </c>
      <c r="D41" s="17">
        <f t="shared" si="2"/>
        <v>-0.14076542670829806</v>
      </c>
      <c r="G41" s="5"/>
    </row>
    <row r="42" spans="1:11" s="9" customFormat="1" x14ac:dyDescent="0.3">
      <c r="A42" s="35" t="s">
        <v>43</v>
      </c>
      <c r="B42" s="30">
        <f>SUM(B39:B41)</f>
        <v>225701.132453</v>
      </c>
      <c r="C42" s="30">
        <f>SUM(C39:C41)</f>
        <v>280279</v>
      </c>
      <c r="D42" s="17">
        <f t="shared" si="2"/>
        <v>0.24181477050570535</v>
      </c>
      <c r="F42" s="5"/>
      <c r="G42" s="5"/>
      <c r="H42" s="5"/>
      <c r="I42" s="5"/>
      <c r="J42" s="5"/>
      <c r="K42" s="5"/>
    </row>
    <row r="43" spans="1:11" x14ac:dyDescent="0.3">
      <c r="A43" s="19" t="s">
        <v>15</v>
      </c>
      <c r="B43" s="14">
        <v>-205</v>
      </c>
      <c r="C43" s="14">
        <v>-1876</v>
      </c>
      <c r="D43" s="17">
        <f t="shared" si="2"/>
        <v>8.1512195121951212</v>
      </c>
      <c r="G43" s="5"/>
    </row>
    <row r="44" spans="1:11" ht="15.75" thickBot="1" x14ac:dyDescent="0.35">
      <c r="A44" s="36" t="s">
        <v>17</v>
      </c>
      <c r="B44" s="37">
        <f>SUM(B42:B43)</f>
        <v>225496.132453</v>
      </c>
      <c r="C44" s="37">
        <f>SUM(C42:C43)</f>
        <v>278403</v>
      </c>
      <c r="D44" s="45">
        <f t="shared" si="2"/>
        <v>0.2346242792347108</v>
      </c>
      <c r="G44" s="5"/>
    </row>
    <row r="45" spans="1:11" x14ac:dyDescent="0.3">
      <c r="G45" s="5"/>
    </row>
    <row r="46" spans="1:11" x14ac:dyDescent="0.3">
      <c r="A46" s="19"/>
      <c r="D46" s="17"/>
      <c r="G46" s="5"/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30" workbookViewId="0">
      <selection activeCell="I39" sqref="I39"/>
    </sheetView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5703125" style="3" bestFit="1" customWidth="1"/>
    <col min="6" max="6" width="9.28515625" style="4" bestFit="1" customWidth="1"/>
    <col min="7" max="7" width="8.28515625" style="5" customWidth="1"/>
    <col min="8" max="8" width="12.42578125" style="5" bestFit="1" customWidth="1"/>
    <col min="9" max="9" width="8.5703125" style="5" bestFit="1" customWidth="1"/>
    <col min="10" max="10" width="12.42578125" style="5" bestFit="1" customWidth="1"/>
    <col min="11" max="11" width="8.5703125" style="5" bestFit="1" customWidth="1"/>
    <col min="12" max="16384" width="11.42578125" style="5"/>
  </cols>
  <sheetData>
    <row r="1" spans="1:7" x14ac:dyDescent="0.3">
      <c r="A1" s="38" t="s">
        <v>40</v>
      </c>
      <c r="E1" s="21"/>
    </row>
    <row r="2" spans="1:7" x14ac:dyDescent="0.3">
      <c r="A2" s="38" t="s">
        <v>67</v>
      </c>
      <c r="E2" s="21"/>
    </row>
    <row r="3" spans="1:7" x14ac:dyDescent="0.3">
      <c r="A3" s="24" t="s">
        <v>44</v>
      </c>
      <c r="D3" s="17"/>
      <c r="E3" s="21"/>
    </row>
    <row r="4" spans="1:7" x14ac:dyDescent="0.3">
      <c r="A4" s="24" t="s">
        <v>45</v>
      </c>
      <c r="E4" s="21"/>
      <c r="G4" s="66"/>
    </row>
    <row r="5" spans="1:7" x14ac:dyDescent="0.3">
      <c r="E5" s="21"/>
      <c r="G5" s="66"/>
    </row>
    <row r="6" spans="1:7" x14ac:dyDescent="0.3">
      <c r="A6" s="6" t="s">
        <v>20</v>
      </c>
      <c r="B6" s="6">
        <v>2009</v>
      </c>
      <c r="C6" s="6">
        <v>2010</v>
      </c>
      <c r="D6" s="6" t="s">
        <v>46</v>
      </c>
      <c r="E6" s="21"/>
      <c r="G6" s="69"/>
    </row>
    <row r="7" spans="1:7" x14ac:dyDescent="0.3">
      <c r="A7" s="18" t="s">
        <v>21</v>
      </c>
      <c r="B7" s="14">
        <v>152572</v>
      </c>
      <c r="C7" s="14">
        <v>133389</v>
      </c>
      <c r="D7" s="17">
        <f t="shared" ref="D7:D16" si="0">+(C7-B7)/B7</f>
        <v>-0.12573080250635765</v>
      </c>
      <c r="E7" s="21"/>
      <c r="G7" s="67"/>
    </row>
    <row r="8" spans="1:7" x14ac:dyDescent="0.3">
      <c r="A8" s="18" t="s">
        <v>22</v>
      </c>
      <c r="B8" s="14">
        <v>335272</v>
      </c>
      <c r="C8" s="14">
        <f>330481</f>
        <v>330481</v>
      </c>
      <c r="D8" s="17">
        <f t="shared" si="0"/>
        <v>-1.4289889999761388E-2</v>
      </c>
      <c r="E8" s="21"/>
      <c r="G8" s="67"/>
    </row>
    <row r="9" spans="1:7" x14ac:dyDescent="0.3">
      <c r="A9" s="18" t="s">
        <v>23</v>
      </c>
      <c r="B9" s="14">
        <f>510929+12600</f>
        <v>523529</v>
      </c>
      <c r="C9" s="14">
        <f>568234+18022</f>
        <v>586256</v>
      </c>
      <c r="D9" s="17">
        <f t="shared" si="0"/>
        <v>0.11981571221460512</v>
      </c>
      <c r="E9" s="21"/>
      <c r="G9" s="67"/>
    </row>
    <row r="10" spans="1:7" x14ac:dyDescent="0.3">
      <c r="A10" s="18" t="s">
        <v>36</v>
      </c>
      <c r="B10" s="14">
        <v>494120</v>
      </c>
      <c r="C10" s="14">
        <v>553016</v>
      </c>
      <c r="D10" s="17">
        <f t="shared" si="0"/>
        <v>0.11919371812515178</v>
      </c>
      <c r="E10" s="21"/>
      <c r="G10" s="67"/>
    </row>
    <row r="11" spans="1:7" x14ac:dyDescent="0.3">
      <c r="A11" s="18" t="s">
        <v>60</v>
      </c>
      <c r="B11" s="14">
        <v>977261</v>
      </c>
      <c r="C11" s="14">
        <v>988793</v>
      </c>
      <c r="D11" s="17">
        <f t="shared" si="0"/>
        <v>1.1800327650443433E-2</v>
      </c>
      <c r="E11" s="21"/>
      <c r="G11" s="67"/>
    </row>
    <row r="12" spans="1:7" x14ac:dyDescent="0.3">
      <c r="A12" s="18" t="s">
        <v>47</v>
      </c>
      <c r="B12" s="14">
        <v>748013</v>
      </c>
      <c r="C12" s="14">
        <v>853564</v>
      </c>
      <c r="D12" s="17">
        <f t="shared" si="0"/>
        <v>0.14110851014621403</v>
      </c>
      <c r="E12" s="21"/>
      <c r="G12" s="67"/>
    </row>
    <row r="13" spans="1:7" x14ac:dyDescent="0.3">
      <c r="A13" s="18" t="s">
        <v>24</v>
      </c>
      <c r="B13" s="2">
        <f>24723+54623</f>
        <v>79346</v>
      </c>
      <c r="C13" s="14">
        <f>8089+58913</f>
        <v>67002</v>
      </c>
      <c r="D13" s="17">
        <f t="shared" si="0"/>
        <v>-0.15557179946059033</v>
      </c>
      <c r="E13" s="21"/>
      <c r="G13" s="67"/>
    </row>
    <row r="14" spans="1:7" x14ac:dyDescent="0.3">
      <c r="A14" s="18" t="s">
        <v>25</v>
      </c>
      <c r="B14" s="14">
        <f>742+18351+3</f>
        <v>19096</v>
      </c>
      <c r="C14" s="14">
        <f>15109+987+806</f>
        <v>16902</v>
      </c>
      <c r="D14" s="17">
        <f t="shared" si="0"/>
        <v>-0.11489317134478425</v>
      </c>
      <c r="E14" s="21"/>
      <c r="G14" s="67"/>
    </row>
    <row r="15" spans="1:7" x14ac:dyDescent="0.3">
      <c r="A15" s="18" t="s">
        <v>26</v>
      </c>
      <c r="B15" s="14">
        <v>3599917</v>
      </c>
      <c r="C15" s="14">
        <v>4555288</v>
      </c>
      <c r="D15" s="17">
        <f t="shared" si="0"/>
        <v>0.26538695197694834</v>
      </c>
      <c r="E15" s="21"/>
      <c r="G15" s="67"/>
    </row>
    <row r="16" spans="1:7" ht="15.75" thickBot="1" x14ac:dyDescent="0.35">
      <c r="A16" s="26" t="s">
        <v>27</v>
      </c>
      <c r="B16" s="27">
        <f>SUM(B7:B15)</f>
        <v>6929126</v>
      </c>
      <c r="C16" s="27">
        <f>SUM(C7:C15)</f>
        <v>8084691</v>
      </c>
      <c r="D16" s="45">
        <f t="shared" si="0"/>
        <v>0.16676922890419368</v>
      </c>
      <c r="E16" s="21"/>
      <c r="G16" s="68"/>
    </row>
    <row r="17" spans="1:7" x14ac:dyDescent="0.3">
      <c r="A17" s="1"/>
      <c r="E17" s="21"/>
      <c r="G17" s="67"/>
    </row>
    <row r="18" spans="1:7" x14ac:dyDescent="0.3">
      <c r="A18" s="6" t="s">
        <v>48</v>
      </c>
      <c r="B18" s="6">
        <v>2009</v>
      </c>
      <c r="C18" s="6">
        <v>2010</v>
      </c>
      <c r="D18" s="6" t="s">
        <v>46</v>
      </c>
      <c r="E18" s="21"/>
      <c r="G18" s="69"/>
    </row>
    <row r="19" spans="1:7" x14ac:dyDescent="0.3">
      <c r="A19" s="18" t="s">
        <v>28</v>
      </c>
      <c r="B19" s="14">
        <f>210544+804613</f>
        <v>1015157</v>
      </c>
      <c r="C19" s="14">
        <f>259639+866687</f>
        <v>1126326</v>
      </c>
      <c r="D19" s="17">
        <f t="shared" ref="D19:D30" si="1">+(C19-B19)/B19</f>
        <v>0.10950916951762141</v>
      </c>
      <c r="E19" s="21"/>
      <c r="G19" s="67"/>
    </row>
    <row r="20" spans="1:7" x14ac:dyDescent="0.3">
      <c r="A20" s="18" t="s">
        <v>49</v>
      </c>
      <c r="B20" s="14">
        <v>124270</v>
      </c>
      <c r="C20" s="14">
        <v>165155</v>
      </c>
      <c r="D20" s="17">
        <f t="shared" si="1"/>
        <v>0.3290013679890561</v>
      </c>
      <c r="E20" s="21"/>
      <c r="G20" s="67"/>
    </row>
    <row r="21" spans="1:7" x14ac:dyDescent="0.3">
      <c r="A21" s="18" t="s">
        <v>38</v>
      </c>
      <c r="B21" s="14">
        <f>138138+3475</f>
        <v>141613</v>
      </c>
      <c r="C21" s="14">
        <f>208876+162</f>
        <v>209038</v>
      </c>
      <c r="D21" s="17">
        <f t="shared" si="1"/>
        <v>0.47612154251375227</v>
      </c>
      <c r="E21" s="21"/>
      <c r="G21" s="67"/>
    </row>
    <row r="22" spans="1:7" x14ac:dyDescent="0.3">
      <c r="A22" s="18" t="s">
        <v>30</v>
      </c>
      <c r="B22" s="14">
        <v>78144</v>
      </c>
      <c r="C22" s="14">
        <v>68247</v>
      </c>
      <c r="D22" s="17">
        <f t="shared" si="1"/>
        <v>-0.12665079852579852</v>
      </c>
      <c r="E22" s="21"/>
      <c r="G22" s="67"/>
    </row>
    <row r="23" spans="1:7" x14ac:dyDescent="0.3">
      <c r="A23" s="18" t="s">
        <v>31</v>
      </c>
      <c r="B23" s="14">
        <v>84236</v>
      </c>
      <c r="C23" s="14">
        <f>78624+9763</f>
        <v>88387</v>
      </c>
      <c r="D23" s="17">
        <f t="shared" si="1"/>
        <v>4.9278218338952469E-2</v>
      </c>
      <c r="E23" s="21"/>
      <c r="G23" s="67"/>
    </row>
    <row r="24" spans="1:7" x14ac:dyDescent="0.3">
      <c r="A24" s="18" t="s">
        <v>32</v>
      </c>
      <c r="B24" s="14">
        <v>33316</v>
      </c>
      <c r="C24" s="14">
        <f>11540+20111</f>
        <v>31651</v>
      </c>
      <c r="D24" s="17">
        <f t="shared" si="1"/>
        <v>-4.9975987513507021E-2</v>
      </c>
      <c r="E24" s="21"/>
      <c r="G24" s="67"/>
    </row>
    <row r="25" spans="1:7" x14ac:dyDescent="0.3">
      <c r="A25" s="18" t="s">
        <v>24</v>
      </c>
      <c r="B25" s="14">
        <v>59601</v>
      </c>
      <c r="C25" s="14">
        <v>58990</v>
      </c>
      <c r="D25" s="17">
        <f t="shared" si="1"/>
        <v>-1.0251505847217329E-2</v>
      </c>
      <c r="E25" s="21"/>
      <c r="G25" s="67"/>
    </row>
    <row r="26" spans="1:7" x14ac:dyDescent="0.3">
      <c r="A26" s="18" t="s">
        <v>0</v>
      </c>
      <c r="B26" s="14">
        <v>2549</v>
      </c>
      <c r="C26" s="14">
        <v>1983</v>
      </c>
      <c r="D26" s="17">
        <f t="shared" si="1"/>
        <v>-0.22204786190663006</v>
      </c>
      <c r="E26" s="21"/>
      <c r="G26" s="67"/>
    </row>
    <row r="27" spans="1:7" x14ac:dyDescent="0.3">
      <c r="A27" s="18" t="s">
        <v>33</v>
      </c>
      <c r="B27" s="14">
        <f>SUM(B19:B26)</f>
        <v>1538886</v>
      </c>
      <c r="C27" s="14">
        <f>SUM(C19:C26)</f>
        <v>1749777</v>
      </c>
      <c r="D27" s="17">
        <f t="shared" si="1"/>
        <v>0.13704134029421283</v>
      </c>
      <c r="E27" s="21"/>
      <c r="G27" s="67"/>
    </row>
    <row r="28" spans="1:7" x14ac:dyDescent="0.3">
      <c r="A28" s="18" t="s">
        <v>39</v>
      </c>
      <c r="B28" s="14">
        <v>3611</v>
      </c>
      <c r="C28" s="14">
        <v>11268</v>
      </c>
      <c r="D28" s="17">
        <f t="shared" si="1"/>
        <v>2.1204652450844641</v>
      </c>
      <c r="E28" s="21"/>
      <c r="G28" s="67"/>
    </row>
    <row r="29" spans="1:7" ht="15.75" thickBot="1" x14ac:dyDescent="0.35">
      <c r="A29" s="26" t="s">
        <v>34</v>
      </c>
      <c r="B29" s="27">
        <v>5386629</v>
      </c>
      <c r="C29" s="27">
        <v>6323646</v>
      </c>
      <c r="D29" s="45">
        <f t="shared" si="1"/>
        <v>0.17395239211759339</v>
      </c>
      <c r="E29" s="21"/>
      <c r="G29" s="68"/>
    </row>
    <row r="30" spans="1:7" ht="15.75" thickBot="1" x14ac:dyDescent="0.35">
      <c r="A30" s="26" t="s">
        <v>81</v>
      </c>
      <c r="B30" s="27">
        <f>+B27+B28+B29</f>
        <v>6929126</v>
      </c>
      <c r="C30" s="27">
        <f>+C27+C28+C29</f>
        <v>8084691</v>
      </c>
      <c r="D30" s="45">
        <f t="shared" si="1"/>
        <v>0.16676922890419368</v>
      </c>
      <c r="E30" s="21"/>
      <c r="G30" s="68"/>
    </row>
    <row r="31" spans="1:7" x14ac:dyDescent="0.3">
      <c r="A31" s="19"/>
      <c r="B31" s="14"/>
      <c r="C31" s="14"/>
      <c r="D31" s="17"/>
      <c r="E31" s="21"/>
    </row>
    <row r="32" spans="1:7" x14ac:dyDescent="0.3">
      <c r="A32" s="41" t="s">
        <v>3</v>
      </c>
      <c r="B32" s="14"/>
      <c r="C32" s="14"/>
      <c r="D32" s="17"/>
    </row>
    <row r="33" spans="1:13" x14ac:dyDescent="0.3">
      <c r="A33" s="41" t="s">
        <v>68</v>
      </c>
      <c r="B33" s="14"/>
      <c r="C33" s="14"/>
      <c r="D33" s="17"/>
    </row>
    <row r="34" spans="1:13" x14ac:dyDescent="0.3">
      <c r="A34" s="41" t="s">
        <v>44</v>
      </c>
      <c r="B34" s="14"/>
      <c r="C34" s="14"/>
      <c r="D34" s="17"/>
    </row>
    <row r="35" spans="1:13" x14ac:dyDescent="0.3">
      <c r="A35" s="41" t="s">
        <v>45</v>
      </c>
      <c r="B35" s="14"/>
      <c r="C35" s="14"/>
      <c r="D35" s="17"/>
    </row>
    <row r="36" spans="1:13" x14ac:dyDescent="0.3">
      <c r="A36" s="6"/>
      <c r="B36" s="6">
        <v>2009</v>
      </c>
      <c r="C36" s="6" t="s">
        <v>55</v>
      </c>
      <c r="D36" s="6">
        <v>2010</v>
      </c>
      <c r="E36" s="6" t="s">
        <v>55</v>
      </c>
      <c r="F36" s="6" t="s">
        <v>46</v>
      </c>
    </row>
    <row r="37" spans="1:13" s="9" customFormat="1" x14ac:dyDescent="0.3">
      <c r="A37" s="30" t="s">
        <v>4</v>
      </c>
      <c r="B37" s="50">
        <v>4588366</v>
      </c>
      <c r="C37" s="42">
        <f t="shared" ref="C37:C55" si="2">+B37/$B$37</f>
        <v>1</v>
      </c>
      <c r="D37" s="50">
        <v>4458858</v>
      </c>
      <c r="E37" s="42">
        <f>+D37/$D$37</f>
        <v>1</v>
      </c>
      <c r="F37" s="42">
        <f t="shared" ref="F37:F55" si="3">+(D37-B37)/B37</f>
        <v>-2.8225298504957974E-2</v>
      </c>
      <c r="H37" s="5"/>
      <c r="I37" s="5"/>
      <c r="J37" s="5"/>
      <c r="K37" s="5"/>
      <c r="L37" s="5"/>
      <c r="M37" s="5"/>
    </row>
    <row r="38" spans="1:13" x14ac:dyDescent="0.3">
      <c r="A38" s="14" t="s">
        <v>50</v>
      </c>
      <c r="B38" s="51">
        <v>-2818189</v>
      </c>
      <c r="C38" s="17">
        <f t="shared" si="2"/>
        <v>-0.61420318257087603</v>
      </c>
      <c r="D38" s="51">
        <v>-2709521</v>
      </c>
      <c r="E38" s="17">
        <f>+D38/$D$37</f>
        <v>-0.6076715158903917</v>
      </c>
      <c r="F38" s="17">
        <f t="shared" si="3"/>
        <v>-3.8559514638656242E-2</v>
      </c>
    </row>
    <row r="39" spans="1:13" s="9" customFormat="1" x14ac:dyDescent="0.3">
      <c r="A39" s="30" t="s">
        <v>6</v>
      </c>
      <c r="B39" s="30">
        <f>SUM(B37:B38)</f>
        <v>1770177</v>
      </c>
      <c r="C39" s="42">
        <f t="shared" si="2"/>
        <v>0.38579681742912403</v>
      </c>
      <c r="D39" s="30">
        <f>SUM(D37:D38)</f>
        <v>1749337</v>
      </c>
      <c r="E39" s="42">
        <f t="shared" ref="E39:E55" si="4">+D39/$D$37</f>
        <v>0.39232848410960836</v>
      </c>
      <c r="F39" s="42">
        <f t="shared" si="3"/>
        <v>-1.1772834016033426E-2</v>
      </c>
      <c r="H39" s="5"/>
      <c r="I39" s="5"/>
      <c r="J39" s="5"/>
      <c r="K39" s="5"/>
      <c r="L39" s="5"/>
      <c r="M39" s="5"/>
    </row>
    <row r="40" spans="1:13" x14ac:dyDescent="0.3">
      <c r="A40" s="14" t="s">
        <v>7</v>
      </c>
      <c r="B40" s="14">
        <v>-218875</v>
      </c>
      <c r="C40" s="17">
        <f t="shared" si="2"/>
        <v>-4.7702166740839769E-2</v>
      </c>
      <c r="D40" s="14">
        <v>-212941</v>
      </c>
      <c r="E40" s="17">
        <f t="shared" si="4"/>
        <v>-4.7756847156828049E-2</v>
      </c>
      <c r="F40" s="17">
        <f t="shared" si="3"/>
        <v>-2.7111364934323243E-2</v>
      </c>
    </row>
    <row r="41" spans="1:13" x14ac:dyDescent="0.3">
      <c r="A41" s="14" t="s">
        <v>8</v>
      </c>
      <c r="B41" s="14">
        <v>-1102578</v>
      </c>
      <c r="C41" s="17">
        <f t="shared" si="2"/>
        <v>-0.24029861610865394</v>
      </c>
      <c r="D41" s="14">
        <v>-1103652</v>
      </c>
      <c r="E41" s="17">
        <f t="shared" si="4"/>
        <v>-0.24751898356036456</v>
      </c>
      <c r="F41" s="17">
        <f t="shared" si="3"/>
        <v>9.7408074530781492E-4</v>
      </c>
    </row>
    <row r="42" spans="1:13" s="9" customFormat="1" x14ac:dyDescent="0.3">
      <c r="A42" s="30" t="s">
        <v>9</v>
      </c>
      <c r="B42" s="30">
        <f>SUM(B40:B41)</f>
        <v>-1321453</v>
      </c>
      <c r="C42" s="42">
        <f t="shared" si="2"/>
        <v>-0.28800078284949371</v>
      </c>
      <c r="D42" s="30">
        <f>SUM(D40:D41)</f>
        <v>-1316593</v>
      </c>
      <c r="E42" s="42">
        <f t="shared" si="4"/>
        <v>-0.2952758307171926</v>
      </c>
      <c r="F42" s="42">
        <f t="shared" si="3"/>
        <v>-3.6777698487952277E-3</v>
      </c>
      <c r="H42" s="5"/>
      <c r="I42" s="5"/>
      <c r="J42" s="5"/>
      <c r="K42" s="5"/>
      <c r="L42" s="5"/>
      <c r="M42" s="5"/>
    </row>
    <row r="43" spans="1:13" s="9" customFormat="1" x14ac:dyDescent="0.3">
      <c r="A43" s="30" t="s">
        <v>1</v>
      </c>
      <c r="B43" s="30">
        <f>+B39+B42</f>
        <v>448724</v>
      </c>
      <c r="C43" s="42">
        <f t="shared" si="2"/>
        <v>9.7796034579630306E-2</v>
      </c>
      <c r="D43" s="30">
        <f>+D39+D42</f>
        <v>432744</v>
      </c>
      <c r="E43" s="42">
        <f t="shared" si="4"/>
        <v>9.7052653392415728E-2</v>
      </c>
      <c r="F43" s="42">
        <f t="shared" si="3"/>
        <v>-3.5612091174084738E-2</v>
      </c>
      <c r="H43" s="5"/>
      <c r="I43" s="5"/>
      <c r="J43" s="5"/>
      <c r="K43" s="5"/>
      <c r="L43" s="5"/>
      <c r="M43" s="5"/>
    </row>
    <row r="44" spans="1:13" x14ac:dyDescent="0.3">
      <c r="A44" s="14" t="s">
        <v>51</v>
      </c>
      <c r="B44" s="14">
        <v>9537</v>
      </c>
      <c r="C44" s="17">
        <f t="shared" si="2"/>
        <v>2.078517711969795E-3</v>
      </c>
      <c r="D44" s="14">
        <v>7426</v>
      </c>
      <c r="E44" s="17">
        <f t="shared" si="4"/>
        <v>1.6654488660549406E-3</v>
      </c>
      <c r="F44" s="17">
        <f t="shared" si="3"/>
        <v>-0.22134843242109678</v>
      </c>
    </row>
    <row r="45" spans="1:13" x14ac:dyDescent="0.3">
      <c r="A45" s="14" t="s">
        <v>11</v>
      </c>
      <c r="B45" s="14">
        <f>-80314-23017</f>
        <v>-103331</v>
      </c>
      <c r="C45" s="17">
        <f t="shared" si="2"/>
        <v>-2.2520217436882761E-2</v>
      </c>
      <c r="D45" s="14">
        <v>-79867</v>
      </c>
      <c r="E45" s="17">
        <f t="shared" si="4"/>
        <v>-1.7911985535309715E-2</v>
      </c>
      <c r="F45" s="17">
        <f t="shared" si="3"/>
        <v>-0.2270760952666673</v>
      </c>
    </row>
    <row r="46" spans="1:13" x14ac:dyDescent="0.3">
      <c r="A46" s="14" t="s">
        <v>12</v>
      </c>
      <c r="B46" s="14">
        <f>15641-17428</f>
        <v>-1787</v>
      </c>
      <c r="C46" s="17">
        <f t="shared" si="2"/>
        <v>-3.894632642644462E-4</v>
      </c>
      <c r="D46" s="14">
        <v>-28268</v>
      </c>
      <c r="E46" s="17">
        <f t="shared" si="4"/>
        <v>-6.3397399064962371E-3</v>
      </c>
      <c r="F46" s="17">
        <f t="shared" si="3"/>
        <v>14.818690542809177</v>
      </c>
    </row>
    <row r="47" spans="1:13" x14ac:dyDescent="0.3">
      <c r="A47" s="14" t="s">
        <v>52</v>
      </c>
      <c r="B47" s="14">
        <v>-89202</v>
      </c>
      <c r="C47" s="17">
        <f t="shared" si="2"/>
        <v>-1.9440907721833874E-2</v>
      </c>
      <c r="D47" s="14">
        <v>-23551</v>
      </c>
      <c r="E47" s="17">
        <f t="shared" si="4"/>
        <v>-5.2818457102693115E-3</v>
      </c>
      <c r="F47" s="17">
        <f t="shared" si="3"/>
        <v>-0.73598125602564968</v>
      </c>
    </row>
    <row r="48" spans="1:13" x14ac:dyDescent="0.3">
      <c r="A48" s="14" t="s">
        <v>14</v>
      </c>
      <c r="B48" s="14">
        <v>28975</v>
      </c>
      <c r="C48" s="17">
        <f t="shared" si="2"/>
        <v>6.3148842093241906E-3</v>
      </c>
      <c r="D48" s="14">
        <v>30996</v>
      </c>
      <c r="E48" s="17">
        <f t="shared" si="4"/>
        <v>6.9515557571019305E-3</v>
      </c>
      <c r="F48" s="17">
        <f t="shared" si="3"/>
        <v>6.9749784296807588E-2</v>
      </c>
    </row>
    <row r="49" spans="1:13" x14ac:dyDescent="0.3">
      <c r="A49" s="14" t="s">
        <v>16</v>
      </c>
      <c r="B49" s="14">
        <v>2124</v>
      </c>
      <c r="C49" s="17">
        <f t="shared" si="2"/>
        <v>4.6290988992595623E-4</v>
      </c>
      <c r="D49" s="14">
        <v>1514</v>
      </c>
      <c r="E49" s="17">
        <f t="shared" si="4"/>
        <v>3.3954882617925935E-4</v>
      </c>
      <c r="F49" s="17">
        <f t="shared" si="3"/>
        <v>-0.2871939736346516</v>
      </c>
    </row>
    <row r="50" spans="1:13" s="9" customFormat="1" x14ac:dyDescent="0.3">
      <c r="A50" s="30" t="s">
        <v>2</v>
      </c>
      <c r="B50" s="30">
        <f>SUM(B44:B49)</f>
        <v>-153684</v>
      </c>
      <c r="C50" s="42">
        <f t="shared" si="2"/>
        <v>-3.3494276611761138E-2</v>
      </c>
      <c r="D50" s="30">
        <f>SUM(D44:D49)</f>
        <v>-91750</v>
      </c>
      <c r="E50" s="42">
        <f t="shared" si="4"/>
        <v>-2.057701770273913E-2</v>
      </c>
      <c r="F50" s="42">
        <f t="shared" si="3"/>
        <v>-0.40299575752843497</v>
      </c>
      <c r="H50" s="5"/>
      <c r="I50" s="5"/>
      <c r="J50" s="5"/>
      <c r="K50" s="5"/>
      <c r="L50" s="5"/>
      <c r="M50" s="5"/>
    </row>
    <row r="51" spans="1:13" s="9" customFormat="1" x14ac:dyDescent="0.3">
      <c r="A51" s="30" t="s">
        <v>41</v>
      </c>
      <c r="B51" s="30">
        <f>+B43+B50</f>
        <v>295040</v>
      </c>
      <c r="C51" s="42">
        <f t="shared" si="2"/>
        <v>6.4301757967869175E-2</v>
      </c>
      <c r="D51" s="30">
        <f>+D43+D50</f>
        <v>340994</v>
      </c>
      <c r="E51" s="42">
        <f t="shared" si="4"/>
        <v>7.6475635689676594E-2</v>
      </c>
      <c r="F51" s="42">
        <f t="shared" si="3"/>
        <v>0.15575515184381777</v>
      </c>
      <c r="H51" s="5"/>
      <c r="I51" s="5"/>
      <c r="J51" s="5"/>
      <c r="K51" s="5"/>
      <c r="L51" s="5"/>
      <c r="M51" s="5"/>
    </row>
    <row r="52" spans="1:13" x14ac:dyDescent="0.3">
      <c r="A52" s="14" t="s">
        <v>15</v>
      </c>
      <c r="B52" s="14">
        <f>-77390-3919</f>
        <v>-81309</v>
      </c>
      <c r="C52" s="17">
        <f t="shared" si="2"/>
        <v>-1.7720687495286994E-2</v>
      </c>
      <c r="D52" s="14">
        <v>-76993</v>
      </c>
      <c r="E52" s="17">
        <f t="shared" si="4"/>
        <v>-1.7267425874517645E-2</v>
      </c>
      <c r="F52" s="17">
        <f t="shared" si="3"/>
        <v>-5.3081454697511958E-2</v>
      </c>
    </row>
    <row r="53" spans="1:13" x14ac:dyDescent="0.3">
      <c r="A53" s="14" t="s">
        <v>18</v>
      </c>
      <c r="B53" s="14">
        <v>-457</v>
      </c>
      <c r="C53" s="17">
        <f t="shared" si="2"/>
        <v>-9.9599726787270238E-5</v>
      </c>
      <c r="D53" s="14">
        <v>-762</v>
      </c>
      <c r="E53" s="17">
        <f t="shared" si="4"/>
        <v>-1.7089577645217676E-4</v>
      </c>
      <c r="F53" s="17">
        <f t="shared" si="3"/>
        <v>0.66739606126914663</v>
      </c>
    </row>
    <row r="54" spans="1:13" s="9" customFormat="1" x14ac:dyDescent="0.3">
      <c r="A54" s="43" t="s">
        <v>17</v>
      </c>
      <c r="B54" s="43">
        <f>+B51+B52+B53</f>
        <v>213274</v>
      </c>
      <c r="C54" s="44">
        <f t="shared" si="2"/>
        <v>4.6481470745794909E-2</v>
      </c>
      <c r="D54" s="43">
        <f>+D51+D52+D53</f>
        <v>263239</v>
      </c>
      <c r="E54" s="44">
        <f t="shared" si="4"/>
        <v>5.9037314038706774E-2</v>
      </c>
      <c r="F54" s="44">
        <f t="shared" si="3"/>
        <v>0.2342760955390718</v>
      </c>
      <c r="H54" s="5"/>
      <c r="I54" s="5"/>
      <c r="J54" s="5"/>
      <c r="K54" s="5"/>
      <c r="L54" s="5"/>
      <c r="M54" s="5"/>
    </row>
    <row r="55" spans="1:13" s="9" customFormat="1" ht="15.75" thickBot="1" x14ac:dyDescent="0.35">
      <c r="A55" s="27" t="s">
        <v>19</v>
      </c>
      <c r="B55" s="27">
        <v>551034</v>
      </c>
      <c r="C55" s="45">
        <f t="shared" si="2"/>
        <v>0.12009373271443473</v>
      </c>
      <c r="D55" s="27">
        <v>538165</v>
      </c>
      <c r="E55" s="45">
        <f t="shared" si="4"/>
        <v>0.12069570280103112</v>
      </c>
      <c r="F55" s="45">
        <f t="shared" si="3"/>
        <v>-2.3354275779715952E-2</v>
      </c>
      <c r="H55" s="5"/>
      <c r="I55" s="5"/>
      <c r="J55" s="5"/>
      <c r="K55" s="5"/>
      <c r="L55" s="5"/>
      <c r="M55" s="5"/>
    </row>
    <row r="56" spans="1:13" x14ac:dyDescent="0.3">
      <c r="A56" s="2"/>
      <c r="C56" s="3"/>
      <c r="D56" s="10"/>
    </row>
    <row r="57" spans="1:13" x14ac:dyDescent="0.3">
      <c r="A57" s="19"/>
      <c r="B57" s="14"/>
      <c r="C57" s="17"/>
      <c r="D57" s="10"/>
    </row>
    <row r="58" spans="1:13" x14ac:dyDescent="0.3">
      <c r="D58" s="1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86" zoomScaleNormal="86" workbookViewId="0">
      <selection sqref="A1:XFD1048576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16384" width="11.42578125" style="5"/>
  </cols>
  <sheetData>
    <row r="1" spans="1:6" x14ac:dyDescent="0.3">
      <c r="A1" s="24" t="s">
        <v>69</v>
      </c>
    </row>
    <row r="2" spans="1:6" x14ac:dyDescent="0.3">
      <c r="A2" s="24" t="s">
        <v>76</v>
      </c>
    </row>
    <row r="3" spans="1:6" x14ac:dyDescent="0.3">
      <c r="A3" s="24" t="s">
        <v>44</v>
      </c>
    </row>
    <row r="4" spans="1:6" x14ac:dyDescent="0.3">
      <c r="A4" s="24" t="s">
        <v>45</v>
      </c>
    </row>
    <row r="5" spans="1:6" ht="12" customHeight="1" x14ac:dyDescent="0.3"/>
    <row r="6" spans="1:6" x14ac:dyDescent="0.3">
      <c r="A6" s="6" t="s">
        <v>20</v>
      </c>
      <c r="B6" s="6">
        <v>2010</v>
      </c>
      <c r="C6" s="6">
        <v>2011</v>
      </c>
      <c r="D6" s="7" t="s">
        <v>46</v>
      </c>
    </row>
    <row r="7" spans="1:6" x14ac:dyDescent="0.3">
      <c r="A7" s="18" t="s">
        <v>21</v>
      </c>
      <c r="B7" s="14">
        <v>197</v>
      </c>
      <c r="C7" s="14">
        <v>130</v>
      </c>
      <c r="D7" s="17">
        <f t="shared" ref="D7:D12" si="0">IF(B7&lt;&gt;0,(C7-B7)/B7,0)</f>
        <v>-0.34010152284263961</v>
      </c>
    </row>
    <row r="8" spans="1:6" x14ac:dyDescent="0.3">
      <c r="A8" s="18" t="s">
        <v>22</v>
      </c>
      <c r="B8" s="14">
        <v>3736859</v>
      </c>
      <c r="C8" s="14">
        <v>2761293</v>
      </c>
      <c r="D8" s="17">
        <f t="shared" si="0"/>
        <v>-0.26106577743500625</v>
      </c>
      <c r="F8" s="2"/>
    </row>
    <row r="9" spans="1:6" x14ac:dyDescent="0.3">
      <c r="A9" s="18" t="s">
        <v>23</v>
      </c>
      <c r="B9" s="14">
        <v>22426</v>
      </c>
      <c r="C9" s="14">
        <v>115108</v>
      </c>
      <c r="D9" s="17">
        <f t="shared" si="0"/>
        <v>4.1327922946579863</v>
      </c>
    </row>
    <row r="10" spans="1:6" x14ac:dyDescent="0.3">
      <c r="A10" s="18" t="s">
        <v>83</v>
      </c>
      <c r="B10" s="14">
        <v>155</v>
      </c>
      <c r="C10" s="14">
        <f>155+514</f>
        <v>669</v>
      </c>
      <c r="D10" s="17">
        <f t="shared" si="0"/>
        <v>3.3161290322580643</v>
      </c>
    </row>
    <row r="11" spans="1:6" x14ac:dyDescent="0.3">
      <c r="A11" s="18" t="s">
        <v>26</v>
      </c>
      <c r="B11" s="14">
        <v>1924896</v>
      </c>
      <c r="C11" s="14">
        <v>3491549</v>
      </c>
      <c r="D11" s="17">
        <f t="shared" si="0"/>
        <v>0.81388968546872142</v>
      </c>
    </row>
    <row r="12" spans="1:6" ht="15.75" thickBot="1" x14ac:dyDescent="0.35">
      <c r="A12" s="26" t="s">
        <v>27</v>
      </c>
      <c r="B12" s="27">
        <f>SUM(B7:B11)</f>
        <v>5684533</v>
      </c>
      <c r="C12" s="27">
        <f>SUM(C7:C11)</f>
        <v>6368749</v>
      </c>
      <c r="D12" s="46">
        <f t="shared" si="0"/>
        <v>0.1203645048766539</v>
      </c>
    </row>
    <row r="14" spans="1:6" x14ac:dyDescent="0.3">
      <c r="A14" s="6" t="s">
        <v>48</v>
      </c>
      <c r="B14" s="6">
        <v>2010</v>
      </c>
      <c r="C14" s="6">
        <v>2011</v>
      </c>
      <c r="D14" s="7" t="s">
        <v>46</v>
      </c>
    </row>
    <row r="15" spans="1:6" x14ac:dyDescent="0.3">
      <c r="A15" s="18" t="s">
        <v>28</v>
      </c>
      <c r="B15" s="14">
        <v>19</v>
      </c>
      <c r="C15" s="14">
        <v>0</v>
      </c>
      <c r="D15" s="17">
        <f t="shared" ref="D15:D23" si="1">IF(B15&lt;&gt;0,(C15-B15)/B15,0)</f>
        <v>-1</v>
      </c>
    </row>
    <row r="16" spans="1:6" x14ac:dyDescent="0.3">
      <c r="A16" s="18" t="s">
        <v>29</v>
      </c>
      <c r="B16" s="14">
        <v>193634</v>
      </c>
      <c r="C16" s="14">
        <v>209621</v>
      </c>
      <c r="D16" s="17">
        <f t="shared" si="1"/>
        <v>8.2562979642005013E-2</v>
      </c>
    </row>
    <row r="17" spans="1:6" x14ac:dyDescent="0.3">
      <c r="A17" s="18" t="s">
        <v>30</v>
      </c>
      <c r="B17" s="14">
        <v>405</v>
      </c>
      <c r="C17" s="14">
        <v>928</v>
      </c>
      <c r="D17" s="17">
        <f t="shared" si="1"/>
        <v>1.2913580246913581</v>
      </c>
    </row>
    <row r="18" spans="1:6" x14ac:dyDescent="0.3">
      <c r="A18" s="18" t="s">
        <v>31</v>
      </c>
      <c r="B18" s="14">
        <v>545</v>
      </c>
      <c r="C18" s="14">
        <v>908</v>
      </c>
      <c r="D18" s="17">
        <f t="shared" si="1"/>
        <v>0.66605504587155961</v>
      </c>
    </row>
    <row r="19" spans="1:6" x14ac:dyDescent="0.3">
      <c r="A19" s="18" t="s">
        <v>32</v>
      </c>
      <c r="B19" s="14">
        <v>448</v>
      </c>
      <c r="C19" s="14">
        <v>676</v>
      </c>
      <c r="D19" s="17">
        <f t="shared" si="1"/>
        <v>0.5089285714285714</v>
      </c>
    </row>
    <row r="20" spans="1:6" x14ac:dyDescent="0.3">
      <c r="A20" s="18" t="s">
        <v>24</v>
      </c>
      <c r="B20" s="14">
        <v>14069</v>
      </c>
      <c r="C20" s="14">
        <v>33412</v>
      </c>
      <c r="D20" s="17">
        <f t="shared" si="1"/>
        <v>1.3748667282678229</v>
      </c>
    </row>
    <row r="21" spans="1:6" s="9" customFormat="1" x14ac:dyDescent="0.3">
      <c r="A21" s="29" t="s">
        <v>33</v>
      </c>
      <c r="B21" s="30">
        <f>SUM(B15:B20)</f>
        <v>209120</v>
      </c>
      <c r="C21" s="30">
        <f>SUM(C15:C20)</f>
        <v>245545</v>
      </c>
      <c r="D21" s="42">
        <f t="shared" si="1"/>
        <v>0.17418228768171384</v>
      </c>
    </row>
    <row r="22" spans="1:6" s="9" customFormat="1" x14ac:dyDescent="0.3">
      <c r="A22" s="31" t="s">
        <v>34</v>
      </c>
      <c r="B22" s="32">
        <v>5475413</v>
      </c>
      <c r="C22" s="32">
        <v>6123205</v>
      </c>
      <c r="D22" s="47">
        <f t="shared" si="1"/>
        <v>0.11830924900094295</v>
      </c>
    </row>
    <row r="23" spans="1:6" s="9" customFormat="1" ht="15.75" thickBot="1" x14ac:dyDescent="0.35">
      <c r="A23" s="26" t="s">
        <v>35</v>
      </c>
      <c r="B23" s="27">
        <f>+B21+B22</f>
        <v>5684533</v>
      </c>
      <c r="C23" s="27">
        <f>+C21+C22</f>
        <v>6368750</v>
      </c>
      <c r="D23" s="45">
        <f t="shared" si="1"/>
        <v>0.12036468079259985</v>
      </c>
      <c r="F23" s="60"/>
    </row>
    <row r="24" spans="1:6" x14ac:dyDescent="0.3">
      <c r="A24" s="18" t="s">
        <v>54</v>
      </c>
      <c r="B24" s="14">
        <v>435123458</v>
      </c>
      <c r="C24" s="14">
        <v>435123458</v>
      </c>
      <c r="D24" s="17"/>
    </row>
    <row r="25" spans="1:6" x14ac:dyDescent="0.3">
      <c r="A25" s="18" t="s">
        <v>71</v>
      </c>
      <c r="B25" s="33">
        <f>+B22/+(B24/1000000)</f>
        <v>12583.584955789718</v>
      </c>
      <c r="C25" s="33">
        <f>+C22/+(C24/1000000)</f>
        <v>14072.339441648764</v>
      </c>
      <c r="D25" s="17"/>
    </row>
    <row r="27" spans="1:6" ht="15.75" customHeight="1" x14ac:dyDescent="0.3">
      <c r="A27" s="6" t="s">
        <v>70</v>
      </c>
      <c r="B27" s="6">
        <v>2010</v>
      </c>
      <c r="C27" s="6">
        <v>2011</v>
      </c>
      <c r="D27" s="6" t="s">
        <v>46</v>
      </c>
    </row>
    <row r="28" spans="1:6" x14ac:dyDescent="0.3">
      <c r="A28" s="19" t="s">
        <v>66</v>
      </c>
      <c r="B28" s="17"/>
      <c r="C28" s="17"/>
      <c r="D28" s="34"/>
    </row>
    <row r="29" spans="1:6" x14ac:dyDescent="0.3">
      <c r="A29" s="19" t="s">
        <v>44</v>
      </c>
      <c r="B29" s="17"/>
      <c r="C29" s="17"/>
      <c r="D29" s="34"/>
    </row>
    <row r="30" spans="1:6" x14ac:dyDescent="0.3">
      <c r="A30" s="19" t="s">
        <v>45</v>
      </c>
      <c r="B30" s="17"/>
      <c r="C30" s="17"/>
      <c r="D30" s="34"/>
    </row>
    <row r="31" spans="1:6" s="9" customFormat="1" x14ac:dyDescent="0.3">
      <c r="A31" s="19" t="s">
        <v>72</v>
      </c>
      <c r="B31" s="30">
        <v>64690</v>
      </c>
      <c r="C31" s="30">
        <v>60625</v>
      </c>
      <c r="D31" s="17">
        <f>IF(B31&lt;&gt;0,(C31-B31)/B31,0)</f>
        <v>-6.2838151182562987E-2</v>
      </c>
    </row>
    <row r="32" spans="1:6" x14ac:dyDescent="0.3">
      <c r="A32" s="19" t="s">
        <v>5</v>
      </c>
      <c r="B32" s="14">
        <v>0</v>
      </c>
      <c r="C32" s="14">
        <v>0</v>
      </c>
      <c r="D32" s="17">
        <f t="shared" ref="D32:D42" si="2">IF(B32&lt;&gt;0,(C32-B32)/B32,0)</f>
        <v>0</v>
      </c>
    </row>
    <row r="33" spans="1:6" s="9" customFormat="1" x14ac:dyDescent="0.3">
      <c r="A33" s="19" t="s">
        <v>57</v>
      </c>
      <c r="B33" s="14">
        <v>3179</v>
      </c>
      <c r="C33" s="14">
        <v>7650</v>
      </c>
      <c r="D33" s="17">
        <f t="shared" si="2"/>
        <v>1.4064171122994653</v>
      </c>
    </row>
    <row r="34" spans="1:6" s="9" customFormat="1" x14ac:dyDescent="0.3">
      <c r="A34" s="19" t="s">
        <v>56</v>
      </c>
      <c r="B34" s="14">
        <v>2704</v>
      </c>
      <c r="C34" s="14">
        <v>1782</v>
      </c>
      <c r="D34" s="17">
        <f t="shared" si="2"/>
        <v>-0.34097633136094674</v>
      </c>
    </row>
    <row r="35" spans="1:6" s="9" customFormat="1" x14ac:dyDescent="0.3">
      <c r="A35" s="35" t="s">
        <v>4</v>
      </c>
      <c r="B35" s="30">
        <f>SUM(B31:B34)</f>
        <v>70573</v>
      </c>
      <c r="C35" s="30">
        <f>SUM(C31:C34)</f>
        <v>70057</v>
      </c>
      <c r="D35" s="17">
        <f t="shared" si="2"/>
        <v>-7.311578082269423E-3</v>
      </c>
    </row>
    <row r="36" spans="1:6" x14ac:dyDescent="0.3">
      <c r="A36" s="19" t="s">
        <v>58</v>
      </c>
      <c r="B36" s="14">
        <v>-5158</v>
      </c>
      <c r="C36" s="14">
        <v>-6318</v>
      </c>
      <c r="D36" s="17">
        <f t="shared" si="2"/>
        <v>0.22489336952307096</v>
      </c>
    </row>
    <row r="37" spans="1:6" s="9" customFormat="1" x14ac:dyDescent="0.3">
      <c r="A37" s="35" t="s">
        <v>42</v>
      </c>
      <c r="B37" s="30">
        <f>SUM(B35:B36)</f>
        <v>65415</v>
      </c>
      <c r="C37" s="30">
        <f>SUM(C35:C36)</f>
        <v>63739</v>
      </c>
      <c r="D37" s="17">
        <f t="shared" si="2"/>
        <v>-2.5621034930826264E-2</v>
      </c>
    </row>
    <row r="38" spans="1:6" s="9" customFormat="1" x14ac:dyDescent="0.3">
      <c r="A38" s="19" t="s">
        <v>10</v>
      </c>
      <c r="B38" s="14">
        <v>28</v>
      </c>
      <c r="C38" s="14">
        <v>30</v>
      </c>
      <c r="D38" s="17">
        <f t="shared" si="2"/>
        <v>7.1428571428571425E-2</v>
      </c>
      <c r="F38" s="60"/>
    </row>
    <row r="39" spans="1:6" x14ac:dyDescent="0.3">
      <c r="A39" s="19" t="s">
        <v>13</v>
      </c>
      <c r="B39" s="14">
        <f>-388-133</f>
        <v>-521</v>
      </c>
      <c r="C39" s="14">
        <v>-346</v>
      </c>
      <c r="D39" s="17">
        <f t="shared" si="2"/>
        <v>-0.33589251439539347</v>
      </c>
    </row>
    <row r="40" spans="1:6" s="9" customFormat="1" x14ac:dyDescent="0.3">
      <c r="A40" s="35" t="s">
        <v>43</v>
      </c>
      <c r="B40" s="30">
        <f>SUM(B37:B39)</f>
        <v>64922</v>
      </c>
      <c r="C40" s="30">
        <f>SUM(C37:C39)</f>
        <v>63423</v>
      </c>
      <c r="D40" s="17">
        <f t="shared" si="2"/>
        <v>-2.3089245556205909E-2</v>
      </c>
    </row>
    <row r="41" spans="1:6" x14ac:dyDescent="0.3">
      <c r="A41" s="19" t="s">
        <v>15</v>
      </c>
      <c r="B41" s="14">
        <v>-100</v>
      </c>
      <c r="C41" s="14">
        <v>-483</v>
      </c>
      <c r="D41" s="17">
        <f t="shared" si="2"/>
        <v>3.83</v>
      </c>
    </row>
    <row r="42" spans="1:6" ht="15.75" thickBot="1" x14ac:dyDescent="0.35">
      <c r="A42" s="36" t="s">
        <v>17</v>
      </c>
      <c r="B42" s="37">
        <f>SUM(B40:B41)</f>
        <v>64822</v>
      </c>
      <c r="C42" s="37">
        <f>SUM(C40:C41)</f>
        <v>62940</v>
      </c>
      <c r="D42" s="45">
        <f t="shared" si="2"/>
        <v>-2.9033352874024251E-2</v>
      </c>
    </row>
    <row r="44" spans="1:6" x14ac:dyDescent="0.3">
      <c r="A44" s="19"/>
      <c r="B44" s="14"/>
      <c r="C44" s="14"/>
      <c r="D44" s="17"/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29" zoomScale="87" zoomScaleNormal="87" workbookViewId="0">
      <selection activeCell="L51" sqref="L51"/>
    </sheetView>
  </sheetViews>
  <sheetFormatPr baseColWidth="10" defaultRowHeight="15" x14ac:dyDescent="0.3"/>
  <cols>
    <col min="1" max="1" width="29" style="5" customWidth="1"/>
    <col min="2" max="2" width="15.5703125" style="2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8" width="11.42578125" style="5"/>
    <col min="9" max="9" width="4.42578125" style="5" customWidth="1"/>
    <col min="10" max="10" width="11.42578125" style="5"/>
    <col min="11" max="11" width="11.42578125" style="5" customWidth="1"/>
    <col min="12" max="16384" width="11.42578125" style="5"/>
  </cols>
  <sheetData>
    <row r="1" spans="1:6" x14ac:dyDescent="0.3">
      <c r="A1" s="38" t="s">
        <v>40</v>
      </c>
    </row>
    <row r="2" spans="1:6" x14ac:dyDescent="0.3">
      <c r="A2" s="38" t="s">
        <v>65</v>
      </c>
    </row>
    <row r="3" spans="1:6" x14ac:dyDescent="0.3">
      <c r="A3" s="24" t="s">
        <v>44</v>
      </c>
    </row>
    <row r="4" spans="1:6" x14ac:dyDescent="0.3">
      <c r="A4" s="24" t="s">
        <v>45</v>
      </c>
    </row>
    <row r="6" spans="1:6" x14ac:dyDescent="0.3">
      <c r="A6" s="6" t="s">
        <v>20</v>
      </c>
      <c r="B6" s="6">
        <v>2010</v>
      </c>
      <c r="C6" s="6">
        <v>2011</v>
      </c>
      <c r="D6" s="7" t="s">
        <v>46</v>
      </c>
      <c r="E6" s="20"/>
      <c r="F6" s="23"/>
    </row>
    <row r="7" spans="1:6" x14ac:dyDescent="0.3">
      <c r="A7" s="18" t="s">
        <v>21</v>
      </c>
      <c r="B7" s="14">
        <v>150928</v>
      </c>
      <c r="C7" s="14">
        <v>142952</v>
      </c>
      <c r="D7" s="17">
        <f>+(C7-B7)/B7</f>
        <v>-5.2846390331813847E-2</v>
      </c>
      <c r="E7" s="21"/>
      <c r="F7" s="23"/>
    </row>
    <row r="8" spans="1:6" x14ac:dyDescent="0.3">
      <c r="A8" s="18" t="s">
        <v>22</v>
      </c>
      <c r="B8" s="14">
        <v>335301</v>
      </c>
      <c r="C8" s="14">
        <v>330081</v>
      </c>
      <c r="D8" s="17">
        <f t="shared" ref="D8:D16" si="0">+(C8-B8)/B8</f>
        <v>-1.5568101496864013E-2</v>
      </c>
      <c r="E8" s="21"/>
      <c r="F8" s="23"/>
    </row>
    <row r="9" spans="1:6" x14ac:dyDescent="0.3">
      <c r="A9" s="18" t="s">
        <v>23</v>
      </c>
      <c r="B9" s="14">
        <v>530092</v>
      </c>
      <c r="C9" s="14">
        <v>580616</v>
      </c>
      <c r="D9" s="17">
        <f t="shared" si="0"/>
        <v>9.5311757204409805E-2</v>
      </c>
      <c r="E9" s="21"/>
      <c r="F9" s="23"/>
    </row>
    <row r="10" spans="1:6" x14ac:dyDescent="0.3">
      <c r="A10" s="18" t="s">
        <v>36</v>
      </c>
      <c r="B10" s="14">
        <v>456838</v>
      </c>
      <c r="C10" s="14">
        <v>603158</v>
      </c>
      <c r="D10" s="17">
        <f t="shared" si="0"/>
        <v>0.3202885924550935</v>
      </c>
      <c r="E10" s="21"/>
      <c r="F10" s="23"/>
    </row>
    <row r="11" spans="1:6" x14ac:dyDescent="0.3">
      <c r="A11" s="18" t="s">
        <v>60</v>
      </c>
      <c r="B11" s="14">
        <v>918614</v>
      </c>
      <c r="C11" s="14">
        <v>991415</v>
      </c>
      <c r="D11" s="17">
        <f t="shared" si="0"/>
        <v>7.9250914965371747E-2</v>
      </c>
      <c r="E11" s="21"/>
      <c r="F11" s="23"/>
    </row>
    <row r="12" spans="1:6" x14ac:dyDescent="0.3">
      <c r="A12" s="18" t="s">
        <v>47</v>
      </c>
      <c r="B12" s="14">
        <v>739413</v>
      </c>
      <c r="C12" s="14">
        <v>914935</v>
      </c>
      <c r="D12" s="17">
        <f t="shared" si="0"/>
        <v>0.23738019212537512</v>
      </c>
      <c r="E12" s="21"/>
      <c r="F12" s="23"/>
    </row>
    <row r="13" spans="1:6" x14ac:dyDescent="0.3">
      <c r="A13" s="18" t="s">
        <v>24</v>
      </c>
      <c r="B13" s="14">
        <v>61190</v>
      </c>
      <c r="C13" s="14">
        <v>127839</v>
      </c>
      <c r="D13" s="17">
        <f t="shared" si="0"/>
        <v>1.0892139238437653</v>
      </c>
      <c r="E13" s="21"/>
      <c r="F13" s="23"/>
    </row>
    <row r="14" spans="1:6" x14ac:dyDescent="0.3">
      <c r="A14" s="18" t="s">
        <v>25</v>
      </c>
      <c r="B14" s="14">
        <v>980</v>
      </c>
      <c r="C14" s="14">
        <v>1918</v>
      </c>
      <c r="D14" s="17">
        <f t="shared" si="0"/>
        <v>0.95714285714285718</v>
      </c>
      <c r="E14" s="21"/>
      <c r="F14" s="23"/>
    </row>
    <row r="15" spans="1:6" x14ac:dyDescent="0.3">
      <c r="A15" s="18" t="s">
        <v>26</v>
      </c>
      <c r="B15" s="14">
        <v>3885263</v>
      </c>
      <c r="C15" s="14">
        <v>4453767</v>
      </c>
      <c r="D15" s="17">
        <f t="shared" si="0"/>
        <v>0.14632317040056234</v>
      </c>
      <c r="E15" s="21"/>
      <c r="F15" s="23"/>
    </row>
    <row r="16" spans="1:6" ht="15.75" thickBot="1" x14ac:dyDescent="0.35">
      <c r="A16" s="26" t="s">
        <v>27</v>
      </c>
      <c r="B16" s="27">
        <f>SUM(B7:B15)</f>
        <v>7078619</v>
      </c>
      <c r="C16" s="27">
        <f>SUM(C7:C15)</f>
        <v>8146681</v>
      </c>
      <c r="D16" s="45">
        <f t="shared" si="0"/>
        <v>0.1508856459148317</v>
      </c>
      <c r="E16" s="22"/>
      <c r="F16" s="23"/>
    </row>
    <row r="17" spans="1:6" x14ac:dyDescent="0.3">
      <c r="A17" s="1"/>
      <c r="E17" s="21"/>
      <c r="F17" s="23"/>
    </row>
    <row r="18" spans="1:6" x14ac:dyDescent="0.3">
      <c r="A18" s="6" t="s">
        <v>48</v>
      </c>
      <c r="B18" s="6">
        <v>2010</v>
      </c>
      <c r="C18" s="6">
        <v>2011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962604</v>
      </c>
      <c r="C19" s="14">
        <v>1217196</v>
      </c>
      <c r="D19" s="17">
        <f t="shared" ref="D19:D30" si="1">+(C19-B19)/B19</f>
        <v>0.26448259097198851</v>
      </c>
      <c r="E19" s="21"/>
      <c r="F19" s="23"/>
    </row>
    <row r="20" spans="1:6" x14ac:dyDescent="0.3">
      <c r="A20" s="18" t="s">
        <v>49</v>
      </c>
      <c r="B20" s="14">
        <v>140488</v>
      </c>
      <c r="C20" s="14">
        <v>175140</v>
      </c>
      <c r="D20" s="17">
        <f t="shared" si="1"/>
        <v>0.24665451853539092</v>
      </c>
      <c r="E20" s="21"/>
      <c r="F20" s="23"/>
    </row>
    <row r="21" spans="1:6" x14ac:dyDescent="0.3">
      <c r="A21" s="18" t="s">
        <v>38</v>
      </c>
      <c r="B21" s="14">
        <v>244690</v>
      </c>
      <c r="C21" s="14">
        <v>256621</v>
      </c>
      <c r="D21" s="17">
        <f t="shared" si="1"/>
        <v>4.8759655073766804E-2</v>
      </c>
      <c r="E21" s="21"/>
      <c r="F21" s="23"/>
    </row>
    <row r="22" spans="1:6" x14ac:dyDescent="0.3">
      <c r="A22" s="18" t="s">
        <v>30</v>
      </c>
      <c r="B22" s="14">
        <v>50328</v>
      </c>
      <c r="C22" s="14">
        <v>112082</v>
      </c>
      <c r="D22" s="17">
        <f t="shared" si="1"/>
        <v>1.227030678747417</v>
      </c>
      <c r="E22" s="21"/>
      <c r="F22" s="23"/>
    </row>
    <row r="23" spans="1:6" x14ac:dyDescent="0.3">
      <c r="A23" s="18" t="s">
        <v>31</v>
      </c>
      <c r="B23" s="14">
        <v>38673</v>
      </c>
      <c r="C23" s="14">
        <v>68008</v>
      </c>
      <c r="D23" s="17">
        <f t="shared" si="1"/>
        <v>0.75853954955653813</v>
      </c>
      <c r="E23" s="21"/>
      <c r="F23" s="23"/>
    </row>
    <row r="24" spans="1:6" x14ac:dyDescent="0.3">
      <c r="A24" s="18" t="s">
        <v>32</v>
      </c>
      <c r="B24" s="14">
        <v>123876</v>
      </c>
      <c r="C24" s="14">
        <v>119419</v>
      </c>
      <c r="D24" s="17">
        <f t="shared" si="1"/>
        <v>-3.5979527915011786E-2</v>
      </c>
      <c r="E24" s="21"/>
      <c r="F24" s="23"/>
    </row>
    <row r="25" spans="1:6" x14ac:dyDescent="0.3">
      <c r="A25" s="18" t="s">
        <v>24</v>
      </c>
      <c r="B25" s="14">
        <v>46388</v>
      </c>
      <c r="C25" s="14">
        <v>59708</v>
      </c>
      <c r="D25" s="17">
        <f t="shared" si="1"/>
        <v>0.28714322669655945</v>
      </c>
      <c r="E25" s="21"/>
      <c r="F25" s="23"/>
    </row>
    <row r="26" spans="1:6" x14ac:dyDescent="0.3">
      <c r="A26" s="18" t="s">
        <v>0</v>
      </c>
      <c r="B26" s="14">
        <v>1139</v>
      </c>
      <c r="C26" s="14">
        <v>5690</v>
      </c>
      <c r="D26" s="17">
        <f t="shared" si="1"/>
        <v>3.9956101843722562</v>
      </c>
      <c r="E26" s="21"/>
      <c r="F26" s="23"/>
    </row>
    <row r="27" spans="1:6" x14ac:dyDescent="0.3">
      <c r="A27" s="18" t="s">
        <v>33</v>
      </c>
      <c r="B27" s="14">
        <f>SUM(B19:B26)</f>
        <v>1608186</v>
      </c>
      <c r="C27" s="14">
        <f>SUM(C19:C26)</f>
        <v>2013864</v>
      </c>
      <c r="D27" s="17">
        <f t="shared" si="1"/>
        <v>0.25225813432028382</v>
      </c>
      <c r="E27" s="21"/>
      <c r="F27" s="23"/>
    </row>
    <row r="28" spans="1:6" x14ac:dyDescent="0.3">
      <c r="A28" s="18" t="s">
        <v>39</v>
      </c>
      <c r="B28" s="14">
        <v>3699</v>
      </c>
      <c r="C28" s="14">
        <v>13367</v>
      </c>
      <c r="D28" s="17">
        <f t="shared" si="1"/>
        <v>2.6136793728034604</v>
      </c>
      <c r="E28" s="21"/>
      <c r="F28" s="23"/>
    </row>
    <row r="29" spans="1:6" x14ac:dyDescent="0.3">
      <c r="A29" s="32" t="s">
        <v>34</v>
      </c>
      <c r="B29" s="32">
        <v>5466734</v>
      </c>
      <c r="C29" s="32">
        <v>6119450</v>
      </c>
      <c r="D29" s="47">
        <f t="shared" si="1"/>
        <v>0.1193977976612727</v>
      </c>
      <c r="E29" s="22"/>
      <c r="F29" s="22"/>
    </row>
    <row r="30" spans="1:6" ht="15.75" thickBot="1" x14ac:dyDescent="0.35">
      <c r="A30" s="27" t="s">
        <v>35</v>
      </c>
      <c r="B30" s="27">
        <f>+B27+B28+B29</f>
        <v>7078619</v>
      </c>
      <c r="C30" s="27">
        <f>+C27+C28+C29</f>
        <v>8146681</v>
      </c>
      <c r="D30" s="45">
        <f t="shared" si="1"/>
        <v>0.1508856459148317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8" x14ac:dyDescent="0.3">
      <c r="A33" s="41" t="s">
        <v>66</v>
      </c>
      <c r="B33" s="14"/>
      <c r="C33" s="14"/>
      <c r="D33" s="17"/>
    </row>
    <row r="34" spans="1:8" x14ac:dyDescent="0.3">
      <c r="A34" s="41" t="s">
        <v>44</v>
      </c>
      <c r="B34" s="14"/>
      <c r="C34" s="14"/>
      <c r="D34" s="17"/>
    </row>
    <row r="35" spans="1:8" x14ac:dyDescent="0.3">
      <c r="A35" s="41" t="s">
        <v>45</v>
      </c>
      <c r="B35" s="14"/>
      <c r="C35" s="14"/>
      <c r="D35" s="17"/>
    </row>
    <row r="36" spans="1:8" x14ac:dyDescent="0.3">
      <c r="A36" s="6"/>
      <c r="B36" s="6">
        <v>2010</v>
      </c>
      <c r="C36" s="6" t="s">
        <v>55</v>
      </c>
      <c r="D36" s="6">
        <v>2011</v>
      </c>
      <c r="E36" s="6" t="s">
        <v>55</v>
      </c>
      <c r="F36" s="7" t="s">
        <v>46</v>
      </c>
    </row>
    <row r="37" spans="1:8" s="9" customFormat="1" x14ac:dyDescent="0.3">
      <c r="A37" s="30" t="s">
        <v>4</v>
      </c>
      <c r="B37" s="50">
        <v>1021412</v>
      </c>
      <c r="C37" s="42">
        <v>1</v>
      </c>
      <c r="D37" s="50">
        <v>1149123</v>
      </c>
      <c r="E37" s="42">
        <v>1</v>
      </c>
      <c r="F37" s="17">
        <f>IF(B37&lt;&gt;0,(D37-B37)/B37,0)</f>
        <v>0.125033776771763</v>
      </c>
      <c r="G37" s="8"/>
    </row>
    <row r="38" spans="1:8" x14ac:dyDescent="0.3">
      <c r="A38" s="14" t="s">
        <v>50</v>
      </c>
      <c r="B38" s="51">
        <v>-619750</v>
      </c>
      <c r="C38" s="17">
        <f t="shared" ref="C38:C56" si="2">+B38/$B$37</f>
        <v>-0.60675809565581762</v>
      </c>
      <c r="D38" s="51">
        <v>-686128</v>
      </c>
      <c r="E38" s="17">
        <f>+D38/$D$37</f>
        <v>-0.59708838827523247</v>
      </c>
      <c r="F38" s="17">
        <f t="shared" ref="F38:F54" si="3">IF(B38&lt;&gt;0,(D38-B38)/B38,0)</f>
        <v>0.10710447761194029</v>
      </c>
    </row>
    <row r="39" spans="1:8" s="9" customFormat="1" x14ac:dyDescent="0.3">
      <c r="A39" s="30" t="s">
        <v>6</v>
      </c>
      <c r="B39" s="30">
        <f>SUM(B37:B38)</f>
        <v>401662</v>
      </c>
      <c r="C39" s="42">
        <f t="shared" si="2"/>
        <v>0.39324190434418238</v>
      </c>
      <c r="D39" s="30">
        <f>SUM(D37:D38)</f>
        <v>462995</v>
      </c>
      <c r="E39" s="42">
        <f t="shared" ref="E39:E56" si="4">+D39/$D$37</f>
        <v>0.40291161172476747</v>
      </c>
      <c r="F39" s="17">
        <f t="shared" si="3"/>
        <v>0.1526980396452739</v>
      </c>
      <c r="G39" s="8"/>
    </row>
    <row r="40" spans="1:8" x14ac:dyDescent="0.3">
      <c r="A40" s="14" t="s">
        <v>7</v>
      </c>
      <c r="B40" s="14">
        <v>-51905</v>
      </c>
      <c r="C40" s="17">
        <f t="shared" si="2"/>
        <v>-5.0816908358233506E-2</v>
      </c>
      <c r="D40" s="14">
        <v>-60137</v>
      </c>
      <c r="E40" s="17">
        <f t="shared" si="4"/>
        <v>-5.2332953043320862E-2</v>
      </c>
      <c r="F40" s="17">
        <f t="shared" si="3"/>
        <v>0.15859743762643291</v>
      </c>
    </row>
    <row r="41" spans="1:8" x14ac:dyDescent="0.3">
      <c r="A41" s="14" t="s">
        <v>8</v>
      </c>
      <c r="B41" s="14">
        <v>-238008</v>
      </c>
      <c r="C41" s="17">
        <f t="shared" si="2"/>
        <v>-0.23301860561653867</v>
      </c>
      <c r="D41" s="14">
        <v>-273436</v>
      </c>
      <c r="E41" s="17">
        <f t="shared" si="4"/>
        <v>-0.23795189896991009</v>
      </c>
      <c r="F41" s="17">
        <f t="shared" si="3"/>
        <v>0.14885213942388492</v>
      </c>
    </row>
    <row r="42" spans="1:8" x14ac:dyDescent="0.3">
      <c r="A42" s="14" t="s">
        <v>84</v>
      </c>
      <c r="B42" s="14"/>
      <c r="C42" s="17">
        <f>+B42/$B$37</f>
        <v>0</v>
      </c>
      <c r="D42" s="14">
        <v>-24055</v>
      </c>
      <c r="E42" s="17">
        <f t="shared" si="4"/>
        <v>-2.0933355263100643E-2</v>
      </c>
      <c r="F42" s="17">
        <f t="shared" si="3"/>
        <v>0</v>
      </c>
    </row>
    <row r="43" spans="1:8" s="9" customFormat="1" x14ac:dyDescent="0.3">
      <c r="A43" s="30" t="s">
        <v>9</v>
      </c>
      <c r="B43" s="30">
        <f>SUM(B40:B42)</f>
        <v>-289913</v>
      </c>
      <c r="C43" s="42">
        <f>+B43/$B$37</f>
        <v>-0.28383551397477219</v>
      </c>
      <c r="D43" s="30">
        <f>SUM(D40:D42)</f>
        <v>-357628</v>
      </c>
      <c r="E43" s="42">
        <f t="shared" si="4"/>
        <v>-0.31121820727633159</v>
      </c>
      <c r="F43" s="17">
        <f t="shared" si="3"/>
        <v>0.23357007102130639</v>
      </c>
      <c r="G43" s="8"/>
    </row>
    <row r="44" spans="1:8" s="9" customFormat="1" x14ac:dyDescent="0.3">
      <c r="A44" s="30" t="s">
        <v>1</v>
      </c>
      <c r="B44" s="30">
        <f>+B39+B43</f>
        <v>111749</v>
      </c>
      <c r="C44" s="42">
        <f t="shared" si="2"/>
        <v>0.10940639036941019</v>
      </c>
      <c r="D44" s="30">
        <f>+D39+D43</f>
        <v>105367</v>
      </c>
      <c r="E44" s="42">
        <f t="shared" si="4"/>
        <v>9.1693404448435892E-2</v>
      </c>
      <c r="F44" s="17">
        <f t="shared" si="3"/>
        <v>-5.7110130739424961E-2</v>
      </c>
      <c r="G44" s="8"/>
      <c r="H44" s="60"/>
    </row>
    <row r="45" spans="1:8" x14ac:dyDescent="0.3">
      <c r="A45" s="14" t="s">
        <v>51</v>
      </c>
      <c r="B45" s="14">
        <v>1111</v>
      </c>
      <c r="C45" s="17">
        <f t="shared" si="2"/>
        <v>1.087709954455205E-3</v>
      </c>
      <c r="D45" s="14">
        <v>710.5</v>
      </c>
      <c r="E45" s="17">
        <f t="shared" si="4"/>
        <v>6.182976060874249E-4</v>
      </c>
      <c r="F45" s="17">
        <v>-0.36099999999999999</v>
      </c>
    </row>
    <row r="46" spans="1:8" x14ac:dyDescent="0.3">
      <c r="A46" s="14" t="s">
        <v>11</v>
      </c>
      <c r="B46" s="14">
        <v>-17664</v>
      </c>
      <c r="C46" s="17">
        <f t="shared" si="2"/>
        <v>-1.7293707142661336E-2</v>
      </c>
      <c r="D46" s="14">
        <v>-22186</v>
      </c>
      <c r="E46" s="17">
        <f t="shared" si="4"/>
        <v>-1.9306897520979041E-2</v>
      </c>
      <c r="F46" s="17">
        <f t="shared" si="3"/>
        <v>0.25600090579710144</v>
      </c>
    </row>
    <row r="47" spans="1:8" x14ac:dyDescent="0.3">
      <c r="A47" s="14" t="s">
        <v>12</v>
      </c>
      <c r="B47" s="14">
        <v>-3006</v>
      </c>
      <c r="C47" s="17">
        <f t="shared" si="2"/>
        <v>-2.9429848092640382E-3</v>
      </c>
      <c r="D47" s="14">
        <v>204</v>
      </c>
      <c r="E47" s="17">
        <f t="shared" si="4"/>
        <v>1.7752668774360968E-4</v>
      </c>
      <c r="F47" s="17">
        <f t="shared" si="3"/>
        <v>-1.0678642714570858</v>
      </c>
    </row>
    <row r="48" spans="1:8" x14ac:dyDescent="0.3">
      <c r="A48" s="14" t="s">
        <v>52</v>
      </c>
      <c r="B48" s="14">
        <v>1391</v>
      </c>
      <c r="C48" s="17">
        <f t="shared" si="2"/>
        <v>1.3618402760100722E-3</v>
      </c>
      <c r="D48" s="14">
        <v>1895</v>
      </c>
      <c r="E48" s="17">
        <f t="shared" si="4"/>
        <v>1.6490836925202959E-3</v>
      </c>
      <c r="F48" s="17">
        <f t="shared" si="3"/>
        <v>0.3623292595255212</v>
      </c>
    </row>
    <row r="49" spans="1:7" x14ac:dyDescent="0.3">
      <c r="A49" s="14" t="s">
        <v>14</v>
      </c>
      <c r="B49" s="14">
        <v>7197</v>
      </c>
      <c r="C49" s="17">
        <f t="shared" si="2"/>
        <v>7.0461283008227829E-3</v>
      </c>
      <c r="D49" s="14">
        <v>7703</v>
      </c>
      <c r="E49" s="17">
        <f t="shared" si="4"/>
        <v>6.7033729200442422E-3</v>
      </c>
      <c r="F49" s="17">
        <f t="shared" si="3"/>
        <v>7.0307072391274136E-2</v>
      </c>
    </row>
    <row r="50" spans="1:7" x14ac:dyDescent="0.3">
      <c r="A50" s="14" t="s">
        <v>16</v>
      </c>
      <c r="B50" s="14">
        <v>0</v>
      </c>
      <c r="C50" s="17">
        <f t="shared" si="2"/>
        <v>0</v>
      </c>
      <c r="D50" s="14">
        <v>-5</v>
      </c>
      <c r="E50" s="17">
        <f t="shared" si="4"/>
        <v>-4.3511443074414139E-6</v>
      </c>
      <c r="F50" s="17">
        <f t="shared" si="3"/>
        <v>0</v>
      </c>
    </row>
    <row r="51" spans="1:7" s="9" customFormat="1" x14ac:dyDescent="0.3">
      <c r="A51" s="30" t="s">
        <v>2</v>
      </c>
      <c r="B51" s="30">
        <f>SUM(B45:B50)</f>
        <v>-10971</v>
      </c>
      <c r="C51" s="42">
        <f t="shared" si="2"/>
        <v>-1.0741013420637314E-2</v>
      </c>
      <c r="D51" s="30">
        <f>SUM(D45:D50)</f>
        <v>-11678.5</v>
      </c>
      <c r="E51" s="42">
        <f t="shared" si="4"/>
        <v>-1.016296775889091E-2</v>
      </c>
      <c r="F51" s="17">
        <v>6.5000000000000002E-2</v>
      </c>
      <c r="G51" s="8"/>
    </row>
    <row r="52" spans="1:7" s="9" customFormat="1" x14ac:dyDescent="0.3">
      <c r="A52" s="30" t="s">
        <v>41</v>
      </c>
      <c r="B52" s="30">
        <f>+B44+B51</f>
        <v>100778</v>
      </c>
      <c r="C52" s="42">
        <f t="shared" si="2"/>
        <v>9.8665376948772879E-2</v>
      </c>
      <c r="D52" s="30">
        <f>+D44+D51-1</f>
        <v>93687.5</v>
      </c>
      <c r="E52" s="42">
        <f t="shared" si="4"/>
        <v>8.1529566460683489E-2</v>
      </c>
      <c r="F52" s="17">
        <f t="shared" si="3"/>
        <v>-7.0357617734029251E-2</v>
      </c>
      <c r="G52" s="8"/>
    </row>
    <row r="53" spans="1:7" x14ac:dyDescent="0.3">
      <c r="A53" s="14" t="s">
        <v>15</v>
      </c>
      <c r="B53" s="14">
        <v>-31110</v>
      </c>
      <c r="C53" s="17">
        <f t="shared" si="2"/>
        <v>-3.0457836798471135E-2</v>
      </c>
      <c r="D53" s="14">
        <v>-35670</v>
      </c>
      <c r="E53" s="17">
        <f t="shared" si="4"/>
        <v>-3.1041063489287049E-2</v>
      </c>
      <c r="F53" s="17">
        <f t="shared" si="3"/>
        <v>0.14657666345226616</v>
      </c>
    </row>
    <row r="54" spans="1:7" x14ac:dyDescent="0.3">
      <c r="A54" s="14" t="s">
        <v>18</v>
      </c>
      <c r="B54" s="14">
        <v>-164</v>
      </c>
      <c r="C54" s="17">
        <f t="shared" si="2"/>
        <v>-1.605620454821365E-4</v>
      </c>
      <c r="D54" s="14">
        <v>-373</v>
      </c>
      <c r="E54" s="17">
        <f t="shared" si="4"/>
        <v>-3.245953653351295E-4</v>
      </c>
      <c r="F54" s="17">
        <f t="shared" si="3"/>
        <v>1.274390243902439</v>
      </c>
    </row>
    <row r="55" spans="1:7" s="9" customFormat="1" x14ac:dyDescent="0.3">
      <c r="A55" s="43" t="s">
        <v>17</v>
      </c>
      <c r="B55" s="43">
        <f>+B52+B53+B54</f>
        <v>69504</v>
      </c>
      <c r="C55" s="44">
        <f t="shared" si="2"/>
        <v>6.8046978104819605E-2</v>
      </c>
      <c r="D55" s="43">
        <f>+D52+D53+D54</f>
        <v>57644.5</v>
      </c>
      <c r="E55" s="44">
        <f t="shared" si="4"/>
        <v>5.016390760606132E-2</v>
      </c>
      <c r="F55" s="44">
        <f>+(D55-B55)/B55</f>
        <v>-0.17063046731123388</v>
      </c>
      <c r="G55" s="8"/>
    </row>
    <row r="56" spans="1:7" s="9" customFormat="1" ht="15.75" thickBot="1" x14ac:dyDescent="0.35">
      <c r="A56" s="27" t="s">
        <v>19</v>
      </c>
      <c r="B56" s="27">
        <v>136156</v>
      </c>
      <c r="C56" s="45">
        <f t="shared" si="2"/>
        <v>0.13330174307723033</v>
      </c>
      <c r="D56" s="27">
        <v>138298.12778788002</v>
      </c>
      <c r="E56" s="45">
        <f t="shared" si="4"/>
        <v>0.12035102229080788</v>
      </c>
      <c r="F56" s="45">
        <f>+(D56-B56)/B56</f>
        <v>1.5732893062957325E-2</v>
      </c>
      <c r="G56" s="8"/>
    </row>
    <row r="57" spans="1:7" x14ac:dyDescent="0.3">
      <c r="A57" s="2"/>
      <c r="C57" s="3"/>
      <c r="D57" s="10"/>
    </row>
    <row r="58" spans="1:7" x14ac:dyDescent="0.3">
      <c r="A58" s="19" t="s">
        <v>53</v>
      </c>
      <c r="B58" s="14"/>
      <c r="C58" s="14"/>
      <c r="D58" s="14"/>
    </row>
    <row r="59" spans="1:7" x14ac:dyDescent="0.3">
      <c r="D59" s="10"/>
    </row>
  </sheetData>
  <pageMargins left="0.70866141732283472" right="0.43307086614173229" top="0.43307086614173229" bottom="0.51181102362204722" header="0.31496062992125984" footer="0.31496062992125984"/>
  <pageSetup scale="85" orientation="portrait" r:id="rId1"/>
  <headerFooter>
    <oddFooter>&amp;C&amp;A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86" zoomScaleNormal="86" workbookViewId="0">
      <selection sqref="A1:XFD1048576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16384" width="11.42578125" style="5"/>
  </cols>
  <sheetData>
    <row r="1" spans="1:6" x14ac:dyDescent="0.3">
      <c r="A1" s="24" t="s">
        <v>69</v>
      </c>
    </row>
    <row r="2" spans="1:6" x14ac:dyDescent="0.3">
      <c r="A2" s="24" t="s">
        <v>77</v>
      </c>
    </row>
    <row r="3" spans="1:6" x14ac:dyDescent="0.3">
      <c r="A3" s="24" t="s">
        <v>44</v>
      </c>
    </row>
    <row r="4" spans="1:6" x14ac:dyDescent="0.3">
      <c r="A4" s="24" t="s">
        <v>45</v>
      </c>
    </row>
    <row r="5" spans="1:6" ht="12" customHeight="1" x14ac:dyDescent="0.3"/>
    <row r="6" spans="1:6" x14ac:dyDescent="0.3">
      <c r="A6" s="6" t="s">
        <v>20</v>
      </c>
      <c r="B6" s="6">
        <v>2010</v>
      </c>
      <c r="C6" s="6">
        <v>2011</v>
      </c>
      <c r="D6" s="7" t="s">
        <v>46</v>
      </c>
    </row>
    <row r="7" spans="1:6" x14ac:dyDescent="0.3">
      <c r="A7" s="18" t="s">
        <v>21</v>
      </c>
      <c r="B7" s="14">
        <v>173</v>
      </c>
      <c r="C7" s="14">
        <v>149</v>
      </c>
      <c r="D7" s="17">
        <f t="shared" ref="D7:D13" si="0">IF(B7&lt;&gt;0,(C7-B7)/B7,0)</f>
        <v>-0.13872832369942195</v>
      </c>
    </row>
    <row r="8" spans="1:6" x14ac:dyDescent="0.3">
      <c r="A8" s="18" t="s">
        <v>22</v>
      </c>
      <c r="B8" s="14">
        <v>3790314</v>
      </c>
      <c r="C8" s="14">
        <v>2776673</v>
      </c>
      <c r="D8" s="17">
        <f t="shared" si="0"/>
        <v>-0.26742929477610561</v>
      </c>
    </row>
    <row r="9" spans="1:6" s="11" customFormat="1" ht="14.25" customHeight="1" x14ac:dyDescent="0.3">
      <c r="A9" s="18" t="s">
        <v>23</v>
      </c>
      <c r="B9" s="14">
        <v>19794</v>
      </c>
      <c r="C9" s="14">
        <v>58389</v>
      </c>
      <c r="D9" s="17">
        <f t="shared" si="0"/>
        <v>1.9498332828129736</v>
      </c>
      <c r="E9" s="5"/>
      <c r="F9" s="5"/>
    </row>
    <row r="10" spans="1:6" s="11" customFormat="1" hidden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</row>
    <row r="11" spans="1:6" s="11" customFormat="1" x14ac:dyDescent="0.3">
      <c r="A11" s="18" t="s">
        <v>59</v>
      </c>
      <c r="B11" s="14">
        <v>155</v>
      </c>
      <c r="C11" s="14">
        <v>658</v>
      </c>
      <c r="D11" s="17">
        <f t="shared" si="0"/>
        <v>3.2451612903225806</v>
      </c>
      <c r="E11" s="5"/>
      <c r="F11" s="5"/>
    </row>
    <row r="12" spans="1:6" s="11" customFormat="1" x14ac:dyDescent="0.3">
      <c r="A12" s="18" t="s">
        <v>26</v>
      </c>
      <c r="B12" s="14">
        <v>1952853</v>
      </c>
      <c r="C12" s="14">
        <v>3539600</v>
      </c>
      <c r="D12" s="17">
        <f t="shared" si="0"/>
        <v>0.81252761984645028</v>
      </c>
      <c r="E12" s="5"/>
      <c r="F12" s="5"/>
    </row>
    <row r="13" spans="1:6" s="11" customFormat="1" ht="15.75" thickBot="1" x14ac:dyDescent="0.35">
      <c r="A13" s="26" t="s">
        <v>27</v>
      </c>
      <c r="B13" s="27">
        <f>SUM(B7:B12)</f>
        <v>5763289</v>
      </c>
      <c r="C13" s="27">
        <f>SUM(C7:C12)</f>
        <v>6375469</v>
      </c>
      <c r="D13" s="46">
        <f t="shared" si="0"/>
        <v>0.10622059730129792</v>
      </c>
      <c r="E13" s="5"/>
      <c r="F13" s="5"/>
    </row>
    <row r="15" spans="1:6" s="11" customFormat="1" x14ac:dyDescent="0.3">
      <c r="A15" s="6" t="s">
        <v>48</v>
      </c>
      <c r="B15" s="6">
        <v>2010</v>
      </c>
      <c r="C15" s="6">
        <v>2011</v>
      </c>
      <c r="D15" s="7" t="s">
        <v>46</v>
      </c>
      <c r="E15" s="5"/>
      <c r="F15" s="5"/>
    </row>
    <row r="16" spans="1:6" s="11" customFormat="1" x14ac:dyDescent="0.3">
      <c r="A16" s="18" t="s">
        <v>28</v>
      </c>
      <c r="B16" s="14">
        <v>23</v>
      </c>
      <c r="C16" s="14">
        <v>0</v>
      </c>
      <c r="D16" s="17">
        <f t="shared" ref="D16:D24" si="1">IF(B16&lt;&gt;0,(C16-B16)/B16,0)</f>
        <v>-1</v>
      </c>
      <c r="E16" s="5"/>
      <c r="F16" s="5"/>
    </row>
    <row r="17" spans="1:6" s="11" customFormat="1" x14ac:dyDescent="0.3">
      <c r="A17" s="18" t="s">
        <v>29</v>
      </c>
      <c r="B17" s="14">
        <v>158905</v>
      </c>
      <c r="C17" s="14">
        <v>143615</v>
      </c>
      <c r="D17" s="17">
        <f t="shared" si="1"/>
        <v>-9.6221012554671026E-2</v>
      </c>
      <c r="E17" s="5"/>
      <c r="F17" s="5"/>
    </row>
    <row r="18" spans="1:6" x14ac:dyDescent="0.3">
      <c r="A18" s="18" t="s">
        <v>30</v>
      </c>
      <c r="B18" s="14">
        <v>415</v>
      </c>
      <c r="C18" s="14">
        <v>1102</v>
      </c>
      <c r="D18" s="17">
        <f t="shared" si="1"/>
        <v>1.655421686746988</v>
      </c>
    </row>
    <row r="19" spans="1:6" x14ac:dyDescent="0.3">
      <c r="A19" s="18" t="s">
        <v>31</v>
      </c>
      <c r="B19" s="14">
        <v>176</v>
      </c>
      <c r="C19" s="14">
        <v>260</v>
      </c>
      <c r="D19" s="17">
        <f t="shared" si="1"/>
        <v>0.47727272727272729</v>
      </c>
    </row>
    <row r="20" spans="1:6" x14ac:dyDescent="0.3">
      <c r="A20" s="18" t="s">
        <v>32</v>
      </c>
      <c r="B20" s="14">
        <v>1053</v>
      </c>
      <c r="C20" s="14">
        <f>636-C19</f>
        <v>376</v>
      </c>
      <c r="D20" s="17">
        <f t="shared" si="1"/>
        <v>-0.64292497625830958</v>
      </c>
    </row>
    <row r="21" spans="1:6" x14ac:dyDescent="0.3">
      <c r="A21" s="18" t="s">
        <v>24</v>
      </c>
      <c r="B21" s="14">
        <v>10416</v>
      </c>
      <c r="C21" s="14">
        <f>24888+1</f>
        <v>24889</v>
      </c>
      <c r="D21" s="17">
        <f t="shared" si="1"/>
        <v>1.3894969278033795</v>
      </c>
    </row>
    <row r="22" spans="1:6" s="9" customFormat="1" x14ac:dyDescent="0.3">
      <c r="A22" s="29" t="s">
        <v>33</v>
      </c>
      <c r="B22" s="30">
        <f>SUM(B16:B21)</f>
        <v>170988</v>
      </c>
      <c r="C22" s="30">
        <f>SUM(C16:C21)</f>
        <v>170242</v>
      </c>
      <c r="D22" s="42">
        <f t="shared" si="1"/>
        <v>-4.3628792663812669E-3</v>
      </c>
      <c r="F22" s="5"/>
    </row>
    <row r="23" spans="1:6" s="9" customFormat="1" x14ac:dyDescent="0.3">
      <c r="A23" s="31" t="s">
        <v>34</v>
      </c>
      <c r="B23" s="32">
        <v>5592301</v>
      </c>
      <c r="C23" s="32">
        <v>6205227</v>
      </c>
      <c r="D23" s="47">
        <f t="shared" si="1"/>
        <v>0.1096017542689494</v>
      </c>
      <c r="F23" s="5"/>
    </row>
    <row r="24" spans="1:6" s="9" customFormat="1" ht="15.75" thickBot="1" x14ac:dyDescent="0.35">
      <c r="A24" s="26" t="s">
        <v>35</v>
      </c>
      <c r="B24" s="27">
        <f>+B22+B23</f>
        <v>5763289</v>
      </c>
      <c r="C24" s="27">
        <f>+C22+C23</f>
        <v>6375469</v>
      </c>
      <c r="D24" s="45">
        <f t="shared" si="1"/>
        <v>0.10622059730129792</v>
      </c>
      <c r="F24" s="5"/>
    </row>
    <row r="25" spans="1:6" x14ac:dyDescent="0.3">
      <c r="A25" s="18" t="s">
        <v>54</v>
      </c>
      <c r="B25" s="14">
        <v>435123458</v>
      </c>
      <c r="C25" s="14">
        <v>435123458</v>
      </c>
      <c r="D25" s="17"/>
    </row>
    <row r="26" spans="1:6" x14ac:dyDescent="0.3">
      <c r="A26" s="18" t="s">
        <v>71</v>
      </c>
      <c r="B26" s="33">
        <f>+B23/+(B25/1000000)</f>
        <v>12852.216760972698</v>
      </c>
      <c r="C26" s="33">
        <f>+C23/+(C25/1000000)</f>
        <v>14260.8422642201</v>
      </c>
      <c r="D26" s="17"/>
    </row>
    <row r="28" spans="1:6" ht="15.75" customHeight="1" x14ac:dyDescent="0.3">
      <c r="A28" s="6" t="s">
        <v>70</v>
      </c>
      <c r="B28" s="6">
        <v>2010</v>
      </c>
      <c r="C28" s="6">
        <v>2011</v>
      </c>
      <c r="D28" s="6" t="s">
        <v>46</v>
      </c>
    </row>
    <row r="29" spans="1:6" x14ac:dyDescent="0.3">
      <c r="A29" s="19" t="s">
        <v>64</v>
      </c>
      <c r="B29" s="17"/>
      <c r="C29" s="17"/>
      <c r="D29" s="34"/>
    </row>
    <row r="30" spans="1:6" x14ac:dyDescent="0.3">
      <c r="A30" s="19" t="s">
        <v>44</v>
      </c>
      <c r="B30" s="17"/>
      <c r="C30" s="17"/>
      <c r="D30" s="34"/>
    </row>
    <row r="31" spans="1:6" x14ac:dyDescent="0.3">
      <c r="A31" s="19" t="s">
        <v>45</v>
      </c>
      <c r="B31" s="17"/>
      <c r="C31" s="17"/>
      <c r="D31" s="34"/>
    </row>
    <row r="32" spans="1:6" s="9" customFormat="1" x14ac:dyDescent="0.3">
      <c r="A32" s="19" t="s">
        <v>72</v>
      </c>
      <c r="B32" s="30">
        <v>110577</v>
      </c>
      <c r="C32" s="30">
        <v>96973</v>
      </c>
      <c r="D32" s="17">
        <f>IF(B32&lt;&gt;0,(C32-B32)/B32,0)</f>
        <v>-0.1230273926765964</v>
      </c>
      <c r="F32" s="5"/>
    </row>
    <row r="33" spans="1:6" hidden="1" x14ac:dyDescent="0.3">
      <c r="A33" s="19" t="s">
        <v>5</v>
      </c>
      <c r="B33" s="14">
        <v>0</v>
      </c>
      <c r="C33" s="14">
        <v>0</v>
      </c>
      <c r="D33" s="17">
        <f t="shared" ref="D33:D43" si="2">IF(B33&lt;&gt;0,(C33-B33)/B33,0)</f>
        <v>0</v>
      </c>
    </row>
    <row r="34" spans="1:6" s="9" customFormat="1" x14ac:dyDescent="0.3">
      <c r="A34" s="19" t="s">
        <v>57</v>
      </c>
      <c r="B34" s="14">
        <v>6832</v>
      </c>
      <c r="C34" s="14">
        <v>16839</v>
      </c>
      <c r="D34" s="17">
        <f t="shared" si="2"/>
        <v>1.4647248243559718</v>
      </c>
      <c r="F34" s="5"/>
    </row>
    <row r="35" spans="1:6" s="9" customFormat="1" x14ac:dyDescent="0.3">
      <c r="A35" s="19" t="s">
        <v>56</v>
      </c>
      <c r="B35" s="14">
        <v>6123</v>
      </c>
      <c r="C35" s="14">
        <v>3564</v>
      </c>
      <c r="D35" s="17">
        <f t="shared" si="2"/>
        <v>-0.41793238608525235</v>
      </c>
      <c r="F35" s="5"/>
    </row>
    <row r="36" spans="1:6" s="9" customFormat="1" x14ac:dyDescent="0.3">
      <c r="A36" s="35" t="s">
        <v>4</v>
      </c>
      <c r="B36" s="30">
        <f>SUM(B32:B35)</f>
        <v>123532</v>
      </c>
      <c r="C36" s="30">
        <f>SUM(C32:C35)</f>
        <v>117376</v>
      </c>
      <c r="D36" s="17">
        <f t="shared" si="2"/>
        <v>-4.9833241589223844E-2</v>
      </c>
      <c r="F36" s="5"/>
    </row>
    <row r="37" spans="1:6" x14ac:dyDescent="0.3">
      <c r="A37" s="19" t="s">
        <v>58</v>
      </c>
      <c r="B37" s="14">
        <v>-5159</v>
      </c>
      <c r="C37" s="14">
        <v>-4222</v>
      </c>
      <c r="D37" s="17">
        <f t="shared" si="2"/>
        <v>-0.18162434580345027</v>
      </c>
    </row>
    <row r="38" spans="1:6" s="9" customFormat="1" x14ac:dyDescent="0.3">
      <c r="A38" s="35" t="s">
        <v>42</v>
      </c>
      <c r="B38" s="30">
        <f>SUM(B36:B37)</f>
        <v>118373</v>
      </c>
      <c r="C38" s="30">
        <f>SUM(C36:C37)</f>
        <v>113154</v>
      </c>
      <c r="D38" s="17">
        <f t="shared" si="2"/>
        <v>-4.4089446073006515E-2</v>
      </c>
      <c r="F38" s="5"/>
    </row>
    <row r="39" spans="1:6" s="9" customFormat="1" x14ac:dyDescent="0.3">
      <c r="A39" s="19" t="s">
        <v>10</v>
      </c>
      <c r="B39" s="14">
        <v>40</v>
      </c>
      <c r="C39" s="14">
        <v>60</v>
      </c>
      <c r="D39" s="17">
        <f t="shared" si="2"/>
        <v>0.5</v>
      </c>
      <c r="F39" s="5"/>
    </row>
    <row r="40" spans="1:6" x14ac:dyDescent="0.3">
      <c r="A40" s="19" t="s">
        <v>13</v>
      </c>
      <c r="B40" s="14">
        <v>-266</v>
      </c>
      <c r="C40" s="14">
        <v>-1086</v>
      </c>
      <c r="D40" s="17">
        <f t="shared" si="2"/>
        <v>3.0827067669172932</v>
      </c>
    </row>
    <row r="41" spans="1:6" s="9" customFormat="1" x14ac:dyDescent="0.3">
      <c r="A41" s="35" t="s">
        <v>43</v>
      </c>
      <c r="B41" s="30">
        <f>SUM(B38:B40)</f>
        <v>118147</v>
      </c>
      <c r="C41" s="30">
        <f>SUM(C38:C40)</f>
        <v>112128</v>
      </c>
      <c r="D41" s="17">
        <f t="shared" si="2"/>
        <v>-5.0945009183474825E-2</v>
      </c>
      <c r="F41" s="5"/>
    </row>
    <row r="42" spans="1:6" x14ac:dyDescent="0.3">
      <c r="A42" s="19" t="s">
        <v>15</v>
      </c>
      <c r="B42" s="14">
        <v>-196</v>
      </c>
      <c r="C42" s="14">
        <v>-55</v>
      </c>
      <c r="D42" s="17">
        <f t="shared" si="2"/>
        <v>-0.71938775510204078</v>
      </c>
    </row>
    <row r="43" spans="1:6" ht="15.75" thickBot="1" x14ac:dyDescent="0.35">
      <c r="A43" s="36" t="s">
        <v>17</v>
      </c>
      <c r="B43" s="37">
        <f>SUM(B41:B42)</f>
        <v>117951</v>
      </c>
      <c r="C43" s="37">
        <f>SUM(C41:C42)</f>
        <v>112073</v>
      </c>
      <c r="D43" s="45">
        <f t="shared" si="2"/>
        <v>-4.983425320684013E-2</v>
      </c>
    </row>
    <row r="45" spans="1:6" x14ac:dyDescent="0.3">
      <c r="A45" s="19"/>
      <c r="B45" s="14"/>
      <c r="D45" s="17"/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opLeftCell="A29" zoomScale="87" zoomScaleNormal="87" workbookViewId="0">
      <selection activeCell="A29" sqref="A1:XFD1048576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12" x14ac:dyDescent="0.3">
      <c r="A1" s="38" t="s">
        <v>40</v>
      </c>
      <c r="I1" s="61"/>
      <c r="J1" s="61"/>
      <c r="K1" s="61"/>
      <c r="L1" s="61"/>
    </row>
    <row r="2" spans="1:12" x14ac:dyDescent="0.3">
      <c r="A2" s="38" t="s">
        <v>63</v>
      </c>
      <c r="I2" s="61"/>
      <c r="J2" s="61"/>
      <c r="K2" s="61"/>
      <c r="L2" s="61"/>
    </row>
    <row r="3" spans="1:12" x14ac:dyDescent="0.3">
      <c r="A3" s="24" t="s">
        <v>44</v>
      </c>
    </row>
    <row r="4" spans="1:12" x14ac:dyDescent="0.3">
      <c r="A4" s="24" t="s">
        <v>45</v>
      </c>
    </row>
    <row r="6" spans="1:12" x14ac:dyDescent="0.3">
      <c r="A6" s="6" t="s">
        <v>20</v>
      </c>
      <c r="B6" s="6">
        <v>2010</v>
      </c>
      <c r="C6" s="6">
        <v>2011</v>
      </c>
      <c r="D6" s="7" t="s">
        <v>46</v>
      </c>
      <c r="E6" s="20"/>
      <c r="F6" s="23"/>
    </row>
    <row r="7" spans="1:12" x14ac:dyDescent="0.3">
      <c r="A7" s="18" t="s">
        <v>21</v>
      </c>
      <c r="B7" s="14">
        <v>119283</v>
      </c>
      <c r="C7" s="14">
        <v>134429</v>
      </c>
      <c r="D7" s="17">
        <f>+(C7-B7)/B7</f>
        <v>0.12697534434915286</v>
      </c>
      <c r="E7" s="21"/>
      <c r="F7" s="23"/>
    </row>
    <row r="8" spans="1:12" x14ac:dyDescent="0.3">
      <c r="A8" s="18" t="s">
        <v>22</v>
      </c>
      <c r="B8" s="14">
        <v>334998</v>
      </c>
      <c r="C8" s="14">
        <v>329795</v>
      </c>
      <c r="D8" s="17">
        <f t="shared" ref="D8:D16" si="0">+(C8-B8)/B8</f>
        <v>-1.5531436008573185E-2</v>
      </c>
      <c r="E8" s="21"/>
      <c r="F8" s="23"/>
    </row>
    <row r="9" spans="1:12" x14ac:dyDescent="0.3">
      <c r="A9" s="18" t="s">
        <v>23</v>
      </c>
      <c r="B9" s="14">
        <v>536436</v>
      </c>
      <c r="C9" s="14">
        <v>591193</v>
      </c>
      <c r="D9" s="17">
        <f t="shared" si="0"/>
        <v>0.10207555048505321</v>
      </c>
      <c r="E9" s="21"/>
      <c r="F9" s="23"/>
    </row>
    <row r="10" spans="1:12" x14ac:dyDescent="0.3">
      <c r="A10" s="18" t="s">
        <v>36</v>
      </c>
      <c r="B10" s="14">
        <v>511302</v>
      </c>
      <c r="C10" s="14">
        <v>620566</v>
      </c>
      <c r="D10" s="17">
        <f t="shared" si="0"/>
        <v>0.2136975799038533</v>
      </c>
      <c r="E10" s="21"/>
      <c r="F10" s="23"/>
    </row>
    <row r="11" spans="1:12" x14ac:dyDescent="0.3">
      <c r="A11" s="18" t="s">
        <v>60</v>
      </c>
      <c r="B11" s="14">
        <v>928346</v>
      </c>
      <c r="C11" s="14">
        <v>991250</v>
      </c>
      <c r="D11" s="17">
        <f t="shared" si="0"/>
        <v>6.7759219084263841E-2</v>
      </c>
      <c r="E11" s="21"/>
      <c r="F11" s="23"/>
    </row>
    <row r="12" spans="1:12" x14ac:dyDescent="0.3">
      <c r="A12" s="18" t="s">
        <v>47</v>
      </c>
      <c r="B12" s="14">
        <v>729989</v>
      </c>
      <c r="C12" s="14">
        <v>888285</v>
      </c>
      <c r="D12" s="17">
        <f t="shared" si="0"/>
        <v>0.2168471031755273</v>
      </c>
      <c r="E12" s="21"/>
      <c r="F12" s="23"/>
    </row>
    <row r="13" spans="1:12" x14ac:dyDescent="0.3">
      <c r="A13" s="18" t="s">
        <v>24</v>
      </c>
      <c r="B13" s="14">
        <f>63639</f>
        <v>63639</v>
      </c>
      <c r="C13" s="14">
        <v>131447</v>
      </c>
      <c r="D13" s="17">
        <f t="shared" si="0"/>
        <v>1.0655101431512124</v>
      </c>
      <c r="E13" s="21"/>
      <c r="F13" s="23"/>
    </row>
    <row r="14" spans="1:12" x14ac:dyDescent="0.3">
      <c r="A14" s="18" t="s">
        <v>25</v>
      </c>
      <c r="B14" s="14">
        <v>967</v>
      </c>
      <c r="C14" s="14">
        <v>2325</v>
      </c>
      <c r="D14" s="17">
        <f t="shared" si="0"/>
        <v>1.4043433298862462</v>
      </c>
      <c r="E14" s="21"/>
      <c r="F14" s="23"/>
    </row>
    <row r="15" spans="1:12" x14ac:dyDescent="0.3">
      <c r="A15" s="18" t="s">
        <v>26</v>
      </c>
      <c r="B15" s="14">
        <v>3953164</v>
      </c>
      <c r="C15" s="14">
        <v>4512109</v>
      </c>
      <c r="D15" s="17">
        <f t="shared" si="0"/>
        <v>0.14139180666423148</v>
      </c>
      <c r="E15" s="21"/>
      <c r="F15" s="23"/>
    </row>
    <row r="16" spans="1:12" ht="15.75" thickBot="1" x14ac:dyDescent="0.35">
      <c r="A16" s="26" t="s">
        <v>27</v>
      </c>
      <c r="B16" s="27">
        <f>SUM(B7:B15)</f>
        <v>7178124</v>
      </c>
      <c r="C16" s="27">
        <f>SUM(C7:C15)</f>
        <v>8201399</v>
      </c>
      <c r="D16" s="45">
        <f t="shared" si="0"/>
        <v>0.14255465634196343</v>
      </c>
      <c r="E16" s="22"/>
      <c r="F16" s="23"/>
    </row>
    <row r="17" spans="1:6" x14ac:dyDescent="0.3">
      <c r="A17" s="1"/>
      <c r="C17" s="14"/>
      <c r="E17" s="21"/>
      <c r="F17" s="23"/>
    </row>
    <row r="18" spans="1:6" x14ac:dyDescent="0.3">
      <c r="A18" s="6" t="s">
        <v>48</v>
      </c>
      <c r="B18" s="6">
        <v>2010</v>
      </c>
      <c r="C18" s="6">
        <v>2011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909586</v>
      </c>
      <c r="C19" s="14">
        <v>1182313</v>
      </c>
      <c r="D19" s="17">
        <f t="shared" ref="D19:D30" si="1">+(C19-B19)/B19</f>
        <v>0.29983640909160869</v>
      </c>
      <c r="E19" s="21"/>
      <c r="F19" s="23"/>
    </row>
    <row r="20" spans="1:6" x14ac:dyDescent="0.3">
      <c r="A20" s="18" t="s">
        <v>49</v>
      </c>
      <c r="B20" s="14">
        <v>108192</v>
      </c>
      <c r="C20" s="14">
        <v>156545</v>
      </c>
      <c r="D20" s="17">
        <f t="shared" si="1"/>
        <v>0.44691844128955932</v>
      </c>
      <c r="E20" s="21"/>
      <c r="F20" s="23"/>
    </row>
    <row r="21" spans="1:6" x14ac:dyDescent="0.3">
      <c r="A21" s="18" t="s">
        <v>38</v>
      </c>
      <c r="B21" s="14">
        <v>255329</v>
      </c>
      <c r="C21" s="14">
        <v>245133</v>
      </c>
      <c r="D21" s="17">
        <f t="shared" si="1"/>
        <v>-3.9932792593085784E-2</v>
      </c>
      <c r="E21" s="21"/>
      <c r="F21" s="23"/>
    </row>
    <row r="22" spans="1:6" x14ac:dyDescent="0.3">
      <c r="A22" s="18" t="s">
        <v>30</v>
      </c>
      <c r="B22" s="14">
        <v>59321</v>
      </c>
      <c r="C22" s="14">
        <v>134089</v>
      </c>
      <c r="D22" s="17">
        <f t="shared" si="1"/>
        <v>1.2603968240589336</v>
      </c>
      <c r="E22" s="21"/>
      <c r="F22" s="23"/>
    </row>
    <row r="23" spans="1:6" x14ac:dyDescent="0.3">
      <c r="A23" s="18" t="s">
        <v>31</v>
      </c>
      <c r="B23" s="14">
        <v>39290</v>
      </c>
      <c r="C23" s="14">
        <v>44914</v>
      </c>
      <c r="D23" s="17">
        <f t="shared" si="1"/>
        <v>0.1431407482820056</v>
      </c>
      <c r="E23" s="21"/>
      <c r="F23" s="23"/>
    </row>
    <row r="24" spans="1:6" x14ac:dyDescent="0.3">
      <c r="A24" s="18" t="s">
        <v>32</v>
      </c>
      <c r="B24" s="14">
        <v>160042</v>
      </c>
      <c r="C24" s="14">
        <v>142956</v>
      </c>
      <c r="D24" s="17">
        <f t="shared" si="1"/>
        <v>-0.10675947563764512</v>
      </c>
      <c r="E24" s="21"/>
      <c r="F24" s="23"/>
    </row>
    <row r="25" spans="1:6" x14ac:dyDescent="0.3">
      <c r="A25" s="18" t="s">
        <v>24</v>
      </c>
      <c r="B25" s="14">
        <v>51362</v>
      </c>
      <c r="C25" s="14">
        <v>69193</v>
      </c>
      <c r="D25" s="17">
        <f t="shared" si="1"/>
        <v>0.34716327245823758</v>
      </c>
      <c r="E25" s="21"/>
      <c r="F25" s="23"/>
    </row>
    <row r="26" spans="1:6" x14ac:dyDescent="0.3">
      <c r="A26" s="18" t="s">
        <v>0</v>
      </c>
      <c r="B26" s="14">
        <v>2980</v>
      </c>
      <c r="C26" s="14">
        <v>3341</v>
      </c>
      <c r="D26" s="17">
        <f t="shared" si="1"/>
        <v>0.12114093959731544</v>
      </c>
      <c r="E26" s="21"/>
      <c r="F26" s="23"/>
    </row>
    <row r="27" spans="1:6" x14ac:dyDescent="0.3">
      <c r="A27" s="18" t="s">
        <v>33</v>
      </c>
      <c r="B27" s="30">
        <f>SUM(B19:B26)</f>
        <v>1586102</v>
      </c>
      <c r="C27" s="30">
        <f>SUM(C19:C26)</f>
        <v>1978484</v>
      </c>
      <c r="D27" s="17">
        <f t="shared" si="1"/>
        <v>0.24738762072048329</v>
      </c>
      <c r="E27" s="21"/>
      <c r="F27" s="23"/>
    </row>
    <row r="28" spans="1:6" x14ac:dyDescent="0.3">
      <c r="A28" s="18" t="s">
        <v>39</v>
      </c>
      <c r="B28" s="14">
        <v>3835</v>
      </c>
      <c r="C28" s="14">
        <v>14306</v>
      </c>
      <c r="D28" s="17">
        <f t="shared" si="1"/>
        <v>2.7303780964797912</v>
      </c>
      <c r="E28" s="21"/>
      <c r="F28" s="23"/>
    </row>
    <row r="29" spans="1:6" x14ac:dyDescent="0.3">
      <c r="A29" s="32" t="s">
        <v>34</v>
      </c>
      <c r="B29" s="32">
        <v>5588187</v>
      </c>
      <c r="C29" s="32">
        <v>6208609</v>
      </c>
      <c r="D29" s="47">
        <f t="shared" si="1"/>
        <v>0.11102384369027021</v>
      </c>
      <c r="E29" s="22"/>
      <c r="F29" s="22"/>
    </row>
    <row r="30" spans="1:6" ht="15.75" thickBot="1" x14ac:dyDescent="0.35">
      <c r="A30" s="27" t="s">
        <v>35</v>
      </c>
      <c r="B30" s="27">
        <f>+B27+B28+B29</f>
        <v>7178124</v>
      </c>
      <c r="C30" s="27">
        <f>+C27+C28+C29</f>
        <v>8201399</v>
      </c>
      <c r="D30" s="45">
        <f t="shared" si="1"/>
        <v>0.14255465634196343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19" x14ac:dyDescent="0.3">
      <c r="A33" s="41" t="s">
        <v>64</v>
      </c>
      <c r="B33" s="14"/>
      <c r="C33" s="14"/>
      <c r="D33" s="17"/>
    </row>
    <row r="34" spans="1:19" x14ac:dyDescent="0.3">
      <c r="A34" s="41" t="s">
        <v>44</v>
      </c>
      <c r="B34" s="14"/>
      <c r="C34" s="14"/>
      <c r="D34" s="17"/>
    </row>
    <row r="35" spans="1:19" x14ac:dyDescent="0.3">
      <c r="A35" s="41" t="s">
        <v>45</v>
      </c>
      <c r="B35" s="14"/>
      <c r="C35" s="14"/>
      <c r="D35" s="17"/>
    </row>
    <row r="36" spans="1:19" x14ac:dyDescent="0.3">
      <c r="A36" s="6"/>
      <c r="B36" s="6">
        <v>2010</v>
      </c>
      <c r="C36" s="6" t="s">
        <v>55</v>
      </c>
      <c r="D36" s="6">
        <v>2011</v>
      </c>
      <c r="E36" s="6" t="s">
        <v>55</v>
      </c>
      <c r="F36" s="7" t="s">
        <v>46</v>
      </c>
    </row>
    <row r="37" spans="1:19" s="9" customFormat="1" x14ac:dyDescent="0.3">
      <c r="A37" s="30" t="s">
        <v>4</v>
      </c>
      <c r="B37" s="50">
        <v>2078760</v>
      </c>
      <c r="C37" s="42">
        <v>1</v>
      </c>
      <c r="D37" s="50">
        <v>2340233</v>
      </c>
      <c r="E37" s="42">
        <v>1</v>
      </c>
      <c r="F37" s="17">
        <f>IF(B37&lt;&gt;0,(D37-B37)/B37,0)</f>
        <v>0.1257831591910562</v>
      </c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3">
      <c r="A38" s="14" t="s">
        <v>50</v>
      </c>
      <c r="B38" s="51">
        <v>-1257579</v>
      </c>
      <c r="C38" s="17">
        <f t="shared" ref="C38:C56" si="2">+B38/$B$37</f>
        <v>-0.60496594123419734</v>
      </c>
      <c r="D38" s="51">
        <v>-1408050</v>
      </c>
      <c r="E38" s="17">
        <f>+D38/$D$37</f>
        <v>-0.6016708592691411</v>
      </c>
      <c r="F38" s="17">
        <f t="shared" ref="F38:F54" si="3">IF(B38&lt;&gt;0,(D38-B38)/B38,0)</f>
        <v>0.11965133005560684</v>
      </c>
    </row>
    <row r="39" spans="1:19" s="9" customFormat="1" x14ac:dyDescent="0.3">
      <c r="A39" s="30" t="s">
        <v>6</v>
      </c>
      <c r="B39" s="30">
        <f>SUM(B37:B38)</f>
        <v>821181</v>
      </c>
      <c r="C39" s="42">
        <f t="shared" si="2"/>
        <v>0.39503405876580266</v>
      </c>
      <c r="D39" s="30">
        <f>SUM(D37:D38)</f>
        <v>932183</v>
      </c>
      <c r="E39" s="42">
        <f t="shared" ref="E39:E56" si="4">+D39/$D$37</f>
        <v>0.39832914073085884</v>
      </c>
      <c r="F39" s="17">
        <f t="shared" si="3"/>
        <v>0.13517360971576303</v>
      </c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3">
      <c r="A40" s="14" t="s">
        <v>7</v>
      </c>
      <c r="B40" s="14">
        <v>-107201</v>
      </c>
      <c r="C40" s="17">
        <f t="shared" si="2"/>
        <v>-5.1569685774211546E-2</v>
      </c>
      <c r="D40" s="14">
        <v>-121989</v>
      </c>
      <c r="E40" s="17">
        <f t="shared" si="4"/>
        <v>-5.2126860872400316E-2</v>
      </c>
      <c r="F40" s="17">
        <f t="shared" si="3"/>
        <v>0.13794647437990318</v>
      </c>
    </row>
    <row r="41" spans="1:19" x14ac:dyDescent="0.3">
      <c r="A41" s="14" t="s">
        <v>8</v>
      </c>
      <c r="B41" s="14">
        <v>-501112</v>
      </c>
      <c r="C41" s="17">
        <f t="shared" si="2"/>
        <v>-0.241062941368893</v>
      </c>
      <c r="D41" s="14">
        <v>-543665</v>
      </c>
      <c r="E41" s="17">
        <f t="shared" si="4"/>
        <v>-0.23231233813043403</v>
      </c>
      <c r="F41" s="17">
        <f t="shared" si="3"/>
        <v>8.4917144271140985E-2</v>
      </c>
    </row>
    <row r="42" spans="1:19" x14ac:dyDescent="0.3">
      <c r="A42" s="14" t="s">
        <v>84</v>
      </c>
      <c r="B42" s="14"/>
      <c r="C42" s="17">
        <f t="shared" si="2"/>
        <v>0</v>
      </c>
      <c r="D42" s="14">
        <v>-52555</v>
      </c>
      <c r="E42" s="17">
        <f t="shared" ref="E42" si="5">+D42/$D$37</f>
        <v>-2.2457165589922029E-2</v>
      </c>
      <c r="F42" s="17">
        <f t="shared" ref="F42" si="6">IF(B42&lt;&gt;0,(D42-B42)/B42,0)</f>
        <v>0</v>
      </c>
    </row>
    <row r="43" spans="1:19" s="9" customFormat="1" x14ac:dyDescent="0.3">
      <c r="A43" s="30" t="s">
        <v>9</v>
      </c>
      <c r="B43" s="30">
        <f>SUM(B40:B42)</f>
        <v>-608313</v>
      </c>
      <c r="C43" s="42">
        <f t="shared" si="2"/>
        <v>-0.29263262714310456</v>
      </c>
      <c r="D43" s="30">
        <f>SUM(D40:D42)</f>
        <v>-718209</v>
      </c>
      <c r="E43" s="42">
        <f t="shared" si="4"/>
        <v>-0.30689636459275638</v>
      </c>
      <c r="F43" s="17">
        <f t="shared" si="3"/>
        <v>0.18065699730237558</v>
      </c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s="9" customFormat="1" x14ac:dyDescent="0.3">
      <c r="A44" s="30" t="s">
        <v>1</v>
      </c>
      <c r="B44" s="30">
        <f>+B39+B43</f>
        <v>212868</v>
      </c>
      <c r="C44" s="42">
        <f t="shared" si="2"/>
        <v>0.10240143162269814</v>
      </c>
      <c r="D44" s="30">
        <f>+D39+D43</f>
        <v>213974</v>
      </c>
      <c r="E44" s="42">
        <f t="shared" si="4"/>
        <v>9.1432776138102481E-2</v>
      </c>
      <c r="F44" s="17">
        <f t="shared" si="3"/>
        <v>5.1957081383768346E-3</v>
      </c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3">
      <c r="A45" s="14" t="s">
        <v>51</v>
      </c>
      <c r="B45" s="14">
        <v>1962</v>
      </c>
      <c r="C45" s="17">
        <f t="shared" si="2"/>
        <v>9.4383189978641108E-4</v>
      </c>
      <c r="D45" s="14">
        <v>2642</v>
      </c>
      <c r="E45" s="17">
        <f t="shared" si="4"/>
        <v>1.1289474167743127E-3</v>
      </c>
      <c r="F45" s="17">
        <f t="shared" si="3"/>
        <v>0.34658511722731905</v>
      </c>
    </row>
    <row r="46" spans="1:19" x14ac:dyDescent="0.3">
      <c r="A46" s="14" t="s">
        <v>11</v>
      </c>
      <c r="B46" s="14">
        <v>-37169</v>
      </c>
      <c r="C46" s="17">
        <f t="shared" si="2"/>
        <v>-1.7880370990398121E-2</v>
      </c>
      <c r="D46" s="14">
        <v>-45293</v>
      </c>
      <c r="E46" s="17">
        <f t="shared" si="4"/>
        <v>-1.9354055771369776E-2</v>
      </c>
      <c r="F46" s="17">
        <f t="shared" si="3"/>
        <v>0.21856923780569829</v>
      </c>
    </row>
    <row r="47" spans="1:19" x14ac:dyDescent="0.3">
      <c r="A47" s="14" t="s">
        <v>12</v>
      </c>
      <c r="B47" s="14">
        <v>-6747</v>
      </c>
      <c r="C47" s="17">
        <f t="shared" si="2"/>
        <v>-3.2456849275529641E-3</v>
      </c>
      <c r="D47" s="14">
        <v>925</v>
      </c>
      <c r="E47" s="17">
        <f t="shared" si="4"/>
        <v>3.9525978823476123E-4</v>
      </c>
      <c r="F47" s="17">
        <f t="shared" si="3"/>
        <v>-1.1370979694679118</v>
      </c>
    </row>
    <row r="48" spans="1:19" x14ac:dyDescent="0.3">
      <c r="A48" s="14" t="s">
        <v>52</v>
      </c>
      <c r="B48" s="14">
        <v>-5404</v>
      </c>
      <c r="C48" s="17">
        <f t="shared" si="2"/>
        <v>-2.5996267005330099E-3</v>
      </c>
      <c r="D48" s="14">
        <v>-761</v>
      </c>
      <c r="E48" s="17">
        <f t="shared" si="4"/>
        <v>-3.2518129605043603E-4</v>
      </c>
      <c r="F48" s="17">
        <f t="shared" si="3"/>
        <v>-0.85917838638045896</v>
      </c>
    </row>
    <row r="49" spans="1:19" x14ac:dyDescent="0.3">
      <c r="A49" s="14" t="s">
        <v>14</v>
      </c>
      <c r="B49" s="14">
        <v>15210</v>
      </c>
      <c r="C49" s="17">
        <f t="shared" si="2"/>
        <v>7.3168619754084164E-3</v>
      </c>
      <c r="D49" s="14">
        <v>16895</v>
      </c>
      <c r="E49" s="17">
        <f t="shared" si="4"/>
        <v>7.219366618623017E-3</v>
      </c>
      <c r="F49" s="17">
        <f t="shared" si="3"/>
        <v>0.11078238001314925</v>
      </c>
    </row>
    <row r="50" spans="1:19" x14ac:dyDescent="0.3">
      <c r="A50" s="14" t="s">
        <v>16</v>
      </c>
      <c r="B50" s="14">
        <v>-160</v>
      </c>
      <c r="C50" s="17">
        <f t="shared" si="2"/>
        <v>-7.6968962265966249E-5</v>
      </c>
      <c r="D50" s="14">
        <v>-112</v>
      </c>
      <c r="E50" s="17">
        <f t="shared" si="4"/>
        <v>-4.7858482467344066E-5</v>
      </c>
      <c r="F50" s="17">
        <f t="shared" si="3"/>
        <v>-0.3</v>
      </c>
    </row>
    <row r="51" spans="1:19" s="9" customFormat="1" x14ac:dyDescent="0.3">
      <c r="A51" s="30" t="s">
        <v>2</v>
      </c>
      <c r="B51" s="30">
        <f>SUM(B45:B50)</f>
        <v>-32308</v>
      </c>
      <c r="C51" s="42">
        <f t="shared" si="2"/>
        <v>-1.5541957705555234E-2</v>
      </c>
      <c r="D51" s="30">
        <f>SUM(D45:D50)</f>
        <v>-25704</v>
      </c>
      <c r="E51" s="42">
        <f t="shared" si="4"/>
        <v>-1.0983521726255463E-2</v>
      </c>
      <c r="F51" s="17">
        <f t="shared" si="3"/>
        <v>-0.20440757707069457</v>
      </c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s="9" customFormat="1" x14ac:dyDescent="0.3">
      <c r="A52" s="30" t="s">
        <v>41</v>
      </c>
      <c r="B52" s="30">
        <f>+B44+B51</f>
        <v>180560</v>
      </c>
      <c r="C52" s="42">
        <f t="shared" si="2"/>
        <v>8.685947391714291E-2</v>
      </c>
      <c r="D52" s="30">
        <f>+D44+D51</f>
        <v>188270</v>
      </c>
      <c r="E52" s="42">
        <f t="shared" si="4"/>
        <v>8.0449254411847027E-2</v>
      </c>
      <c r="F52" s="17">
        <f t="shared" si="3"/>
        <v>4.2700487372618522E-2</v>
      </c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3">
      <c r="A53" s="14" t="s">
        <v>15</v>
      </c>
      <c r="B53" s="14">
        <v>-55664</v>
      </c>
      <c r="C53" s="17">
        <f t="shared" si="2"/>
        <v>-2.6777501972329656E-2</v>
      </c>
      <c r="D53" s="14">
        <v>-72274</v>
      </c>
      <c r="E53" s="17">
        <f t="shared" si="4"/>
        <v>-3.0883249659328794E-2</v>
      </c>
      <c r="F53" s="17">
        <f t="shared" si="3"/>
        <v>0.29839752802529462</v>
      </c>
    </row>
    <row r="54" spans="1:19" x14ac:dyDescent="0.3">
      <c r="A54" s="14" t="s">
        <v>18</v>
      </c>
      <c r="B54" s="14">
        <v>-299</v>
      </c>
      <c r="C54" s="17">
        <f t="shared" si="2"/>
        <v>-1.4383574823452442E-4</v>
      </c>
      <c r="D54" s="14">
        <v>-1456</v>
      </c>
      <c r="E54" s="17">
        <f t="shared" si="4"/>
        <v>-6.2216027207547279E-4</v>
      </c>
      <c r="F54" s="17">
        <f t="shared" si="3"/>
        <v>3.8695652173913042</v>
      </c>
    </row>
    <row r="55" spans="1:19" s="9" customFormat="1" x14ac:dyDescent="0.3">
      <c r="A55" s="43" t="s">
        <v>17</v>
      </c>
      <c r="B55" s="43">
        <f>+B52+B53+B54</f>
        <v>124597</v>
      </c>
      <c r="C55" s="44">
        <f t="shared" si="2"/>
        <v>5.9938136196578728E-2</v>
      </c>
      <c r="D55" s="43">
        <f>+D52+D53+D54</f>
        <v>114540</v>
      </c>
      <c r="E55" s="44">
        <f t="shared" si="4"/>
        <v>4.8943844480442762E-2</v>
      </c>
      <c r="F55" s="44">
        <f>+(D55-B55)/B55</f>
        <v>-8.0716229122691552E-2</v>
      </c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s="9" customFormat="1" ht="15.75" thickBot="1" x14ac:dyDescent="0.35">
      <c r="A56" s="27" t="s">
        <v>19</v>
      </c>
      <c r="B56" s="27">
        <v>261229</v>
      </c>
      <c r="C56" s="45">
        <f t="shared" si="2"/>
        <v>0.12566578152360061</v>
      </c>
      <c r="D56" s="27">
        <v>280849</v>
      </c>
      <c r="E56" s="45">
        <f t="shared" si="4"/>
        <v>0.12000899055777779</v>
      </c>
      <c r="F56" s="45">
        <f>+(D56-B56)/B56</f>
        <v>7.5106515739064197E-2</v>
      </c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3">
      <c r="A57" s="2"/>
      <c r="C57" s="3"/>
      <c r="D57" s="10"/>
    </row>
    <row r="58" spans="1:19" x14ac:dyDescent="0.3">
      <c r="A58" s="19" t="s">
        <v>53</v>
      </c>
      <c r="B58" s="14"/>
      <c r="C58" s="14"/>
      <c r="D58" s="17"/>
    </row>
    <row r="59" spans="1:19" x14ac:dyDescent="0.3">
      <c r="D59" s="10"/>
    </row>
  </sheetData>
  <pageMargins left="0.70866141732283472" right="0.43307086614173229" top="0.43307086614173229" bottom="0.51181102362204722" header="0.31496062992125984" footer="0.31496062992125984"/>
  <pageSetup scale="85" orientation="portrait" r:id="rId1"/>
  <headerFooter>
    <oddFooter>&amp;C&amp;A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="86" zoomScaleNormal="86" workbookViewId="0">
      <selection sqref="A1:XFD1048576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16384" width="11.42578125" style="5"/>
  </cols>
  <sheetData>
    <row r="1" spans="1:10" x14ac:dyDescent="0.3">
      <c r="A1" s="24" t="s">
        <v>69</v>
      </c>
    </row>
    <row r="2" spans="1:10" x14ac:dyDescent="0.3">
      <c r="A2" s="24" t="s">
        <v>78</v>
      </c>
    </row>
    <row r="3" spans="1:10" x14ac:dyDescent="0.3">
      <c r="A3" s="24" t="s">
        <v>44</v>
      </c>
    </row>
    <row r="4" spans="1:10" x14ac:dyDescent="0.3">
      <c r="A4" s="24" t="s">
        <v>45</v>
      </c>
    </row>
    <row r="5" spans="1:10" ht="12" customHeight="1" x14ac:dyDescent="0.3"/>
    <row r="6" spans="1:10" x14ac:dyDescent="0.3">
      <c r="A6" s="6" t="s">
        <v>20</v>
      </c>
      <c r="B6" s="6">
        <v>2010</v>
      </c>
      <c r="C6" s="6">
        <v>2011</v>
      </c>
      <c r="D6" s="7" t="s">
        <v>46</v>
      </c>
    </row>
    <row r="7" spans="1:10" x14ac:dyDescent="0.3">
      <c r="A7" s="18" t="s">
        <v>21</v>
      </c>
      <c r="B7" s="14">
        <v>618</v>
      </c>
      <c r="C7" s="14">
        <v>19526</v>
      </c>
      <c r="D7" s="17">
        <f t="shared" ref="D7:D13" si="0">IF(B7&lt;&gt;0,(C7-B7)/B7,0)</f>
        <v>30.595469255663431</v>
      </c>
    </row>
    <row r="8" spans="1:10" x14ac:dyDescent="0.3">
      <c r="A8" s="18" t="s">
        <v>22</v>
      </c>
      <c r="B8" s="14">
        <v>2628396</v>
      </c>
      <c r="C8" s="14">
        <v>3391681</v>
      </c>
      <c r="D8" s="17">
        <f t="shared" si="0"/>
        <v>0.29039954405652724</v>
      </c>
    </row>
    <row r="9" spans="1:10" s="11" customFormat="1" ht="14.25" customHeight="1" x14ac:dyDescent="0.3">
      <c r="A9" s="18" t="s">
        <v>23</v>
      </c>
      <c r="B9" s="14">
        <v>37824</v>
      </c>
      <c r="C9" s="14">
        <v>216302</v>
      </c>
      <c r="D9" s="17">
        <f t="shared" si="0"/>
        <v>4.7186442470389167</v>
      </c>
      <c r="E9" s="5"/>
      <c r="F9" s="5"/>
      <c r="H9" s="5"/>
      <c r="I9" s="5"/>
      <c r="J9" s="5"/>
    </row>
    <row r="10" spans="1:10" s="11" customFormat="1" hidden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  <c r="H10" s="5"/>
      <c r="I10" s="5"/>
      <c r="J10" s="5"/>
    </row>
    <row r="11" spans="1:10" s="11" customFormat="1" x14ac:dyDescent="0.3">
      <c r="A11" s="18" t="s">
        <v>59</v>
      </c>
      <c r="B11" s="14">
        <f>110+155</f>
        <v>265</v>
      </c>
      <c r="C11" s="14">
        <f>503+155</f>
        <v>658</v>
      </c>
      <c r="D11" s="17">
        <f t="shared" si="0"/>
        <v>1.4830188679245282</v>
      </c>
      <c r="E11" s="5"/>
      <c r="F11" s="5"/>
      <c r="H11" s="5"/>
      <c r="I11" s="5"/>
      <c r="J11" s="5"/>
    </row>
    <row r="12" spans="1:10" s="11" customFormat="1" x14ac:dyDescent="0.3">
      <c r="A12" s="18" t="s">
        <v>26</v>
      </c>
      <c r="B12" s="14">
        <v>3880021</v>
      </c>
      <c r="C12" s="14">
        <v>3141857</v>
      </c>
      <c r="D12" s="17">
        <f t="shared" si="0"/>
        <v>-0.19024742391858188</v>
      </c>
      <c r="E12" s="5"/>
      <c r="F12" s="5"/>
      <c r="H12" s="5"/>
      <c r="I12" s="5"/>
      <c r="J12" s="5"/>
    </row>
    <row r="13" spans="1:10" s="11" customFormat="1" ht="15.75" thickBot="1" x14ac:dyDescent="0.35">
      <c r="A13" s="26" t="s">
        <v>27</v>
      </c>
      <c r="B13" s="27">
        <f>SUM(B7:B12)</f>
        <v>6547124</v>
      </c>
      <c r="C13" s="27">
        <f>SUM(C7:C12)</f>
        <v>6770024</v>
      </c>
      <c r="D13" s="46">
        <f t="shared" si="0"/>
        <v>3.4045483177040786E-2</v>
      </c>
      <c r="E13" s="5"/>
      <c r="F13" s="5"/>
      <c r="H13" s="5"/>
      <c r="I13" s="5"/>
      <c r="J13" s="5"/>
    </row>
    <row r="15" spans="1:10" s="11" customFormat="1" x14ac:dyDescent="0.3">
      <c r="A15" s="6" t="s">
        <v>48</v>
      </c>
      <c r="B15" s="6">
        <v>2010</v>
      </c>
      <c r="C15" s="6">
        <v>2011</v>
      </c>
      <c r="D15" s="7" t="s">
        <v>46</v>
      </c>
      <c r="E15" s="5"/>
      <c r="F15" s="5"/>
      <c r="H15" s="5"/>
      <c r="I15" s="5"/>
      <c r="J15" s="5"/>
    </row>
    <row r="16" spans="1:10" s="11" customFormat="1" hidden="1" x14ac:dyDescent="0.3">
      <c r="A16" s="18" t="s">
        <v>28</v>
      </c>
      <c r="B16" s="14">
        <v>0</v>
      </c>
      <c r="C16" s="14">
        <v>0</v>
      </c>
      <c r="D16" s="17">
        <f t="shared" ref="D16:D24" si="1">IF(B16&lt;&gt;0,(C16-B16)/B16,0)</f>
        <v>0</v>
      </c>
      <c r="E16" s="5"/>
      <c r="F16" s="5"/>
      <c r="H16" s="5"/>
      <c r="I16" s="5"/>
      <c r="J16" s="5"/>
    </row>
    <row r="17" spans="1:10" s="11" customFormat="1" x14ac:dyDescent="0.3">
      <c r="A17" s="18" t="s">
        <v>29</v>
      </c>
      <c r="B17" s="14">
        <v>111269</v>
      </c>
      <c r="C17" s="14">
        <v>301838</v>
      </c>
      <c r="D17" s="17">
        <f t="shared" si="1"/>
        <v>1.7126872713873587</v>
      </c>
      <c r="E17" s="5"/>
      <c r="F17" s="5"/>
      <c r="H17" s="5"/>
      <c r="I17" s="5"/>
      <c r="J17" s="5"/>
    </row>
    <row r="18" spans="1:10" x14ac:dyDescent="0.3">
      <c r="A18" s="18" t="s">
        <v>30</v>
      </c>
      <c r="B18" s="14">
        <v>298</v>
      </c>
      <c r="C18" s="14">
        <v>1269</v>
      </c>
      <c r="D18" s="17">
        <f t="shared" si="1"/>
        <v>3.2583892617449663</v>
      </c>
    </row>
    <row r="19" spans="1:10" x14ac:dyDescent="0.3">
      <c r="A19" s="18" t="s">
        <v>31</v>
      </c>
      <c r="B19" s="14">
        <v>279</v>
      </c>
      <c r="C19" s="14">
        <v>113</v>
      </c>
      <c r="D19" s="17">
        <f t="shared" si="1"/>
        <v>-0.59498207885304655</v>
      </c>
    </row>
    <row r="20" spans="1:10" x14ac:dyDescent="0.3">
      <c r="A20" s="18" t="s">
        <v>32</v>
      </c>
      <c r="B20" s="14">
        <v>2936</v>
      </c>
      <c r="C20" s="14">
        <v>642</v>
      </c>
      <c r="D20" s="17">
        <f t="shared" si="1"/>
        <v>-0.78133514986376018</v>
      </c>
    </row>
    <row r="21" spans="1:10" x14ac:dyDescent="0.3">
      <c r="A21" s="18" t="s">
        <v>24</v>
      </c>
      <c r="B21" s="14">
        <v>15300</v>
      </c>
      <c r="C21" s="14">
        <v>16593</v>
      </c>
      <c r="D21" s="17">
        <f t="shared" si="1"/>
        <v>8.4509803921568621E-2</v>
      </c>
    </row>
    <row r="22" spans="1:10" s="9" customFormat="1" x14ac:dyDescent="0.3">
      <c r="A22" s="29" t="s">
        <v>33</v>
      </c>
      <c r="B22" s="30">
        <f>SUM(B16:B21)</f>
        <v>130082</v>
      </c>
      <c r="C22" s="30">
        <f>SUM(C16:C21)</f>
        <v>320455</v>
      </c>
      <c r="D22" s="42">
        <f t="shared" si="1"/>
        <v>1.4634845712704294</v>
      </c>
      <c r="F22" s="5"/>
      <c r="H22" s="5"/>
      <c r="I22" s="5"/>
      <c r="J22" s="5"/>
    </row>
    <row r="23" spans="1:10" s="9" customFormat="1" x14ac:dyDescent="0.3">
      <c r="A23" s="31" t="s">
        <v>34</v>
      </c>
      <c r="B23" s="32">
        <v>6417042</v>
      </c>
      <c r="C23" s="32">
        <v>6449569</v>
      </c>
      <c r="D23" s="47">
        <f t="shared" si="1"/>
        <v>5.0688463625452353E-3</v>
      </c>
      <c r="F23" s="5"/>
      <c r="H23" s="5"/>
      <c r="I23" s="5"/>
      <c r="J23" s="5"/>
    </row>
    <row r="24" spans="1:10" s="9" customFormat="1" ht="15.75" thickBot="1" x14ac:dyDescent="0.35">
      <c r="A24" s="26" t="s">
        <v>35</v>
      </c>
      <c r="B24" s="27">
        <f>+B22+B23</f>
        <v>6547124</v>
      </c>
      <c r="C24" s="27">
        <f>+C22+C23</f>
        <v>6770024</v>
      </c>
      <c r="D24" s="45">
        <f t="shared" si="1"/>
        <v>3.4045483177040786E-2</v>
      </c>
      <c r="F24" s="5"/>
      <c r="H24" s="5"/>
      <c r="I24" s="5"/>
      <c r="J24" s="5"/>
    </row>
    <row r="25" spans="1:10" x14ac:dyDescent="0.3">
      <c r="A25" s="18" t="s">
        <v>54</v>
      </c>
      <c r="B25" s="14">
        <v>435123458</v>
      </c>
      <c r="C25" s="14">
        <f>435123458+25000000</f>
        <v>460123458</v>
      </c>
      <c r="D25" s="17"/>
    </row>
    <row r="26" spans="1:10" x14ac:dyDescent="0.3">
      <c r="A26" s="18" t="s">
        <v>71</v>
      </c>
      <c r="B26" s="33">
        <f>+B23/+(B25/1000000)</f>
        <v>14747.635141289025</v>
      </c>
      <c r="C26" s="33">
        <f>+C23/+(C25/1000000)</f>
        <v>14017.040183158842</v>
      </c>
      <c r="D26" s="17"/>
    </row>
    <row r="28" spans="1:10" ht="15.75" customHeight="1" x14ac:dyDescent="0.3">
      <c r="A28" s="6" t="s">
        <v>70</v>
      </c>
      <c r="B28" s="6">
        <v>2010</v>
      </c>
      <c r="C28" s="6">
        <v>2011</v>
      </c>
      <c r="D28" s="6" t="s">
        <v>46</v>
      </c>
    </row>
    <row r="29" spans="1:10" x14ac:dyDescent="0.3">
      <c r="A29" s="19" t="s">
        <v>62</v>
      </c>
      <c r="B29" s="17"/>
      <c r="C29" s="17"/>
      <c r="D29" s="34"/>
    </row>
    <row r="30" spans="1:10" x14ac:dyDescent="0.3">
      <c r="A30" s="19" t="s">
        <v>44</v>
      </c>
      <c r="B30" s="17"/>
      <c r="C30" s="17"/>
      <c r="D30" s="34"/>
    </row>
    <row r="31" spans="1:10" x14ac:dyDescent="0.3">
      <c r="A31" s="19" t="s">
        <v>45</v>
      </c>
      <c r="B31" s="17"/>
      <c r="C31" s="17"/>
      <c r="D31" s="34"/>
    </row>
    <row r="32" spans="1:10" s="9" customFormat="1" x14ac:dyDescent="0.3">
      <c r="A32" s="19" t="s">
        <v>72</v>
      </c>
      <c r="B32" s="30">
        <v>157449</v>
      </c>
      <c r="C32" s="30">
        <v>159357</v>
      </c>
      <c r="D32" s="17">
        <f>IF(B32&lt;&gt;0,(C32-B32)/B32,0)</f>
        <v>1.2118209706000038E-2</v>
      </c>
      <c r="F32" s="5"/>
      <c r="G32" s="5"/>
      <c r="H32" s="5"/>
    </row>
    <row r="33" spans="1:8" hidden="1" x14ac:dyDescent="0.3">
      <c r="A33" s="19" t="s">
        <v>5</v>
      </c>
      <c r="B33" s="14">
        <v>0</v>
      </c>
      <c r="C33" s="14">
        <v>0</v>
      </c>
      <c r="D33" s="17">
        <f t="shared" ref="D33:D43" si="2">IF(B33&lt;&gt;0,(C33-B33)/B33,0)</f>
        <v>0</v>
      </c>
    </row>
    <row r="34" spans="1:8" s="9" customFormat="1" x14ac:dyDescent="0.3">
      <c r="A34" s="19" t="s">
        <v>57</v>
      </c>
      <c r="B34" s="14">
        <v>23303</v>
      </c>
      <c r="C34" s="14">
        <v>25135</v>
      </c>
      <c r="D34" s="17">
        <f t="shared" si="2"/>
        <v>7.861648714757756E-2</v>
      </c>
      <c r="F34" s="5"/>
      <c r="G34" s="5"/>
      <c r="H34" s="5"/>
    </row>
    <row r="35" spans="1:8" s="9" customFormat="1" x14ac:dyDescent="0.3">
      <c r="A35" s="19" t="s">
        <v>56</v>
      </c>
      <c r="B35" s="14">
        <f>6958+1737</f>
        <v>8695</v>
      </c>
      <c r="C35" s="14">
        <f>5345+1</f>
        <v>5346</v>
      </c>
      <c r="D35" s="17">
        <f t="shared" si="2"/>
        <v>-0.38516388729154688</v>
      </c>
      <c r="F35" s="5"/>
      <c r="G35" s="5"/>
      <c r="H35" s="5"/>
    </row>
    <row r="36" spans="1:8" s="9" customFormat="1" x14ac:dyDescent="0.3">
      <c r="A36" s="35" t="s">
        <v>4</v>
      </c>
      <c r="B36" s="30">
        <f>SUM(B32:B35)</f>
        <v>189447</v>
      </c>
      <c r="C36" s="30">
        <f>SUM(C32:C35)</f>
        <v>189838</v>
      </c>
      <c r="D36" s="17">
        <f t="shared" si="2"/>
        <v>2.0639017772780778E-3</v>
      </c>
      <c r="F36" s="5"/>
      <c r="G36" s="5"/>
      <c r="H36" s="5"/>
    </row>
    <row r="37" spans="1:8" x14ac:dyDescent="0.3">
      <c r="A37" s="19" t="s">
        <v>58</v>
      </c>
      <c r="B37" s="14">
        <v>-8522</v>
      </c>
      <c r="C37" s="14">
        <v>-6375</v>
      </c>
      <c r="D37" s="17">
        <f t="shared" si="2"/>
        <v>-0.25193616521943207</v>
      </c>
    </row>
    <row r="38" spans="1:8" s="9" customFormat="1" x14ac:dyDescent="0.3">
      <c r="A38" s="35" t="s">
        <v>42</v>
      </c>
      <c r="B38" s="30">
        <f>SUM(B36:B37)</f>
        <v>180925</v>
      </c>
      <c r="C38" s="30">
        <f>SUM(C36:C37)</f>
        <v>183463</v>
      </c>
      <c r="D38" s="17">
        <f t="shared" si="2"/>
        <v>1.4027912118281055E-2</v>
      </c>
      <c r="F38" s="5"/>
      <c r="G38" s="5"/>
      <c r="H38" s="5"/>
    </row>
    <row r="39" spans="1:8" s="9" customFormat="1" x14ac:dyDescent="0.3">
      <c r="A39" s="19" t="s">
        <v>10</v>
      </c>
      <c r="B39" s="14">
        <v>7758</v>
      </c>
      <c r="C39" s="14">
        <v>347</v>
      </c>
      <c r="D39" s="17">
        <f t="shared" si="2"/>
        <v>-0.95527197731374069</v>
      </c>
      <c r="F39" s="5"/>
      <c r="G39" s="5"/>
      <c r="H39" s="5"/>
    </row>
    <row r="40" spans="1:8" x14ac:dyDescent="0.3">
      <c r="A40" s="19" t="s">
        <v>13</v>
      </c>
      <c r="B40" s="14">
        <v>-1470</v>
      </c>
      <c r="C40" s="14">
        <v>-10998</v>
      </c>
      <c r="D40" s="17">
        <f t="shared" si="2"/>
        <v>6.481632653061224</v>
      </c>
    </row>
    <row r="41" spans="1:8" s="9" customFormat="1" x14ac:dyDescent="0.3">
      <c r="A41" s="35" t="s">
        <v>43</v>
      </c>
      <c r="B41" s="30">
        <f>SUM(B38:B40)</f>
        <v>187213</v>
      </c>
      <c r="C41" s="30">
        <f>SUM(C38:C40)</f>
        <v>172812</v>
      </c>
      <c r="D41" s="17">
        <f t="shared" si="2"/>
        <v>-7.6923076923076927E-2</v>
      </c>
      <c r="F41" s="5"/>
      <c r="G41" s="5"/>
      <c r="H41" s="5"/>
    </row>
    <row r="42" spans="1:8" x14ac:dyDescent="0.3">
      <c r="A42" s="19" t="s">
        <v>15</v>
      </c>
      <c r="B42" s="14">
        <v>-1516</v>
      </c>
      <c r="C42" s="14">
        <v>-82</v>
      </c>
      <c r="D42" s="17">
        <f t="shared" si="2"/>
        <v>-0.94591029023746698</v>
      </c>
    </row>
    <row r="43" spans="1:8" ht="15.75" thickBot="1" x14ac:dyDescent="0.35">
      <c r="A43" s="36" t="s">
        <v>17</v>
      </c>
      <c r="B43" s="37">
        <f>SUM(B41:B42)</f>
        <v>185697</v>
      </c>
      <c r="C43" s="37">
        <f>SUM(C41:C42)</f>
        <v>172730</v>
      </c>
      <c r="D43" s="45">
        <f t="shared" si="2"/>
        <v>-6.982880714281868E-2</v>
      </c>
    </row>
    <row r="45" spans="1:8" x14ac:dyDescent="0.3">
      <c r="A45" s="19"/>
      <c r="B45" s="14"/>
      <c r="D45" s="17"/>
    </row>
  </sheetData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workbookViewId="0"/>
  </sheetViews>
  <sheetFormatPr baseColWidth="10" defaultRowHeight="15" x14ac:dyDescent="0.3"/>
  <cols>
    <col min="1" max="1" width="35.5703125" style="5" bestFit="1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7" width="3.42578125" style="4" customWidth="1"/>
    <col min="8" max="16384" width="11.42578125" style="5"/>
  </cols>
  <sheetData>
    <row r="1" spans="1:5" x14ac:dyDescent="0.3">
      <c r="A1" s="38" t="s">
        <v>40</v>
      </c>
    </row>
    <row r="2" spans="1:5" x14ac:dyDescent="0.3">
      <c r="A2" s="24" t="s">
        <v>65</v>
      </c>
    </row>
    <row r="3" spans="1:5" x14ac:dyDescent="0.3">
      <c r="A3" s="24" t="s">
        <v>44</v>
      </c>
    </row>
    <row r="4" spans="1:5" x14ac:dyDescent="0.3">
      <c r="A4" s="24" t="s">
        <v>45</v>
      </c>
    </row>
    <row r="5" spans="1:5" x14ac:dyDescent="0.3">
      <c r="E5" s="21"/>
    </row>
    <row r="6" spans="1:5" x14ac:dyDescent="0.3">
      <c r="A6" s="6" t="s">
        <v>20</v>
      </c>
      <c r="B6" s="6">
        <v>2006</v>
      </c>
      <c r="C6" s="6">
        <v>2007</v>
      </c>
      <c r="D6" s="7" t="s">
        <v>46</v>
      </c>
      <c r="E6" s="20"/>
    </row>
    <row r="7" spans="1:5" x14ac:dyDescent="0.3">
      <c r="A7" s="18" t="s">
        <v>21</v>
      </c>
      <c r="B7" s="14">
        <v>168713</v>
      </c>
      <c r="C7" s="14">
        <v>162791</v>
      </c>
      <c r="D7" s="17">
        <f>+(C7-B7)/B7</f>
        <v>-3.5101029559073696E-2</v>
      </c>
      <c r="E7" s="21"/>
    </row>
    <row r="8" spans="1:5" x14ac:dyDescent="0.3">
      <c r="A8" s="18" t="s">
        <v>22</v>
      </c>
      <c r="B8" s="14">
        <v>740227</v>
      </c>
      <c r="C8" s="14">
        <v>311842</v>
      </c>
      <c r="D8" s="17">
        <f t="shared" ref="D8:D16" si="0">+(C8-B8)/B8</f>
        <v>-0.5787211220341868</v>
      </c>
      <c r="E8" s="21"/>
    </row>
    <row r="9" spans="1:5" x14ac:dyDescent="0.3">
      <c r="A9" s="18" t="s">
        <v>23</v>
      </c>
      <c r="B9" s="14">
        <v>328541</v>
      </c>
      <c r="C9" s="14">
        <v>367618</v>
      </c>
      <c r="D9" s="17">
        <f t="shared" si="0"/>
        <v>0.11894101497225612</v>
      </c>
      <c r="E9" s="21"/>
    </row>
    <row r="10" spans="1:5" x14ac:dyDescent="0.3">
      <c r="A10" s="18" t="s">
        <v>36</v>
      </c>
      <c r="B10" s="14">
        <v>301409</v>
      </c>
      <c r="C10" s="14">
        <v>414335</v>
      </c>
      <c r="D10" s="17">
        <f t="shared" si="0"/>
        <v>0.37466034524516523</v>
      </c>
      <c r="E10" s="21"/>
    </row>
    <row r="11" spans="1:5" x14ac:dyDescent="0.3">
      <c r="A11" s="18" t="s">
        <v>60</v>
      </c>
      <c r="B11" s="14">
        <v>490847</v>
      </c>
      <c r="C11" s="14">
        <v>604307</v>
      </c>
      <c r="D11" s="17">
        <f t="shared" si="0"/>
        <v>0.23115145860115272</v>
      </c>
      <c r="E11" s="21"/>
    </row>
    <row r="12" spans="1:5" x14ac:dyDescent="0.3">
      <c r="A12" s="18" t="s">
        <v>47</v>
      </c>
      <c r="B12" s="14">
        <v>94411</v>
      </c>
      <c r="C12" s="14">
        <v>621272</v>
      </c>
      <c r="D12" s="17">
        <f t="shared" si="0"/>
        <v>5.5805043903782394</v>
      </c>
      <c r="E12" s="21"/>
    </row>
    <row r="13" spans="1:5" x14ac:dyDescent="0.3">
      <c r="A13" s="18" t="s">
        <v>24</v>
      </c>
      <c r="B13" s="14">
        <v>11674</v>
      </c>
      <c r="C13" s="14">
        <v>36990</v>
      </c>
      <c r="D13" s="17">
        <f t="shared" si="0"/>
        <v>2.1685797498715091</v>
      </c>
      <c r="E13" s="21"/>
    </row>
    <row r="14" spans="1:5" x14ac:dyDescent="0.3">
      <c r="A14" s="18" t="s">
        <v>25</v>
      </c>
      <c r="B14" s="14">
        <v>14560</v>
      </c>
      <c r="C14" s="14">
        <v>10431</v>
      </c>
      <c r="D14" s="17">
        <f t="shared" si="0"/>
        <v>-0.28358516483516483</v>
      </c>
      <c r="E14" s="21"/>
    </row>
    <row r="15" spans="1:5" x14ac:dyDescent="0.3">
      <c r="A15" s="18" t="s">
        <v>26</v>
      </c>
      <c r="B15" s="14">
        <v>2777489</v>
      </c>
      <c r="C15" s="14">
        <v>2458478</v>
      </c>
      <c r="D15" s="17">
        <f t="shared" si="0"/>
        <v>-0.1148559004194076</v>
      </c>
      <c r="E15" s="21"/>
    </row>
    <row r="16" spans="1:5" ht="15.75" thickBot="1" x14ac:dyDescent="0.35">
      <c r="A16" s="26" t="s">
        <v>27</v>
      </c>
      <c r="B16" s="27">
        <f>SUM(B7:B15)</f>
        <v>4927871</v>
      </c>
      <c r="C16" s="27">
        <f>SUM(C7:C15)</f>
        <v>4988064</v>
      </c>
      <c r="D16" s="45">
        <f t="shared" si="0"/>
        <v>1.2214808382768137E-2</v>
      </c>
      <c r="E16" s="22"/>
    </row>
    <row r="17" spans="1:5" x14ac:dyDescent="0.3">
      <c r="A17" s="1"/>
      <c r="E17" s="21"/>
    </row>
    <row r="18" spans="1:5" x14ac:dyDescent="0.3">
      <c r="A18" s="6" t="s">
        <v>48</v>
      </c>
      <c r="B18" s="6">
        <v>2006</v>
      </c>
      <c r="C18" s="6">
        <v>2007</v>
      </c>
      <c r="D18" s="7" t="s">
        <v>46</v>
      </c>
      <c r="E18" s="20"/>
    </row>
    <row r="19" spans="1:5" x14ac:dyDescent="0.3">
      <c r="A19" s="18" t="s">
        <v>28</v>
      </c>
      <c r="B19" s="14">
        <v>420720</v>
      </c>
      <c r="C19" s="14">
        <v>793270</v>
      </c>
      <c r="D19" s="17">
        <f t="shared" ref="D19:D30" si="1">+(C19-B19)/B19</f>
        <v>0.88550579958166953</v>
      </c>
      <c r="E19" s="21"/>
    </row>
    <row r="20" spans="1:5" x14ac:dyDescent="0.3">
      <c r="A20" s="18" t="s">
        <v>49</v>
      </c>
      <c r="B20" s="14">
        <v>106438</v>
      </c>
      <c r="C20" s="14">
        <v>123680</v>
      </c>
      <c r="D20" s="17">
        <f t="shared" si="1"/>
        <v>0.16199101824536349</v>
      </c>
      <c r="E20" s="21"/>
    </row>
    <row r="21" spans="1:5" x14ac:dyDescent="0.3">
      <c r="A21" s="18" t="s">
        <v>38</v>
      </c>
      <c r="B21" s="14">
        <v>146135</v>
      </c>
      <c r="C21" s="14">
        <v>188574</v>
      </c>
      <c r="D21" s="17">
        <f t="shared" si="1"/>
        <v>0.2904095528107572</v>
      </c>
      <c r="E21" s="21"/>
    </row>
    <row r="22" spans="1:5" x14ac:dyDescent="0.3">
      <c r="A22" s="18" t="s">
        <v>30</v>
      </c>
      <c r="B22" s="14">
        <v>53343</v>
      </c>
      <c r="C22" s="14">
        <v>37015</v>
      </c>
      <c r="D22" s="17">
        <f t="shared" si="1"/>
        <v>-0.30609452036818324</v>
      </c>
      <c r="E22" s="21"/>
    </row>
    <row r="23" spans="1:5" x14ac:dyDescent="0.3">
      <c r="A23" s="18" t="s">
        <v>31</v>
      </c>
      <c r="B23" s="14">
        <v>27116</v>
      </c>
      <c r="C23" s="14">
        <v>35010</v>
      </c>
      <c r="D23" s="17">
        <f t="shared" si="1"/>
        <v>0.29111963416433101</v>
      </c>
      <c r="E23" s="21"/>
    </row>
    <row r="24" spans="1:5" x14ac:dyDescent="0.3">
      <c r="A24" s="18" t="s">
        <v>32</v>
      </c>
      <c r="B24" s="14">
        <v>86973</v>
      </c>
      <c r="C24" s="14">
        <v>92311</v>
      </c>
      <c r="D24" s="17">
        <f t="shared" si="1"/>
        <v>6.1375369367504859E-2</v>
      </c>
      <c r="E24" s="21"/>
    </row>
    <row r="25" spans="1:5" x14ac:dyDescent="0.3">
      <c r="A25" s="18" t="s">
        <v>24</v>
      </c>
      <c r="B25" s="14">
        <v>28421</v>
      </c>
      <c r="C25" s="14">
        <v>10326</v>
      </c>
      <c r="D25" s="17">
        <f t="shared" si="1"/>
        <v>-0.63667710495760177</v>
      </c>
      <c r="E25" s="21"/>
    </row>
    <row r="26" spans="1:5" x14ac:dyDescent="0.3">
      <c r="A26" s="18" t="s">
        <v>0</v>
      </c>
      <c r="B26" s="14">
        <v>1406</v>
      </c>
      <c r="C26" s="14">
        <v>1393</v>
      </c>
      <c r="D26" s="17">
        <f t="shared" si="1"/>
        <v>-9.2460881934566148E-3</v>
      </c>
      <c r="E26" s="21"/>
    </row>
    <row r="27" spans="1:5" x14ac:dyDescent="0.3">
      <c r="A27" s="18" t="s">
        <v>33</v>
      </c>
      <c r="B27" s="14">
        <f>SUM(B19:B26)</f>
        <v>870552</v>
      </c>
      <c r="C27" s="14">
        <f>SUM(C19:C26)</f>
        <v>1281579</v>
      </c>
      <c r="D27" s="17">
        <f t="shared" si="1"/>
        <v>0.47214525955945191</v>
      </c>
      <c r="E27" s="21"/>
    </row>
    <row r="28" spans="1:5" x14ac:dyDescent="0.3">
      <c r="A28" s="18" t="s">
        <v>39</v>
      </c>
      <c r="B28" s="14">
        <v>3200</v>
      </c>
      <c r="C28" s="14">
        <v>2717</v>
      </c>
      <c r="D28" s="17">
        <f t="shared" si="1"/>
        <v>-0.1509375</v>
      </c>
      <c r="E28" s="21"/>
    </row>
    <row r="29" spans="1:5" x14ac:dyDescent="0.3">
      <c r="A29" s="31" t="s">
        <v>34</v>
      </c>
      <c r="B29" s="32">
        <v>4054119</v>
      </c>
      <c r="C29" s="32">
        <v>3703768</v>
      </c>
      <c r="D29" s="47">
        <f t="shared" si="1"/>
        <v>-8.6418528908500214E-2</v>
      </c>
      <c r="E29" s="22"/>
    </row>
    <row r="30" spans="1:5" ht="15.75" thickBot="1" x14ac:dyDescent="0.35">
      <c r="A30" s="39" t="s">
        <v>35</v>
      </c>
      <c r="B30" s="40">
        <f>+B27+B28+B29</f>
        <v>4927871</v>
      </c>
      <c r="C30" s="40">
        <f>+C27+C28+C29</f>
        <v>4988064</v>
      </c>
      <c r="D30" s="49">
        <f t="shared" si="1"/>
        <v>1.2214808382768137E-2</v>
      </c>
      <c r="E30" s="22"/>
    </row>
    <row r="31" spans="1:5" x14ac:dyDescent="0.3">
      <c r="A31" s="19"/>
      <c r="B31" s="14"/>
      <c r="C31" s="14"/>
      <c r="D31" s="17"/>
      <c r="E31" s="21"/>
    </row>
    <row r="32" spans="1:5" x14ac:dyDescent="0.3">
      <c r="A32" s="41" t="s">
        <v>3</v>
      </c>
      <c r="B32" s="14"/>
      <c r="C32" s="14"/>
      <c r="D32" s="17"/>
      <c r="E32" s="21"/>
    </row>
    <row r="33" spans="1:7" x14ac:dyDescent="0.3">
      <c r="A33" s="41" t="s">
        <v>66</v>
      </c>
      <c r="B33" s="14"/>
      <c r="C33" s="14"/>
      <c r="D33" s="17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2006</v>
      </c>
      <c r="C36" s="6" t="s">
        <v>55</v>
      </c>
      <c r="D36" s="6">
        <v>2007</v>
      </c>
      <c r="E36" s="7" t="s">
        <v>55</v>
      </c>
      <c r="F36" s="7" t="s">
        <v>46</v>
      </c>
    </row>
    <row r="37" spans="1:7" s="9" customFormat="1" x14ac:dyDescent="0.3">
      <c r="A37" s="30" t="s">
        <v>4</v>
      </c>
      <c r="B37" s="30">
        <v>589474</v>
      </c>
      <c r="C37" s="42">
        <v>1</v>
      </c>
      <c r="D37" s="50">
        <v>769218</v>
      </c>
      <c r="E37" s="42">
        <v>1</v>
      </c>
      <c r="F37" s="42">
        <f>+(D37-B37)/B37</f>
        <v>0.30492269379141407</v>
      </c>
      <c r="G37" s="8"/>
    </row>
    <row r="38" spans="1:7" x14ac:dyDescent="0.3">
      <c r="A38" s="14" t="s">
        <v>50</v>
      </c>
      <c r="B38" s="14">
        <v>-365483</v>
      </c>
      <c r="C38" s="17">
        <f t="shared" ref="C38:C55" si="2">+B38/$B$37</f>
        <v>-0.62001547142028313</v>
      </c>
      <c r="D38" s="51">
        <v>-459878</v>
      </c>
      <c r="E38" s="17">
        <f>+D38/$D$37</f>
        <v>-0.59785132433198396</v>
      </c>
      <c r="F38" s="17">
        <f t="shared" ref="F38:F55" si="3">+(D38-B38)/B38</f>
        <v>0.25827466667396293</v>
      </c>
    </row>
    <row r="39" spans="1:7" s="9" customFormat="1" x14ac:dyDescent="0.3">
      <c r="A39" s="30" t="s">
        <v>6</v>
      </c>
      <c r="B39" s="30">
        <f>SUM(B37:B38)</f>
        <v>223991</v>
      </c>
      <c r="C39" s="42">
        <f t="shared" si="2"/>
        <v>0.37998452857971682</v>
      </c>
      <c r="D39" s="30">
        <f>SUM(D37:D38)</f>
        <v>309340</v>
      </c>
      <c r="E39" s="42">
        <f t="shared" ref="E39:E55" si="4">+D39/$D$37</f>
        <v>0.4021486756680161</v>
      </c>
      <c r="F39" s="42">
        <f t="shared" si="3"/>
        <v>0.3810376309762446</v>
      </c>
      <c r="G39" s="8"/>
    </row>
    <row r="40" spans="1:7" x14ac:dyDescent="0.3">
      <c r="A40" s="14" t="s">
        <v>7</v>
      </c>
      <c r="B40" s="14">
        <v>-23072</v>
      </c>
      <c r="C40" s="17">
        <f t="shared" si="2"/>
        <v>-3.913997903215409E-2</v>
      </c>
      <c r="D40" s="14">
        <v>-35861</v>
      </c>
      <c r="E40" s="17">
        <f t="shared" si="4"/>
        <v>-4.662007389322663E-2</v>
      </c>
      <c r="F40" s="17">
        <f t="shared" si="3"/>
        <v>0.55430825242718451</v>
      </c>
    </row>
    <row r="41" spans="1:7" x14ac:dyDescent="0.3">
      <c r="A41" s="14" t="s">
        <v>8</v>
      </c>
      <c r="B41" s="14">
        <v>-136844</v>
      </c>
      <c r="C41" s="17">
        <f t="shared" si="2"/>
        <v>-0.2321459470646712</v>
      </c>
      <c r="D41" s="14">
        <v>-190423</v>
      </c>
      <c r="E41" s="17">
        <f t="shared" si="4"/>
        <v>-0.24755400939655597</v>
      </c>
      <c r="F41" s="17">
        <f t="shared" si="3"/>
        <v>0.39153342492180876</v>
      </c>
    </row>
    <row r="42" spans="1:7" s="9" customFormat="1" x14ac:dyDescent="0.3">
      <c r="A42" s="30" t="s">
        <v>9</v>
      </c>
      <c r="B42" s="30">
        <f>SUM(B40:B41)</f>
        <v>-159916</v>
      </c>
      <c r="C42" s="42">
        <f t="shared" si="2"/>
        <v>-0.27128592609682528</v>
      </c>
      <c r="D42" s="30">
        <f>SUM(D40:D41)</f>
        <v>-226284</v>
      </c>
      <c r="E42" s="42">
        <f t="shared" si="4"/>
        <v>-0.29417408328978262</v>
      </c>
      <c r="F42" s="42">
        <f t="shared" si="3"/>
        <v>0.41501788438930437</v>
      </c>
      <c r="G42" s="8"/>
    </row>
    <row r="43" spans="1:7" s="9" customFormat="1" x14ac:dyDescent="0.3">
      <c r="A43" s="30" t="s">
        <v>1</v>
      </c>
      <c r="B43" s="30">
        <f>+B39+B42</f>
        <v>64075</v>
      </c>
      <c r="C43" s="42">
        <f t="shared" si="2"/>
        <v>0.10869860248289152</v>
      </c>
      <c r="D43" s="30">
        <f>+D39+D42</f>
        <v>83056</v>
      </c>
      <c r="E43" s="42">
        <f t="shared" si="4"/>
        <v>0.10797459237823348</v>
      </c>
      <c r="F43" s="42">
        <f t="shared" si="3"/>
        <v>0.29623097932110809</v>
      </c>
      <c r="G43" s="8"/>
    </row>
    <row r="44" spans="1:7" x14ac:dyDescent="0.3">
      <c r="A44" s="14" t="s">
        <v>51</v>
      </c>
      <c r="B44" s="14">
        <v>2989</v>
      </c>
      <c r="C44" s="17">
        <f t="shared" si="2"/>
        <v>5.0706222835952049E-3</v>
      </c>
      <c r="D44" s="14">
        <v>2596</v>
      </c>
      <c r="E44" s="17">
        <f t="shared" si="4"/>
        <v>3.3748560226099754E-3</v>
      </c>
      <c r="F44" s="17">
        <f t="shared" si="3"/>
        <v>-0.13148210103713617</v>
      </c>
    </row>
    <row r="45" spans="1:7" x14ac:dyDescent="0.3">
      <c r="A45" s="14" t="s">
        <v>11</v>
      </c>
      <c r="B45" s="14">
        <v>-6316</v>
      </c>
      <c r="C45" s="17">
        <f t="shared" si="2"/>
        <v>-1.0714637117158688E-2</v>
      </c>
      <c r="D45" s="14">
        <v>-22387</v>
      </c>
      <c r="E45" s="17">
        <f t="shared" si="4"/>
        <v>-2.9103583119479783E-2</v>
      </c>
      <c r="F45" s="17">
        <f t="shared" si="3"/>
        <v>2.5444901836605447</v>
      </c>
    </row>
    <row r="46" spans="1:7" x14ac:dyDescent="0.3">
      <c r="A46" s="14" t="s">
        <v>12</v>
      </c>
      <c r="B46" s="14">
        <v>792</v>
      </c>
      <c r="C46" s="17">
        <f t="shared" si="2"/>
        <v>1.3435707088014059E-3</v>
      </c>
      <c r="D46" s="14">
        <v>-8188</v>
      </c>
      <c r="E46" s="17">
        <f t="shared" si="4"/>
        <v>-1.0644576699973219E-2</v>
      </c>
      <c r="F46" s="17">
        <f t="shared" si="3"/>
        <v>-11.338383838383839</v>
      </c>
    </row>
    <row r="47" spans="1:7" x14ac:dyDescent="0.3">
      <c r="A47" s="14" t="s">
        <v>52</v>
      </c>
      <c r="B47" s="14">
        <f>431-2096</f>
        <v>-1665</v>
      </c>
      <c r="C47" s="17">
        <f t="shared" si="2"/>
        <v>-2.824552058275683E-3</v>
      </c>
      <c r="D47" s="14">
        <v>-6484</v>
      </c>
      <c r="E47" s="17">
        <f t="shared" si="4"/>
        <v>-8.429339927042789E-3</v>
      </c>
      <c r="F47" s="17">
        <f t="shared" si="3"/>
        <v>2.8942942942942942</v>
      </c>
    </row>
    <row r="48" spans="1:7" x14ac:dyDescent="0.3">
      <c r="A48" s="14" t="s">
        <v>14</v>
      </c>
      <c r="B48" s="14">
        <v>11694</v>
      </c>
      <c r="C48" s="17">
        <f t="shared" si="2"/>
        <v>1.9838025086772276E-2</v>
      </c>
      <c r="D48" s="14">
        <v>6117</v>
      </c>
      <c r="E48" s="17">
        <f t="shared" si="4"/>
        <v>7.9522320070513179E-3</v>
      </c>
      <c r="F48" s="17">
        <f t="shared" si="3"/>
        <v>-0.47691123653155465</v>
      </c>
    </row>
    <row r="49" spans="1:7" x14ac:dyDescent="0.3">
      <c r="A49" s="14" t="s">
        <v>16</v>
      </c>
      <c r="B49" s="14">
        <v>63475</v>
      </c>
      <c r="C49" s="17">
        <f t="shared" si="2"/>
        <v>0.1076807458853147</v>
      </c>
      <c r="D49" s="14">
        <v>6542</v>
      </c>
      <c r="E49" s="17">
        <f t="shared" si="4"/>
        <v>8.5047411787035673E-3</v>
      </c>
      <c r="F49" s="17">
        <f t="shared" si="3"/>
        <v>-0.8969358014966522</v>
      </c>
    </row>
    <row r="50" spans="1:7" s="9" customFormat="1" x14ac:dyDescent="0.3">
      <c r="A50" s="30" t="s">
        <v>2</v>
      </c>
      <c r="B50" s="30">
        <f>SUM(B44:B49)</f>
        <v>70969</v>
      </c>
      <c r="C50" s="42">
        <f t="shared" si="2"/>
        <v>0.12039377478904922</v>
      </c>
      <c r="D50" s="30">
        <f>SUM(D44:D49)</f>
        <v>-21804</v>
      </c>
      <c r="E50" s="42">
        <f t="shared" si="4"/>
        <v>-2.8345670538130932E-2</v>
      </c>
      <c r="F50" s="42">
        <f t="shared" si="3"/>
        <v>-1.3072327354196902</v>
      </c>
      <c r="G50" s="8"/>
    </row>
    <row r="51" spans="1:7" s="9" customFormat="1" x14ac:dyDescent="0.3">
      <c r="A51" s="30" t="s">
        <v>41</v>
      </c>
      <c r="B51" s="30">
        <f>+B43+B50</f>
        <v>135044</v>
      </c>
      <c r="C51" s="42">
        <f t="shared" si="2"/>
        <v>0.22909237727194073</v>
      </c>
      <c r="D51" s="30">
        <f>+D43+D50</f>
        <v>61252</v>
      </c>
      <c r="E51" s="42">
        <f t="shared" si="4"/>
        <v>7.9628921840102548E-2</v>
      </c>
      <c r="F51" s="42">
        <f t="shared" si="3"/>
        <v>-0.54642931192796418</v>
      </c>
      <c r="G51" s="8"/>
    </row>
    <row r="52" spans="1:7" x14ac:dyDescent="0.3">
      <c r="A52" s="14" t="s">
        <v>15</v>
      </c>
      <c r="B52" s="14">
        <v>-24055</v>
      </c>
      <c r="C52" s="17">
        <f t="shared" si="2"/>
        <v>-4.0807567424517452E-2</v>
      </c>
      <c r="D52" s="14">
        <v>-19046</v>
      </c>
      <c r="E52" s="17">
        <f t="shared" si="4"/>
        <v>-2.4760211019502924E-2</v>
      </c>
      <c r="F52" s="17">
        <f t="shared" si="3"/>
        <v>-0.2082311369777593</v>
      </c>
    </row>
    <row r="53" spans="1:7" x14ac:dyDescent="0.3">
      <c r="A53" s="14" t="s">
        <v>18</v>
      </c>
      <c r="B53" s="14">
        <v>206</v>
      </c>
      <c r="C53" s="17">
        <f t="shared" si="2"/>
        <v>3.494640985013758E-4</v>
      </c>
      <c r="D53" s="14">
        <v>0</v>
      </c>
      <c r="E53" s="17">
        <f t="shared" si="4"/>
        <v>0</v>
      </c>
      <c r="F53" s="17">
        <f t="shared" si="3"/>
        <v>-1</v>
      </c>
    </row>
    <row r="54" spans="1:7" s="9" customFormat="1" x14ac:dyDescent="0.3">
      <c r="A54" s="43" t="s">
        <v>17</v>
      </c>
      <c r="B54" s="43">
        <f>+B51+B52+B53</f>
        <v>111195</v>
      </c>
      <c r="C54" s="44">
        <f t="shared" si="2"/>
        <v>0.18863427394592466</v>
      </c>
      <c r="D54" s="43">
        <f>+D51+D52+D53</f>
        <v>42206</v>
      </c>
      <c r="E54" s="44">
        <f t="shared" si="4"/>
        <v>5.4868710820599624E-2</v>
      </c>
      <c r="F54" s="44">
        <f t="shared" si="3"/>
        <v>-0.62043257340707769</v>
      </c>
      <c r="G54" s="8"/>
    </row>
    <row r="55" spans="1:7" s="9" customFormat="1" ht="15.75" thickBot="1" x14ac:dyDescent="0.35">
      <c r="A55" s="27" t="s">
        <v>19</v>
      </c>
      <c r="B55" s="27">
        <v>81127</v>
      </c>
      <c r="C55" s="45">
        <f t="shared" si="2"/>
        <v>0.13762608698602483</v>
      </c>
      <c r="D55" s="27">
        <v>105459</v>
      </c>
      <c r="E55" s="45">
        <f t="shared" si="4"/>
        <v>0.13709897584299899</v>
      </c>
      <c r="F55" s="45">
        <f t="shared" si="3"/>
        <v>0.29992480924969495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7"/>
    </row>
    <row r="58" spans="1:7" x14ac:dyDescent="0.3">
      <c r="D58" s="10"/>
    </row>
  </sheetData>
  <phoneticPr fontId="0" type="noConversion"/>
  <pageMargins left="0.7" right="0.7" top="0.75" bottom="0.75" header="0.3" footer="0.3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87" zoomScaleNormal="87" workbookViewId="0">
      <selection sqref="A1:XFD1048576"/>
    </sheetView>
  </sheetViews>
  <sheetFormatPr baseColWidth="10" defaultRowHeight="15" x14ac:dyDescent="0.3"/>
  <cols>
    <col min="1" max="1" width="32.1406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85546875" style="3" bestFit="1" customWidth="1"/>
    <col min="6" max="6" width="11.5703125" style="4" customWidth="1"/>
    <col min="7" max="7" width="3.42578125" style="4" customWidth="1"/>
    <col min="8" max="8" width="5.7109375" style="5" customWidth="1"/>
    <col min="9" max="16384" width="11.42578125" style="5"/>
  </cols>
  <sheetData>
    <row r="1" spans="1:11" x14ac:dyDescent="0.3">
      <c r="A1" s="38" t="s">
        <v>40</v>
      </c>
    </row>
    <row r="2" spans="1:11" x14ac:dyDescent="0.3">
      <c r="A2" s="38" t="s">
        <v>61</v>
      </c>
    </row>
    <row r="3" spans="1:11" x14ac:dyDescent="0.3">
      <c r="A3" s="24" t="s">
        <v>44</v>
      </c>
    </row>
    <row r="4" spans="1:11" x14ac:dyDescent="0.3">
      <c r="A4" s="24" t="s">
        <v>45</v>
      </c>
      <c r="F4" s="23"/>
      <c r="G4" s="23"/>
      <c r="H4" s="66"/>
      <c r="I4" s="66"/>
      <c r="J4" s="66"/>
      <c r="K4" s="66"/>
    </row>
    <row r="5" spans="1:11" x14ac:dyDescent="0.3">
      <c r="F5" s="23"/>
      <c r="G5" s="23"/>
      <c r="H5" s="66"/>
      <c r="I5" s="66"/>
      <c r="J5" s="66"/>
      <c r="K5" s="66"/>
    </row>
    <row r="6" spans="1:11" x14ac:dyDescent="0.3">
      <c r="A6" s="6" t="s">
        <v>20</v>
      </c>
      <c r="B6" s="6">
        <v>2010</v>
      </c>
      <c r="C6" s="6">
        <v>2011</v>
      </c>
      <c r="D6" s="7" t="s">
        <v>46</v>
      </c>
      <c r="E6" s="20"/>
      <c r="F6" s="23"/>
      <c r="G6" s="23"/>
      <c r="H6" s="71"/>
      <c r="I6" s="66"/>
      <c r="J6" s="66"/>
      <c r="K6" s="66"/>
    </row>
    <row r="7" spans="1:11" x14ac:dyDescent="0.3">
      <c r="A7" s="18" t="s">
        <v>21</v>
      </c>
      <c r="B7" s="14">
        <v>104390</v>
      </c>
      <c r="C7" s="14">
        <v>133693</v>
      </c>
      <c r="D7" s="17">
        <f>+(C7-B7)/B7</f>
        <v>0.28070696426860808</v>
      </c>
      <c r="E7" s="21"/>
      <c r="F7" s="23"/>
      <c r="G7" s="23"/>
      <c r="H7" s="70"/>
      <c r="I7" s="66"/>
      <c r="J7" s="66"/>
      <c r="K7" s="66"/>
    </row>
    <row r="8" spans="1:11" x14ac:dyDescent="0.3">
      <c r="A8" s="18" t="s">
        <v>22</v>
      </c>
      <c r="B8" s="14">
        <v>325972</v>
      </c>
      <c r="C8" s="14">
        <v>329888</v>
      </c>
      <c r="D8" s="17">
        <f t="shared" ref="D8:D16" si="0">+(C8-B8)/B8</f>
        <v>1.201330175597904E-2</v>
      </c>
      <c r="E8" s="21"/>
      <c r="F8" s="23"/>
      <c r="G8" s="23"/>
      <c r="H8" s="71"/>
      <c r="I8" s="66"/>
      <c r="J8" s="66"/>
      <c r="K8" s="66"/>
    </row>
    <row r="9" spans="1:11" x14ac:dyDescent="0.3">
      <c r="A9" s="18" t="s">
        <v>23</v>
      </c>
      <c r="B9" s="14">
        <v>579826</v>
      </c>
      <c r="C9" s="14">
        <v>648190</v>
      </c>
      <c r="D9" s="17">
        <f t="shared" si="0"/>
        <v>0.11790433681828687</v>
      </c>
      <c r="E9" s="21"/>
      <c r="F9" s="23"/>
      <c r="G9" s="23"/>
      <c r="H9" s="71"/>
      <c r="I9" s="66"/>
      <c r="J9" s="66"/>
      <c r="K9" s="66"/>
    </row>
    <row r="10" spans="1:11" x14ac:dyDescent="0.3">
      <c r="A10" s="18" t="s">
        <v>36</v>
      </c>
      <c r="B10" s="14">
        <v>531192</v>
      </c>
      <c r="C10" s="14">
        <v>645152</v>
      </c>
      <c r="D10" s="17">
        <f t="shared" si="0"/>
        <v>0.21453636349945029</v>
      </c>
      <c r="E10" s="21"/>
      <c r="F10" s="23"/>
      <c r="G10" s="23"/>
      <c r="H10" s="71"/>
      <c r="I10" s="66"/>
      <c r="J10" s="66"/>
      <c r="K10" s="66"/>
    </row>
    <row r="11" spans="1:11" x14ac:dyDescent="0.3">
      <c r="A11" s="18" t="s">
        <v>60</v>
      </c>
      <c r="B11" s="14">
        <v>953860</v>
      </c>
      <c r="C11" s="14">
        <v>1019680</v>
      </c>
      <c r="D11" s="17">
        <f t="shared" si="0"/>
        <v>6.9003837041075211E-2</v>
      </c>
      <c r="E11" s="21"/>
      <c r="F11" s="23"/>
      <c r="G11" s="23"/>
      <c r="H11" s="71"/>
      <c r="I11" s="66"/>
      <c r="J11" s="66"/>
      <c r="K11" s="66"/>
    </row>
    <row r="12" spans="1:11" x14ac:dyDescent="0.3">
      <c r="A12" s="18" t="s">
        <v>47</v>
      </c>
      <c r="B12" s="14">
        <v>725070</v>
      </c>
      <c r="C12" s="14">
        <v>897180</v>
      </c>
      <c r="D12" s="17">
        <f t="shared" si="0"/>
        <v>0.23737018494766021</v>
      </c>
      <c r="E12" s="21"/>
      <c r="F12" s="23"/>
      <c r="G12" s="23"/>
      <c r="H12" s="71"/>
      <c r="I12" s="66"/>
      <c r="J12" s="66"/>
      <c r="K12" s="66"/>
    </row>
    <row r="13" spans="1:11" x14ac:dyDescent="0.3">
      <c r="A13" s="18" t="s">
        <v>24</v>
      </c>
      <c r="B13" s="14">
        <v>62998</v>
      </c>
      <c r="C13" s="14">
        <v>125132</v>
      </c>
      <c r="D13" s="17">
        <f t="shared" si="0"/>
        <v>0.98628527889774276</v>
      </c>
      <c r="E13" s="21"/>
      <c r="F13" s="23"/>
      <c r="G13" s="23"/>
      <c r="H13" s="71"/>
      <c r="I13" s="66"/>
      <c r="J13" s="66"/>
      <c r="K13" s="66"/>
    </row>
    <row r="14" spans="1:11" x14ac:dyDescent="0.3">
      <c r="A14" s="18" t="s">
        <v>25</v>
      </c>
      <c r="B14" s="14">
        <v>968</v>
      </c>
      <c r="C14" s="14">
        <v>2538</v>
      </c>
      <c r="D14" s="17">
        <f t="shared" si="0"/>
        <v>1.6219008264462811</v>
      </c>
      <c r="E14" s="21"/>
      <c r="F14" s="23"/>
      <c r="G14" s="23"/>
      <c r="H14" s="71"/>
      <c r="I14" s="66"/>
      <c r="J14" s="66"/>
      <c r="K14" s="66"/>
    </row>
    <row r="15" spans="1:11" x14ac:dyDescent="0.3">
      <c r="A15" s="18" t="s">
        <v>26</v>
      </c>
      <c r="B15" s="14">
        <v>4210570</v>
      </c>
      <c r="C15" s="14">
        <v>4108034</v>
      </c>
      <c r="D15" s="17">
        <f t="shared" si="0"/>
        <v>-2.435204734750877E-2</v>
      </c>
      <c r="E15" s="21"/>
      <c r="F15" s="23"/>
      <c r="G15" s="23"/>
      <c r="H15" s="71"/>
      <c r="I15" s="66"/>
      <c r="J15" s="66"/>
      <c r="K15" s="66"/>
    </row>
    <row r="16" spans="1:11" ht="15.75" thickBot="1" x14ac:dyDescent="0.35">
      <c r="A16" s="26" t="s">
        <v>27</v>
      </c>
      <c r="B16" s="27">
        <f>SUM(B7:B15)</f>
        <v>7494846</v>
      </c>
      <c r="C16" s="27">
        <f>SUM(C7:C15)</f>
        <v>7909487</v>
      </c>
      <c r="D16" s="45">
        <f t="shared" si="0"/>
        <v>5.5323484965534984E-2</v>
      </c>
      <c r="E16" s="22"/>
      <c r="F16" s="23"/>
      <c r="G16" s="23"/>
      <c r="H16" s="71"/>
      <c r="I16" s="66"/>
      <c r="J16" s="66"/>
      <c r="K16" s="66"/>
    </row>
    <row r="17" spans="1:11" x14ac:dyDescent="0.3">
      <c r="A17" s="1"/>
      <c r="B17" s="14"/>
      <c r="C17" s="14"/>
      <c r="E17" s="21"/>
      <c r="F17" s="23"/>
      <c r="G17" s="23"/>
      <c r="H17" s="71"/>
      <c r="I17" s="66"/>
      <c r="J17" s="66"/>
      <c r="K17" s="66"/>
    </row>
    <row r="18" spans="1:11" x14ac:dyDescent="0.3">
      <c r="A18" s="6" t="s">
        <v>48</v>
      </c>
      <c r="B18" s="6">
        <v>2010</v>
      </c>
      <c r="C18" s="6">
        <v>2011</v>
      </c>
      <c r="D18" s="7" t="s">
        <v>46</v>
      </c>
      <c r="E18" s="20"/>
      <c r="F18" s="23"/>
      <c r="G18" s="23"/>
      <c r="H18" s="70"/>
      <c r="I18" s="66"/>
      <c r="J18" s="66"/>
      <c r="K18" s="66"/>
    </row>
    <row r="19" spans="1:11" x14ac:dyDescent="0.3">
      <c r="A19" s="18" t="s">
        <v>28</v>
      </c>
      <c r="B19" s="14">
        <v>915955</v>
      </c>
      <c r="C19" s="14">
        <v>668204</v>
      </c>
      <c r="D19" s="17">
        <f t="shared" ref="D19:D30" si="1">+(C19-B19)/B19</f>
        <v>-0.27048381197766264</v>
      </c>
      <c r="E19" s="21"/>
      <c r="F19" s="23"/>
      <c r="G19" s="23"/>
      <c r="H19" s="71"/>
      <c r="I19" s="66"/>
      <c r="J19" s="66"/>
      <c r="K19" s="66"/>
    </row>
    <row r="20" spans="1:11" x14ac:dyDescent="0.3">
      <c r="A20" s="18" t="s">
        <v>49</v>
      </c>
      <c r="B20" s="14">
        <v>95069</v>
      </c>
      <c r="C20" s="14">
        <v>159445</v>
      </c>
      <c r="D20" s="17">
        <f t="shared" si="1"/>
        <v>0.67715028032271296</v>
      </c>
      <c r="E20" s="21"/>
      <c r="F20" s="23"/>
      <c r="G20" s="23"/>
      <c r="H20" s="70"/>
      <c r="I20" s="66"/>
      <c r="J20" s="66"/>
      <c r="K20" s="66"/>
    </row>
    <row r="21" spans="1:11" x14ac:dyDescent="0.3">
      <c r="A21" s="18" t="s">
        <v>38</v>
      </c>
      <c r="B21" s="14">
        <v>202944</v>
      </c>
      <c r="C21" s="14">
        <v>203982</v>
      </c>
      <c r="D21" s="17">
        <f t="shared" si="1"/>
        <v>5.1147114474929048E-3</v>
      </c>
      <c r="E21" s="21"/>
      <c r="F21" s="23"/>
      <c r="G21" s="23"/>
      <c r="H21" s="71"/>
      <c r="I21" s="66"/>
      <c r="J21" s="66"/>
      <c r="K21" s="66"/>
    </row>
    <row r="22" spans="1:11" x14ac:dyDescent="0.3">
      <c r="A22" s="18" t="s">
        <v>30</v>
      </c>
      <c r="B22" s="14">
        <v>42375</v>
      </c>
      <c r="C22" s="14">
        <v>117373</v>
      </c>
      <c r="D22" s="17">
        <f t="shared" si="1"/>
        <v>1.7698643067846607</v>
      </c>
      <c r="E22" s="21"/>
      <c r="F22" s="23"/>
      <c r="G22" s="23"/>
      <c r="H22" s="71"/>
      <c r="I22" s="66"/>
      <c r="J22" s="66"/>
      <c r="K22" s="66"/>
    </row>
    <row r="23" spans="1:11" x14ac:dyDescent="0.3">
      <c r="A23" s="18" t="s">
        <v>31</v>
      </c>
      <c r="B23" s="14">
        <v>40564</v>
      </c>
      <c r="C23" s="14">
        <v>47209</v>
      </c>
      <c r="D23" s="17">
        <f t="shared" si="1"/>
        <v>0.16381520560102553</v>
      </c>
      <c r="E23" s="21"/>
      <c r="F23" s="23"/>
      <c r="G23" s="23"/>
      <c r="H23" s="71"/>
      <c r="I23" s="66"/>
      <c r="J23" s="66"/>
      <c r="K23" s="66"/>
    </row>
    <row r="24" spans="1:11" x14ac:dyDescent="0.3">
      <c r="A24" s="18" t="s">
        <v>32</v>
      </c>
      <c r="B24" s="14">
        <v>224882</v>
      </c>
      <c r="C24" s="14">
        <v>199188</v>
      </c>
      <c r="D24" s="17">
        <f t="shared" si="1"/>
        <v>-0.11425547620529877</v>
      </c>
      <c r="E24" s="21"/>
      <c r="F24" s="23"/>
      <c r="G24" s="23"/>
      <c r="H24" s="71"/>
      <c r="I24" s="66"/>
      <c r="J24" s="66"/>
      <c r="K24" s="66"/>
    </row>
    <row r="25" spans="1:11" x14ac:dyDescent="0.3">
      <c r="A25" s="18" t="s">
        <v>24</v>
      </c>
      <c r="B25" s="14">
        <v>73846</v>
      </c>
      <c r="C25" s="14">
        <v>62754</v>
      </c>
      <c r="D25" s="17">
        <f t="shared" si="1"/>
        <v>-0.15020447959266581</v>
      </c>
      <c r="E25" s="21"/>
      <c r="F25" s="23"/>
      <c r="G25" s="23"/>
      <c r="H25" s="71"/>
      <c r="I25" s="66"/>
      <c r="J25" s="66"/>
      <c r="K25" s="66"/>
    </row>
    <row r="26" spans="1:11" x14ac:dyDescent="0.3">
      <c r="A26" s="18" t="s">
        <v>0</v>
      </c>
      <c r="B26" s="14">
        <v>4730</v>
      </c>
      <c r="C26" s="14">
        <v>7674</v>
      </c>
      <c r="D26" s="17">
        <f t="shared" si="1"/>
        <v>0.62241014799154337</v>
      </c>
      <c r="E26" s="21"/>
      <c r="F26" s="23"/>
      <c r="G26" s="23"/>
      <c r="H26" s="71"/>
      <c r="I26" s="66"/>
      <c r="J26" s="66"/>
      <c r="K26" s="66"/>
    </row>
    <row r="27" spans="1:11" x14ac:dyDescent="0.3">
      <c r="A27" s="18" t="s">
        <v>33</v>
      </c>
      <c r="B27" s="30">
        <f>SUM(B19:B26)</f>
        <v>1600365</v>
      </c>
      <c r="C27" s="30">
        <f>SUM(C19:C26)</f>
        <v>1465829</v>
      </c>
      <c r="D27" s="17">
        <f t="shared" si="1"/>
        <v>-8.4065822484245781E-2</v>
      </c>
      <c r="E27" s="21"/>
      <c r="F27" s="23"/>
      <c r="G27" s="23"/>
      <c r="H27" s="71"/>
      <c r="I27" s="66"/>
      <c r="J27" s="66"/>
      <c r="K27" s="66"/>
    </row>
    <row r="28" spans="1:11" x14ac:dyDescent="0.3">
      <c r="A28" s="18" t="s">
        <v>39</v>
      </c>
      <c r="B28" s="14">
        <v>11411</v>
      </c>
      <c r="C28" s="14">
        <v>15305</v>
      </c>
      <c r="D28" s="17">
        <f t="shared" si="1"/>
        <v>0.34124967136973094</v>
      </c>
      <c r="E28" s="21"/>
      <c r="F28" s="23"/>
      <c r="G28" s="23"/>
      <c r="H28" s="71"/>
      <c r="I28" s="66"/>
      <c r="J28" s="66"/>
      <c r="K28" s="66"/>
    </row>
    <row r="29" spans="1:11" x14ac:dyDescent="0.3">
      <c r="A29" s="32" t="s">
        <v>34</v>
      </c>
      <c r="B29" s="32">
        <v>5883070</v>
      </c>
      <c r="C29" s="32">
        <v>6428353</v>
      </c>
      <c r="D29" s="47">
        <f t="shared" si="1"/>
        <v>9.2686811477680875E-2</v>
      </c>
      <c r="E29" s="22"/>
      <c r="F29" s="23"/>
      <c r="G29" s="23"/>
      <c r="H29" s="70"/>
      <c r="I29" s="66"/>
      <c r="J29" s="66"/>
      <c r="K29" s="66"/>
    </row>
    <row r="30" spans="1:11" ht="15.75" thickBot="1" x14ac:dyDescent="0.35">
      <c r="A30" s="27" t="s">
        <v>35</v>
      </c>
      <c r="B30" s="27">
        <f>+B27+B28+B29</f>
        <v>7494846</v>
      </c>
      <c r="C30" s="27">
        <f>+C27+C28+C29</f>
        <v>7909487</v>
      </c>
      <c r="D30" s="45">
        <f t="shared" si="1"/>
        <v>5.5323484965534984E-2</v>
      </c>
      <c r="E30" s="22"/>
      <c r="F30" s="23"/>
      <c r="G30" s="23"/>
      <c r="H30" s="70"/>
      <c r="I30" s="66"/>
      <c r="J30" s="66"/>
      <c r="K30" s="66"/>
    </row>
    <row r="31" spans="1:11" x14ac:dyDescent="0.3">
      <c r="A31" s="19"/>
      <c r="B31" s="14"/>
      <c r="C31" s="14"/>
      <c r="D31" s="17"/>
      <c r="E31" s="21"/>
      <c r="F31" s="23"/>
      <c r="G31" s="23"/>
      <c r="H31" s="70"/>
      <c r="I31" s="66"/>
      <c r="J31" s="66"/>
      <c r="K31" s="66"/>
    </row>
    <row r="32" spans="1:11" x14ac:dyDescent="0.3">
      <c r="A32" s="41" t="s">
        <v>3</v>
      </c>
      <c r="B32" s="14"/>
      <c r="C32" s="14"/>
      <c r="D32" s="17"/>
      <c r="E32" s="21"/>
      <c r="F32" s="23"/>
      <c r="G32" s="23"/>
      <c r="H32" s="70"/>
      <c r="I32" s="66"/>
      <c r="J32" s="66"/>
      <c r="K32" s="66"/>
    </row>
    <row r="33" spans="1:8" x14ac:dyDescent="0.3">
      <c r="A33" s="41" t="s">
        <v>62</v>
      </c>
      <c r="B33" s="14"/>
      <c r="C33" s="14"/>
      <c r="D33" s="17"/>
      <c r="E33" s="21"/>
      <c r="F33" s="23"/>
    </row>
    <row r="34" spans="1:8" x14ac:dyDescent="0.3">
      <c r="A34" s="41" t="s">
        <v>44</v>
      </c>
      <c r="B34" s="14"/>
      <c r="C34" s="14"/>
      <c r="D34" s="17"/>
      <c r="E34" s="21"/>
      <c r="F34" s="23"/>
    </row>
    <row r="35" spans="1:8" x14ac:dyDescent="0.3">
      <c r="A35" s="41" t="s">
        <v>45</v>
      </c>
      <c r="B35" s="14"/>
      <c r="C35" s="14"/>
      <c r="D35" s="17"/>
      <c r="E35" s="21"/>
      <c r="F35" s="23"/>
    </row>
    <row r="36" spans="1:8" x14ac:dyDescent="0.3">
      <c r="A36" s="6"/>
      <c r="B36" s="6">
        <v>2010</v>
      </c>
      <c r="C36" s="6" t="s">
        <v>55</v>
      </c>
      <c r="D36" s="6">
        <v>2011</v>
      </c>
      <c r="E36" s="6" t="s">
        <v>55</v>
      </c>
      <c r="F36" s="7" t="s">
        <v>46</v>
      </c>
    </row>
    <row r="37" spans="1:8" s="9" customFormat="1" x14ac:dyDescent="0.3">
      <c r="A37" s="30" t="s">
        <v>4</v>
      </c>
      <c r="B37" s="62">
        <v>3166200</v>
      </c>
      <c r="C37" s="42">
        <v>1</v>
      </c>
      <c r="D37" s="50">
        <v>3643470</v>
      </c>
      <c r="E37" s="42">
        <v>1</v>
      </c>
      <c r="F37" s="17">
        <f>IF(B37&lt;&gt;0,(D37-B37)/B37,0)</f>
        <v>0.1507390562819784</v>
      </c>
      <c r="G37" s="8"/>
      <c r="H37" s="5"/>
    </row>
    <row r="38" spans="1:8" x14ac:dyDescent="0.3">
      <c r="A38" s="14" t="s">
        <v>50</v>
      </c>
      <c r="B38" s="10">
        <v>-1915336</v>
      </c>
      <c r="C38" s="17">
        <f t="shared" ref="C38:C56" si="2">+B38/$B$37</f>
        <v>-0.604932095256143</v>
      </c>
      <c r="D38" s="51">
        <v>-2195803</v>
      </c>
      <c r="E38" s="17">
        <f>+D38/$D$37</f>
        <v>-0.60266806094190428</v>
      </c>
      <c r="F38" s="17">
        <f t="shared" ref="F38:F54" si="3">IF(B38&lt;&gt;0,(D38-B38)/B38,0)</f>
        <v>0.14643227089137362</v>
      </c>
    </row>
    <row r="39" spans="1:8" s="9" customFormat="1" x14ac:dyDescent="0.3">
      <c r="A39" s="30" t="s">
        <v>6</v>
      </c>
      <c r="B39" s="60">
        <f>SUM(B37:B38)</f>
        <v>1250864</v>
      </c>
      <c r="C39" s="42">
        <f t="shared" si="2"/>
        <v>0.395067904743857</v>
      </c>
      <c r="D39" s="30">
        <f>SUM(D37:D38)</f>
        <v>1447667</v>
      </c>
      <c r="E39" s="42">
        <f t="shared" ref="E39:E56" si="4">+D39/$D$37</f>
        <v>0.39733193905809572</v>
      </c>
      <c r="F39" s="17">
        <f t="shared" si="3"/>
        <v>0.15733365098044233</v>
      </c>
      <c r="G39" s="8"/>
      <c r="H39" s="5"/>
    </row>
    <row r="40" spans="1:8" x14ac:dyDescent="0.3">
      <c r="A40" s="14" t="s">
        <v>7</v>
      </c>
      <c r="B40" s="2">
        <v>-159947</v>
      </c>
      <c r="C40" s="17">
        <f t="shared" si="2"/>
        <v>-5.051702356136694E-2</v>
      </c>
      <c r="D40" s="14">
        <v>-179820</v>
      </c>
      <c r="E40" s="17">
        <f t="shared" si="4"/>
        <v>-4.9354049848084384E-2</v>
      </c>
      <c r="F40" s="17">
        <f t="shared" si="3"/>
        <v>0.12424740695355337</v>
      </c>
    </row>
    <row r="41" spans="1:8" x14ac:dyDescent="0.3">
      <c r="A41" s="14" t="s">
        <v>8</v>
      </c>
      <c r="B41" s="2">
        <v>-775471</v>
      </c>
      <c r="C41" s="17">
        <f t="shared" si="2"/>
        <v>-0.24492167266755099</v>
      </c>
      <c r="D41" s="14">
        <v>-866133</v>
      </c>
      <c r="E41" s="17">
        <f t="shared" si="4"/>
        <v>-0.2377220067682731</v>
      </c>
      <c r="F41" s="17">
        <f t="shared" si="3"/>
        <v>0.11691217337592251</v>
      </c>
    </row>
    <row r="42" spans="1:8" x14ac:dyDescent="0.3">
      <c r="A42" s="14" t="s">
        <v>84</v>
      </c>
      <c r="B42" s="2">
        <v>0</v>
      </c>
      <c r="C42" s="17">
        <f t="shared" si="2"/>
        <v>0</v>
      </c>
      <c r="D42" s="14">
        <v>-83076</v>
      </c>
      <c r="E42" s="17">
        <f t="shared" si="4"/>
        <v>-2.2801340480366243E-2</v>
      </c>
      <c r="F42" s="17">
        <f t="shared" si="3"/>
        <v>0</v>
      </c>
    </row>
    <row r="43" spans="1:8" s="9" customFormat="1" x14ac:dyDescent="0.3">
      <c r="A43" s="30" t="s">
        <v>9</v>
      </c>
      <c r="B43" s="30">
        <f>SUM(B40:B42)</f>
        <v>-935418</v>
      </c>
      <c r="C43" s="42">
        <f t="shared" si="2"/>
        <v>-0.29543869622891794</v>
      </c>
      <c r="D43" s="30">
        <f>SUM(D40:D42)</f>
        <v>-1129029</v>
      </c>
      <c r="E43" s="42">
        <f t="shared" si="4"/>
        <v>-0.30987739709672374</v>
      </c>
      <c r="F43" s="17">
        <f t="shared" si="3"/>
        <v>0.206978056868694</v>
      </c>
      <c r="G43" s="8"/>
      <c r="H43" s="5"/>
    </row>
    <row r="44" spans="1:8" s="9" customFormat="1" x14ac:dyDescent="0.3">
      <c r="A44" s="30" t="s">
        <v>1</v>
      </c>
      <c r="B44" s="30">
        <f>+B39+B43</f>
        <v>315446</v>
      </c>
      <c r="C44" s="42">
        <f t="shared" si="2"/>
        <v>9.9629208514939047E-2</v>
      </c>
      <c r="D44" s="30">
        <f>+D39+D43</f>
        <v>318638</v>
      </c>
      <c r="E44" s="42">
        <f t="shared" si="4"/>
        <v>8.7454541961371993E-2</v>
      </c>
      <c r="F44" s="17">
        <f t="shared" si="3"/>
        <v>1.0119006105640902E-2</v>
      </c>
      <c r="G44" s="8"/>
      <c r="H44" s="5"/>
    </row>
    <row r="45" spans="1:8" x14ac:dyDescent="0.3">
      <c r="A45" s="14" t="s">
        <v>51</v>
      </c>
      <c r="B45" s="2">
        <v>3954</v>
      </c>
      <c r="C45" s="17">
        <f t="shared" si="2"/>
        <v>1.2488156149327268E-3</v>
      </c>
      <c r="D45" s="14">
        <v>4938</v>
      </c>
      <c r="E45" s="17">
        <f t="shared" si="4"/>
        <v>1.3553014022346828E-3</v>
      </c>
      <c r="F45" s="17">
        <f t="shared" si="3"/>
        <v>0.2488619119878604</v>
      </c>
    </row>
    <row r="46" spans="1:8" x14ac:dyDescent="0.3">
      <c r="A46" s="14" t="s">
        <v>11</v>
      </c>
      <c r="B46" s="2">
        <v>-54663</v>
      </c>
      <c r="C46" s="17">
        <f t="shared" si="2"/>
        <v>-1.7264544248626112E-2</v>
      </c>
      <c r="D46" s="14">
        <v>-64909</v>
      </c>
      <c r="E46" s="17">
        <f t="shared" si="4"/>
        <v>-1.7815159724109159E-2</v>
      </c>
      <c r="F46" s="17">
        <f t="shared" si="3"/>
        <v>0.18743940142326621</v>
      </c>
    </row>
    <row r="47" spans="1:8" x14ac:dyDescent="0.3">
      <c r="A47" s="14" t="s">
        <v>12</v>
      </c>
      <c r="B47" s="2">
        <v>-7403</v>
      </c>
      <c r="C47" s="17">
        <f t="shared" si="2"/>
        <v>-2.3381340408060135E-3</v>
      </c>
      <c r="D47" s="14">
        <v>-3992</v>
      </c>
      <c r="E47" s="17">
        <f t="shared" si="4"/>
        <v>-1.0956588087729555E-3</v>
      </c>
      <c r="F47" s="17">
        <f t="shared" si="3"/>
        <v>-0.46075915169525866</v>
      </c>
    </row>
    <row r="48" spans="1:8" x14ac:dyDescent="0.3">
      <c r="A48" s="14" t="s">
        <v>52</v>
      </c>
      <c r="B48" s="2">
        <v>-12596</v>
      </c>
      <c r="C48" s="17">
        <f t="shared" si="2"/>
        <v>-3.9782704819657632E-3</v>
      </c>
      <c r="D48" s="14">
        <v>-17283</v>
      </c>
      <c r="E48" s="17">
        <f t="shared" si="4"/>
        <v>-4.7435549078213898E-3</v>
      </c>
      <c r="F48" s="17">
        <f t="shared" si="3"/>
        <v>0.37210225468402669</v>
      </c>
    </row>
    <row r="49" spans="1:8" x14ac:dyDescent="0.3">
      <c r="A49" s="14" t="s">
        <v>14</v>
      </c>
      <c r="B49" s="2">
        <v>23311</v>
      </c>
      <c r="C49" s="17">
        <f t="shared" si="2"/>
        <v>7.3624534141873543E-3</v>
      </c>
      <c r="D49" s="14">
        <v>25235</v>
      </c>
      <c r="E49" s="17">
        <f t="shared" si="4"/>
        <v>6.9260896892248324E-3</v>
      </c>
      <c r="F49" s="17">
        <f t="shared" si="3"/>
        <v>8.2536141735661275E-2</v>
      </c>
    </row>
    <row r="50" spans="1:8" x14ac:dyDescent="0.3">
      <c r="A50" s="14" t="s">
        <v>16</v>
      </c>
      <c r="B50" s="14">
        <v>-156</v>
      </c>
      <c r="C50" s="17">
        <f t="shared" si="2"/>
        <v>-4.927041879855979E-5</v>
      </c>
      <c r="D50" s="14">
        <v>-108</v>
      </c>
      <c r="E50" s="17">
        <f t="shared" si="4"/>
        <v>-2.964207198083146E-5</v>
      </c>
      <c r="F50" s="17">
        <f t="shared" si="3"/>
        <v>-0.30769230769230771</v>
      </c>
    </row>
    <row r="51" spans="1:8" s="9" customFormat="1" x14ac:dyDescent="0.3">
      <c r="A51" s="30" t="s">
        <v>2</v>
      </c>
      <c r="B51" s="30">
        <f>SUM(B45:B50)</f>
        <v>-47553</v>
      </c>
      <c r="C51" s="42">
        <f t="shared" si="2"/>
        <v>-1.5018950161076369E-2</v>
      </c>
      <c r="D51" s="30">
        <f>SUM(D45:D50)</f>
        <v>-56119</v>
      </c>
      <c r="E51" s="42">
        <f t="shared" si="4"/>
        <v>-1.5402624421224821E-2</v>
      </c>
      <c r="F51" s="17">
        <f t="shared" si="3"/>
        <v>0.18013584842176097</v>
      </c>
      <c r="G51" s="8"/>
      <c r="H51" s="5"/>
    </row>
    <row r="52" spans="1:8" s="9" customFormat="1" x14ac:dyDescent="0.3">
      <c r="A52" s="30" t="s">
        <v>41</v>
      </c>
      <c r="B52" s="30">
        <f>+B44+B51</f>
        <v>267893</v>
      </c>
      <c r="C52" s="42">
        <f t="shared" si="2"/>
        <v>8.4610258353862669E-2</v>
      </c>
      <c r="D52" s="30">
        <f>+D44+D51</f>
        <v>262519</v>
      </c>
      <c r="E52" s="42">
        <f t="shared" si="4"/>
        <v>7.205191754014717E-2</v>
      </c>
      <c r="F52" s="17">
        <f t="shared" si="3"/>
        <v>-2.0060247934809792E-2</v>
      </c>
      <c r="G52" s="8"/>
      <c r="H52" s="5"/>
    </row>
    <row r="53" spans="1:8" x14ac:dyDescent="0.3">
      <c r="A53" s="14" t="s">
        <v>15</v>
      </c>
      <c r="B53" s="2">
        <v>-78617</v>
      </c>
      <c r="C53" s="17">
        <f t="shared" si="2"/>
        <v>-2.4830080222348557E-2</v>
      </c>
      <c r="D53" s="14">
        <v>-89048</v>
      </c>
      <c r="E53" s="17">
        <f t="shared" si="4"/>
        <v>-2.4440437275454443E-2</v>
      </c>
      <c r="F53" s="17">
        <f t="shared" si="3"/>
        <v>0.13268122670669194</v>
      </c>
    </row>
    <row r="54" spans="1:8" x14ac:dyDescent="0.3">
      <c r="A54" s="14" t="s">
        <v>18</v>
      </c>
      <c r="B54" s="2">
        <v>-522</v>
      </c>
      <c r="C54" s="17">
        <f t="shared" si="2"/>
        <v>-1.648664013644116E-4</v>
      </c>
      <c r="D54" s="14">
        <v>-2325</v>
      </c>
      <c r="E54" s="17">
        <f t="shared" si="4"/>
        <v>-6.3812793847623287E-4</v>
      </c>
      <c r="F54" s="17">
        <f t="shared" si="3"/>
        <v>3.4540229885057472</v>
      </c>
    </row>
    <row r="55" spans="1:8" s="9" customFormat="1" x14ac:dyDescent="0.3">
      <c r="A55" s="43" t="s">
        <v>17</v>
      </c>
      <c r="B55" s="43">
        <f>+B52+B53+B54</f>
        <v>188754</v>
      </c>
      <c r="C55" s="44">
        <f t="shared" si="2"/>
        <v>5.9615311730149709E-2</v>
      </c>
      <c r="D55" s="43">
        <f>+D52+D53+D54</f>
        <v>171146</v>
      </c>
      <c r="E55" s="44">
        <f t="shared" si="4"/>
        <v>4.6973352326216494E-2</v>
      </c>
      <c r="F55" s="44">
        <f>+(D55-B55)/B55</f>
        <v>-9.3285440308549752E-2</v>
      </c>
      <c r="G55" s="8"/>
      <c r="H55" s="5"/>
    </row>
    <row r="56" spans="1:8" s="9" customFormat="1" ht="15.75" thickBot="1" x14ac:dyDescent="0.35">
      <c r="A56" s="27" t="s">
        <v>19</v>
      </c>
      <c r="B56" s="64">
        <v>390030</v>
      </c>
      <c r="C56" s="45">
        <f t="shared" si="2"/>
        <v>0.12318552207693766</v>
      </c>
      <c r="D56" s="27">
        <v>418998</v>
      </c>
      <c r="E56" s="45">
        <f t="shared" si="4"/>
        <v>0.11499971181318908</v>
      </c>
      <c r="F56" s="45">
        <f>+(D56-B56)/B56</f>
        <v>7.427120990693023E-2</v>
      </c>
      <c r="G56" s="8"/>
      <c r="H56" s="5"/>
    </row>
    <row r="57" spans="1:8" x14ac:dyDescent="0.3">
      <c r="A57" s="2"/>
      <c r="C57" s="3"/>
      <c r="D57" s="10"/>
    </row>
    <row r="58" spans="1:8" x14ac:dyDescent="0.3">
      <c r="A58" s="19" t="s">
        <v>53</v>
      </c>
      <c r="B58" s="10"/>
      <c r="C58" s="10"/>
      <c r="D58" s="10"/>
    </row>
    <row r="59" spans="1:8" x14ac:dyDescent="0.3">
      <c r="D59" s="10"/>
    </row>
    <row r="61" spans="1:8" x14ac:dyDescent="0.3">
      <c r="D61" s="11"/>
    </row>
    <row r="62" spans="1:8" x14ac:dyDescent="0.3">
      <c r="E62" s="11"/>
    </row>
    <row r="79" spans="5:5" x14ac:dyDescent="0.3">
      <c r="E79" s="11"/>
    </row>
  </sheetData>
  <pageMargins left="0.70866141732283472" right="0.43307086614173229" top="0.43307086614173229" bottom="0.51181102362204722" header="0.31496062992125984" footer="0.31496062992125984"/>
  <pageSetup scale="85" orientation="portrait" r:id="rId1"/>
  <headerFooter>
    <oddFooter>&amp;C&amp;A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6" workbookViewId="0">
      <selection activeCell="C25" sqref="C25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16384" width="11.42578125" style="5"/>
  </cols>
  <sheetData>
    <row r="1" spans="1:10" x14ac:dyDescent="0.3">
      <c r="A1" s="24" t="s">
        <v>69</v>
      </c>
    </row>
    <row r="2" spans="1:10" x14ac:dyDescent="0.3">
      <c r="A2" s="24" t="s">
        <v>80</v>
      </c>
    </row>
    <row r="3" spans="1:10" x14ac:dyDescent="0.3">
      <c r="A3" s="24" t="s">
        <v>44</v>
      </c>
    </row>
    <row r="4" spans="1:10" x14ac:dyDescent="0.3">
      <c r="A4" s="24" t="s">
        <v>45</v>
      </c>
    </row>
    <row r="5" spans="1:10" ht="12" customHeight="1" x14ac:dyDescent="0.3"/>
    <row r="6" spans="1:10" x14ac:dyDescent="0.3">
      <c r="A6" s="6" t="s">
        <v>20</v>
      </c>
      <c r="B6" s="6">
        <v>2010</v>
      </c>
      <c r="C6" s="6">
        <v>2011</v>
      </c>
      <c r="D6" s="7" t="s">
        <v>46</v>
      </c>
    </row>
    <row r="7" spans="1:10" x14ac:dyDescent="0.3">
      <c r="A7" s="18" t="s">
        <v>21</v>
      </c>
      <c r="B7" s="14">
        <v>225</v>
      </c>
      <c r="C7" s="14">
        <v>94</v>
      </c>
      <c r="D7" s="17">
        <f t="shared" ref="D7:D13" si="0">IF(B7&lt;&gt;0,(C7-B7)/B7,0)</f>
        <v>-0.5822222222222222</v>
      </c>
    </row>
    <row r="8" spans="1:10" x14ac:dyDescent="0.3">
      <c r="A8" s="18" t="s">
        <v>22</v>
      </c>
      <c r="B8" s="14">
        <v>2716228</v>
      </c>
      <c r="C8" s="14">
        <v>3554895</v>
      </c>
      <c r="D8" s="17">
        <f t="shared" si="0"/>
        <v>0.30876163562116288</v>
      </c>
    </row>
    <row r="9" spans="1:10" s="11" customFormat="1" ht="14.25" customHeight="1" x14ac:dyDescent="0.3">
      <c r="A9" s="18" t="s">
        <v>23</v>
      </c>
      <c r="B9" s="14">
        <v>90361</v>
      </c>
      <c r="C9" s="14">
        <v>10662</v>
      </c>
      <c r="D9" s="17">
        <f t="shared" si="0"/>
        <v>-0.882006617899315</v>
      </c>
      <c r="E9" s="5"/>
      <c r="F9" s="5"/>
      <c r="H9" s="5"/>
      <c r="I9" s="5"/>
      <c r="J9" s="5"/>
    </row>
    <row r="10" spans="1:10" s="11" customFormat="1" hidden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  <c r="H10" s="5"/>
      <c r="I10" s="5"/>
      <c r="J10" s="5"/>
    </row>
    <row r="11" spans="1:10" s="11" customFormat="1" x14ac:dyDescent="0.3">
      <c r="A11" s="18" t="s">
        <v>59</v>
      </c>
      <c r="B11" s="14">
        <v>155</v>
      </c>
      <c r="C11" s="14">
        <f>503+155</f>
        <v>658</v>
      </c>
      <c r="D11" s="17">
        <f t="shared" si="0"/>
        <v>3.2451612903225806</v>
      </c>
      <c r="E11" s="5"/>
      <c r="F11" s="5"/>
      <c r="H11" s="5"/>
      <c r="I11" s="5"/>
      <c r="J11" s="5"/>
    </row>
    <row r="12" spans="1:10" s="11" customFormat="1" x14ac:dyDescent="0.3">
      <c r="A12" s="18" t="s">
        <v>26</v>
      </c>
      <c r="B12" s="14">
        <v>3596772</v>
      </c>
      <c r="C12" s="14">
        <v>2979150</v>
      </c>
      <c r="D12" s="17">
        <f t="shared" si="0"/>
        <v>-0.17171563835572565</v>
      </c>
      <c r="E12" s="5"/>
      <c r="F12" s="5"/>
      <c r="H12" s="5"/>
      <c r="I12" s="5"/>
      <c r="J12" s="5"/>
    </row>
    <row r="13" spans="1:10" s="11" customFormat="1" ht="15.75" thickBot="1" x14ac:dyDescent="0.35">
      <c r="A13" s="26" t="s">
        <v>27</v>
      </c>
      <c r="B13" s="27">
        <f>SUM(B7:B12)</f>
        <v>6403741</v>
      </c>
      <c r="C13" s="27">
        <f>SUM(C7:C12)</f>
        <v>6545459</v>
      </c>
      <c r="D13" s="46">
        <f t="shared" si="0"/>
        <v>2.2130501530277381E-2</v>
      </c>
      <c r="E13" s="5"/>
      <c r="F13" s="5"/>
      <c r="H13" s="5"/>
      <c r="I13" s="5"/>
      <c r="J13" s="5"/>
    </row>
    <row r="15" spans="1:10" s="11" customFormat="1" x14ac:dyDescent="0.3">
      <c r="A15" s="6" t="s">
        <v>48</v>
      </c>
      <c r="B15" s="6">
        <v>2010</v>
      </c>
      <c r="C15" s="6">
        <v>2011</v>
      </c>
      <c r="D15" s="7" t="s">
        <v>46</v>
      </c>
      <c r="E15" s="5"/>
      <c r="F15" s="5"/>
      <c r="H15" s="5"/>
      <c r="I15" s="5"/>
      <c r="J15" s="5"/>
    </row>
    <row r="16" spans="1:10" s="11" customFormat="1" x14ac:dyDescent="0.3">
      <c r="A16" s="18" t="s">
        <v>28</v>
      </c>
      <c r="B16" s="14">
        <v>445</v>
      </c>
      <c r="C16" s="14">
        <v>0</v>
      </c>
      <c r="D16" s="17">
        <f t="shared" ref="D16:D24" si="1">IF(B16&lt;&gt;0,(C16-B16)/B16,0)</f>
        <v>-1</v>
      </c>
      <c r="E16" s="5"/>
      <c r="F16" s="5"/>
      <c r="H16" s="5"/>
      <c r="I16" s="5"/>
      <c r="J16" s="5"/>
    </row>
    <row r="17" spans="1:10" s="11" customFormat="1" x14ac:dyDescent="0.3">
      <c r="A17" s="18" t="s">
        <v>29</v>
      </c>
      <c r="B17" s="14">
        <v>70420</v>
      </c>
      <c r="C17" s="14">
        <v>59466</v>
      </c>
      <c r="D17" s="17">
        <f t="shared" si="1"/>
        <v>-0.15555239988639591</v>
      </c>
      <c r="E17" s="5"/>
      <c r="F17" s="5"/>
      <c r="H17" s="5"/>
      <c r="I17" s="5"/>
      <c r="J17" s="5"/>
    </row>
    <row r="18" spans="1:10" x14ac:dyDescent="0.3">
      <c r="A18" s="18" t="s">
        <v>30</v>
      </c>
      <c r="B18" s="14">
        <v>604</v>
      </c>
      <c r="C18" s="14">
        <v>585</v>
      </c>
      <c r="D18" s="17">
        <f t="shared" si="1"/>
        <v>-3.1456953642384107E-2</v>
      </c>
    </row>
    <row r="19" spans="1:10" x14ac:dyDescent="0.3">
      <c r="A19" s="18" t="s">
        <v>31</v>
      </c>
      <c r="B19" s="14">
        <v>947</v>
      </c>
      <c r="C19" s="14">
        <v>872</v>
      </c>
      <c r="D19" s="17">
        <f t="shared" si="1"/>
        <v>-7.91974656810982E-2</v>
      </c>
    </row>
    <row r="20" spans="1:10" hidden="1" x14ac:dyDescent="0.3">
      <c r="A20" s="18" t="s">
        <v>32</v>
      </c>
      <c r="B20" s="14">
        <v>0</v>
      </c>
      <c r="C20" s="14">
        <v>0</v>
      </c>
      <c r="D20" s="17">
        <f t="shared" si="1"/>
        <v>0</v>
      </c>
    </row>
    <row r="21" spans="1:10" x14ac:dyDescent="0.3">
      <c r="A21" s="18" t="s">
        <v>24</v>
      </c>
      <c r="B21" s="14">
        <v>7650</v>
      </c>
      <c r="C21" s="14">
        <v>8296</v>
      </c>
      <c r="D21" s="17">
        <f t="shared" si="1"/>
        <v>8.4444444444444447E-2</v>
      </c>
    </row>
    <row r="22" spans="1:10" s="9" customFormat="1" x14ac:dyDescent="0.3">
      <c r="A22" s="29" t="s">
        <v>33</v>
      </c>
      <c r="B22" s="30">
        <f>SUM(B16:B21)</f>
        <v>80066</v>
      </c>
      <c r="C22" s="30">
        <f>SUM(C16:C21)</f>
        <v>69219</v>
      </c>
      <c r="D22" s="42">
        <f t="shared" si="1"/>
        <v>-0.13547573252067044</v>
      </c>
      <c r="F22" s="5"/>
      <c r="H22" s="5"/>
      <c r="I22" s="5"/>
      <c r="J22" s="5"/>
    </row>
    <row r="23" spans="1:10" s="9" customFormat="1" x14ac:dyDescent="0.3">
      <c r="A23" s="31" t="s">
        <v>34</v>
      </c>
      <c r="B23" s="32">
        <v>6323675</v>
      </c>
      <c r="C23" s="32">
        <v>6476240</v>
      </c>
      <c r="D23" s="47">
        <f t="shared" si="1"/>
        <v>2.4126002680403404E-2</v>
      </c>
      <c r="F23" s="5"/>
      <c r="H23" s="5"/>
      <c r="I23" s="5"/>
      <c r="J23" s="5"/>
    </row>
    <row r="24" spans="1:10" s="9" customFormat="1" ht="15.75" thickBot="1" x14ac:dyDescent="0.35">
      <c r="A24" s="26" t="s">
        <v>35</v>
      </c>
      <c r="B24" s="27">
        <f>+B22+B23</f>
        <v>6403741</v>
      </c>
      <c r="C24" s="27">
        <f>+C22+C23</f>
        <v>6545459</v>
      </c>
      <c r="D24" s="45">
        <f t="shared" si="1"/>
        <v>2.2130501530277381E-2</v>
      </c>
      <c r="F24" s="5"/>
      <c r="H24" s="5"/>
      <c r="I24" s="5"/>
      <c r="J24" s="5"/>
    </row>
    <row r="25" spans="1:10" x14ac:dyDescent="0.3">
      <c r="A25" s="18" t="s">
        <v>54</v>
      </c>
      <c r="B25" s="14">
        <v>435123458</v>
      </c>
      <c r="C25" s="14">
        <f>435123458+25000000</f>
        <v>460123458</v>
      </c>
      <c r="D25" s="17"/>
    </row>
    <row r="26" spans="1:10" x14ac:dyDescent="0.3">
      <c r="A26" s="18" t="s">
        <v>71</v>
      </c>
      <c r="B26" s="33">
        <f>+B23/+(B25/1000000)</f>
        <v>14533.059258781675</v>
      </c>
      <c r="C26" s="33">
        <f>+C23/+(C25/1000000)</f>
        <v>14075.005060924323</v>
      </c>
      <c r="D26" s="17"/>
    </row>
    <row r="28" spans="1:10" ht="15.75" customHeight="1" x14ac:dyDescent="0.3">
      <c r="A28" s="6" t="s">
        <v>70</v>
      </c>
      <c r="B28" s="6">
        <v>2010</v>
      </c>
      <c r="C28" s="6">
        <v>2011</v>
      </c>
      <c r="D28" s="6" t="s">
        <v>46</v>
      </c>
    </row>
    <row r="29" spans="1:10" x14ac:dyDescent="0.3">
      <c r="A29" s="19" t="s">
        <v>68</v>
      </c>
      <c r="B29" s="17"/>
      <c r="C29" s="17"/>
      <c r="D29" s="34"/>
    </row>
    <row r="30" spans="1:10" x14ac:dyDescent="0.3">
      <c r="A30" s="19" t="s">
        <v>44</v>
      </c>
      <c r="B30" s="17"/>
      <c r="C30" s="17"/>
      <c r="D30" s="34"/>
    </row>
    <row r="31" spans="1:10" x14ac:dyDescent="0.3">
      <c r="A31" s="19" t="s">
        <v>45</v>
      </c>
      <c r="B31" s="17"/>
      <c r="C31" s="17"/>
      <c r="D31" s="34"/>
    </row>
    <row r="32" spans="1:10" s="9" customFormat="1" x14ac:dyDescent="0.3">
      <c r="A32" s="19" t="s">
        <v>72</v>
      </c>
      <c r="B32" s="30">
        <v>239836.18496553999</v>
      </c>
      <c r="C32" s="30">
        <v>223644</v>
      </c>
      <c r="D32" s="17">
        <f>IF(B32&lt;&gt;0,(C32-B32)/B32,0)</f>
        <v>-6.7513519562807017E-2</v>
      </c>
      <c r="F32" s="5"/>
      <c r="G32" s="5"/>
      <c r="H32" s="5"/>
    </row>
    <row r="33" spans="1:8" x14ac:dyDescent="0.3">
      <c r="A33" s="19" t="s">
        <v>5</v>
      </c>
      <c r="B33" s="14">
        <v>1579</v>
      </c>
      <c r="C33" s="14">
        <v>11024</v>
      </c>
      <c r="D33" s="17">
        <f t="shared" ref="D33:D43" si="2">IF(B33&lt;&gt;0,(C33-B33)/B33,0)</f>
        <v>5.9816339455351493</v>
      </c>
    </row>
    <row r="34" spans="1:8" s="9" customFormat="1" x14ac:dyDescent="0.3">
      <c r="A34" s="19" t="s">
        <v>57</v>
      </c>
      <c r="B34" s="14">
        <v>30953</v>
      </c>
      <c r="C34" s="14">
        <v>33432</v>
      </c>
      <c r="D34" s="17">
        <f t="shared" si="2"/>
        <v>8.0089167447420284E-2</v>
      </c>
      <c r="F34" s="5"/>
      <c r="G34" s="5"/>
      <c r="H34" s="5"/>
    </row>
    <row r="35" spans="1:8" s="9" customFormat="1" x14ac:dyDescent="0.3">
      <c r="A35" s="19" t="s">
        <v>56</v>
      </c>
      <c r="B35" s="14">
        <v>13131</v>
      </c>
      <c r="C35" s="14">
        <v>7221</v>
      </c>
      <c r="D35" s="17">
        <f t="shared" si="2"/>
        <v>-0.45007996344528217</v>
      </c>
      <c r="F35" s="5"/>
      <c r="G35" s="5"/>
      <c r="H35" s="5"/>
    </row>
    <row r="36" spans="1:8" s="9" customFormat="1" x14ac:dyDescent="0.3">
      <c r="A36" s="35" t="s">
        <v>4</v>
      </c>
      <c r="B36" s="30">
        <f>SUM(B32:B35)</f>
        <v>285499.18496553996</v>
      </c>
      <c r="C36" s="30">
        <f>SUM(C32:C35)</f>
        <v>275321</v>
      </c>
      <c r="D36" s="17">
        <f t="shared" si="2"/>
        <v>-3.5650486941910094E-2</v>
      </c>
      <c r="F36" s="5"/>
      <c r="G36" s="5"/>
      <c r="H36" s="5"/>
    </row>
    <row r="37" spans="1:8" x14ac:dyDescent="0.3">
      <c r="A37" s="19" t="s">
        <v>58</v>
      </c>
      <c r="B37" s="14">
        <v>-11563</v>
      </c>
      <c r="C37" s="14">
        <v>-9004</v>
      </c>
      <c r="D37" s="17">
        <f t="shared" si="2"/>
        <v>-0.2213093487849174</v>
      </c>
    </row>
    <row r="38" spans="1:8" s="9" customFormat="1" x14ac:dyDescent="0.3">
      <c r="A38" s="35" t="s">
        <v>42</v>
      </c>
      <c r="B38" s="30">
        <f>SUM(B36:B37)</f>
        <v>273936.18496553996</v>
      </c>
      <c r="C38" s="30">
        <f>SUM(C36:C37)</f>
        <v>266317</v>
      </c>
      <c r="D38" s="17">
        <f t="shared" si="2"/>
        <v>-2.7813722259797179E-2</v>
      </c>
      <c r="F38" s="5"/>
      <c r="G38" s="5"/>
      <c r="H38" s="5"/>
    </row>
    <row r="39" spans="1:8" s="9" customFormat="1" x14ac:dyDescent="0.3">
      <c r="A39" s="19" t="s">
        <v>10</v>
      </c>
      <c r="B39" s="14">
        <v>7838.6339619999999</v>
      </c>
      <c r="C39" s="14">
        <v>814</v>
      </c>
      <c r="D39" s="17">
        <f t="shared" si="2"/>
        <v>-0.89615537554807434</v>
      </c>
      <c r="F39" s="5"/>
      <c r="G39" s="5"/>
      <c r="H39" s="5"/>
    </row>
    <row r="40" spans="1:8" x14ac:dyDescent="0.3">
      <c r="A40" s="19" t="s">
        <v>13</v>
      </c>
      <c r="B40" s="14">
        <v>-1496</v>
      </c>
      <c r="C40" s="14">
        <v>-11022.5</v>
      </c>
      <c r="D40" s="17">
        <f t="shared" si="2"/>
        <v>6.3679812834224601</v>
      </c>
    </row>
    <row r="41" spans="1:8" s="9" customFormat="1" x14ac:dyDescent="0.3">
      <c r="A41" s="35" t="s">
        <v>43</v>
      </c>
      <c r="B41" s="30">
        <f>SUM(B38:B40)</f>
        <v>280278.81892753998</v>
      </c>
      <c r="C41" s="30">
        <f>SUM(C38:C40)</f>
        <v>256108.5</v>
      </c>
      <c r="D41" s="17">
        <f t="shared" si="2"/>
        <v>-8.6236694660072374E-2</v>
      </c>
      <c r="F41" s="5"/>
      <c r="G41" s="5"/>
      <c r="H41" s="5"/>
    </row>
    <row r="42" spans="1:8" x14ac:dyDescent="0.3">
      <c r="A42" s="19" t="s">
        <v>15</v>
      </c>
      <c r="B42" s="14">
        <v>-1876</v>
      </c>
      <c r="C42" s="14">
        <v>-125.5</v>
      </c>
      <c r="D42" s="17">
        <f t="shared" si="2"/>
        <v>-0.9331023454157783</v>
      </c>
    </row>
    <row r="43" spans="1:8" ht="15.75" thickBot="1" x14ac:dyDescent="0.35">
      <c r="A43" s="36" t="s">
        <v>17</v>
      </c>
      <c r="B43" s="37">
        <f>SUM(B41:B42)</f>
        <v>278402.81892753998</v>
      </c>
      <c r="C43" s="37">
        <f>SUM(C41:C42)</f>
        <v>255983</v>
      </c>
      <c r="D43" s="45">
        <f t="shared" si="2"/>
        <v>-8.0530143386856989E-2</v>
      </c>
    </row>
    <row r="45" spans="1:8" x14ac:dyDescent="0.3">
      <c r="A45" s="19"/>
      <c r="B45" s="14"/>
      <c r="D45" s="17"/>
    </row>
  </sheetData>
  <phoneticPr fontId="0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25" workbookViewId="0">
      <selection activeCell="B36" sqref="B36:B56"/>
    </sheetView>
  </sheetViews>
  <sheetFormatPr baseColWidth="10" defaultRowHeight="15" x14ac:dyDescent="0.3"/>
  <cols>
    <col min="1" max="1" width="32.1406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85546875" style="3" bestFit="1" customWidth="1"/>
    <col min="6" max="6" width="11.5703125" style="4" customWidth="1"/>
    <col min="7" max="7" width="3.42578125" style="4" customWidth="1"/>
    <col min="8" max="8" width="5.7109375" style="5" customWidth="1"/>
    <col min="9" max="16384" width="11.42578125" style="5"/>
  </cols>
  <sheetData>
    <row r="1" spans="1:11" x14ac:dyDescent="0.3">
      <c r="A1" s="38" t="s">
        <v>40</v>
      </c>
    </row>
    <row r="2" spans="1:11" x14ac:dyDescent="0.3">
      <c r="A2" s="38" t="s">
        <v>85</v>
      </c>
    </row>
    <row r="3" spans="1:11" x14ac:dyDescent="0.3">
      <c r="A3" s="24" t="s">
        <v>44</v>
      </c>
    </row>
    <row r="4" spans="1:11" x14ac:dyDescent="0.3">
      <c r="A4" s="24" t="s">
        <v>45</v>
      </c>
      <c r="F4" s="23"/>
      <c r="G4" s="23"/>
      <c r="H4" s="66"/>
      <c r="I4" s="66"/>
      <c r="J4" s="66"/>
      <c r="K4" s="66"/>
    </row>
    <row r="5" spans="1:11" x14ac:dyDescent="0.3">
      <c r="F5" s="23"/>
      <c r="G5" s="23"/>
      <c r="H5" s="66"/>
      <c r="I5" s="66"/>
      <c r="J5" s="66"/>
      <c r="K5" s="66"/>
    </row>
    <row r="6" spans="1:11" x14ac:dyDescent="0.3">
      <c r="A6" s="6" t="s">
        <v>20</v>
      </c>
      <c r="B6" s="6">
        <v>2010</v>
      </c>
      <c r="C6" s="6">
        <v>2011</v>
      </c>
      <c r="D6" s="7" t="s">
        <v>46</v>
      </c>
      <c r="E6" s="20"/>
      <c r="F6" s="23"/>
      <c r="G6" s="23"/>
      <c r="H6" s="71"/>
      <c r="I6" s="66"/>
      <c r="J6" s="66"/>
      <c r="K6" s="66"/>
    </row>
    <row r="7" spans="1:11" x14ac:dyDescent="0.3">
      <c r="A7" s="18" t="s">
        <v>21</v>
      </c>
      <c r="B7" s="14">
        <v>133389</v>
      </c>
      <c r="C7" s="14">
        <v>193087</v>
      </c>
      <c r="D7" s="17">
        <f>+(C7-B7)/B7</f>
        <v>0.44754814864793946</v>
      </c>
      <c r="E7" s="21"/>
      <c r="F7" s="23"/>
      <c r="G7" s="23"/>
      <c r="H7" s="70"/>
      <c r="I7" s="66"/>
      <c r="J7" s="66"/>
      <c r="K7" s="66"/>
    </row>
    <row r="8" spans="1:11" x14ac:dyDescent="0.3">
      <c r="A8" s="18" t="s">
        <v>22</v>
      </c>
      <c r="B8" s="14">
        <v>330481</v>
      </c>
      <c r="C8" s="14">
        <v>329071</v>
      </c>
      <c r="D8" s="17">
        <f t="shared" ref="D8:D16" si="0">+(C8-B8)/B8</f>
        <v>-4.2665085133487251E-3</v>
      </c>
      <c r="E8" s="21"/>
      <c r="F8" s="23"/>
      <c r="G8" s="23"/>
      <c r="H8" s="71"/>
      <c r="I8" s="66"/>
      <c r="J8" s="66"/>
      <c r="K8" s="66"/>
    </row>
    <row r="9" spans="1:11" x14ac:dyDescent="0.3">
      <c r="A9" s="18" t="s">
        <v>23</v>
      </c>
      <c r="B9" s="14">
        <v>586256</v>
      </c>
      <c r="C9" s="14">
        <v>650631</v>
      </c>
      <c r="D9" s="17">
        <f t="shared" si="0"/>
        <v>0.10980697852132856</v>
      </c>
      <c r="E9" s="21"/>
      <c r="F9" s="23"/>
      <c r="G9" s="23"/>
      <c r="H9" s="71"/>
      <c r="I9" s="66"/>
      <c r="J9" s="66"/>
      <c r="K9" s="66"/>
    </row>
    <row r="10" spans="1:11" x14ac:dyDescent="0.3">
      <c r="A10" s="18" t="s">
        <v>36</v>
      </c>
      <c r="B10" s="14">
        <v>553016</v>
      </c>
      <c r="C10" s="14">
        <v>601866</v>
      </c>
      <c r="D10" s="17">
        <f t="shared" si="0"/>
        <v>8.8333791427372813E-2</v>
      </c>
      <c r="E10" s="21"/>
      <c r="F10" s="23"/>
      <c r="G10" s="23"/>
      <c r="H10" s="71"/>
      <c r="I10" s="66"/>
      <c r="J10" s="66"/>
      <c r="K10" s="66"/>
    </row>
    <row r="11" spans="1:11" x14ac:dyDescent="0.3">
      <c r="A11" s="18" t="s">
        <v>60</v>
      </c>
      <c r="B11" s="14">
        <v>988793</v>
      </c>
      <c r="C11" s="14">
        <v>1009855</v>
      </c>
      <c r="D11" s="17">
        <f t="shared" si="0"/>
        <v>2.1300717136953841E-2</v>
      </c>
      <c r="E11" s="21"/>
      <c r="F11" s="23"/>
      <c r="G11" s="23"/>
      <c r="H11" s="71"/>
      <c r="I11" s="66"/>
      <c r="J11" s="66"/>
      <c r="K11" s="66"/>
    </row>
    <row r="12" spans="1:11" x14ac:dyDescent="0.3">
      <c r="A12" s="18" t="s">
        <v>47</v>
      </c>
      <c r="B12" s="14">
        <v>853564</v>
      </c>
      <c r="C12" s="14">
        <v>900384</v>
      </c>
      <c r="D12" s="17">
        <f t="shared" si="0"/>
        <v>5.4852360221377662E-2</v>
      </c>
      <c r="E12" s="21"/>
      <c r="F12" s="23"/>
      <c r="G12" s="23"/>
      <c r="H12" s="71"/>
      <c r="I12" s="66"/>
      <c r="J12" s="66"/>
      <c r="K12" s="66"/>
    </row>
    <row r="13" spans="1:11" x14ac:dyDescent="0.3">
      <c r="A13" s="18" t="s">
        <v>24</v>
      </c>
      <c r="B13" s="14">
        <v>67002</v>
      </c>
      <c r="C13" s="14">
        <v>130401</v>
      </c>
      <c r="D13" s="17">
        <f t="shared" si="0"/>
        <v>0.94622548580639387</v>
      </c>
      <c r="E13" s="21"/>
      <c r="F13" s="23"/>
      <c r="G13" s="23"/>
      <c r="H13" s="71"/>
      <c r="I13" s="66"/>
      <c r="J13" s="66"/>
      <c r="K13" s="66"/>
    </row>
    <row r="14" spans="1:11" x14ac:dyDescent="0.3">
      <c r="A14" s="18" t="s">
        <v>25</v>
      </c>
      <c r="B14" s="14">
        <v>16902</v>
      </c>
      <c r="C14" s="14">
        <v>18323</v>
      </c>
      <c r="D14" s="17">
        <f t="shared" si="0"/>
        <v>8.4072890782155962E-2</v>
      </c>
      <c r="E14" s="21"/>
      <c r="F14" s="23"/>
      <c r="G14" s="23"/>
      <c r="H14" s="71"/>
      <c r="I14" s="66"/>
      <c r="J14" s="66"/>
      <c r="K14" s="66"/>
    </row>
    <row r="15" spans="1:11" x14ac:dyDescent="0.3">
      <c r="A15" s="18" t="s">
        <v>26</v>
      </c>
      <c r="B15" s="14">
        <v>4555288</v>
      </c>
      <c r="C15" s="14">
        <v>4097551</v>
      </c>
      <c r="D15" s="17">
        <f t="shared" si="0"/>
        <v>-0.10048475529977469</v>
      </c>
      <c r="E15" s="21"/>
      <c r="F15" s="23"/>
      <c r="G15" s="23"/>
      <c r="H15" s="71"/>
      <c r="I15" s="66"/>
      <c r="J15" s="66"/>
      <c r="K15" s="66"/>
    </row>
    <row r="16" spans="1:11" ht="15.75" thickBot="1" x14ac:dyDescent="0.35">
      <c r="A16" s="26" t="s">
        <v>27</v>
      </c>
      <c r="B16" s="27">
        <f>SUM(B7:B15)</f>
        <v>8084691</v>
      </c>
      <c r="C16" s="27">
        <f>SUM(C7:C15)</f>
        <v>7931169</v>
      </c>
      <c r="D16" s="45">
        <f t="shared" si="0"/>
        <v>-1.8989222964736686E-2</v>
      </c>
      <c r="E16" s="22"/>
      <c r="F16" s="23"/>
      <c r="G16" s="23"/>
      <c r="H16" s="71"/>
      <c r="I16" s="66"/>
      <c r="J16" s="66"/>
      <c r="K16" s="66"/>
    </row>
    <row r="17" spans="1:11" x14ac:dyDescent="0.3">
      <c r="A17" s="1"/>
      <c r="B17" s="14"/>
      <c r="C17" s="14"/>
      <c r="E17" s="21"/>
      <c r="F17" s="23"/>
      <c r="G17" s="23"/>
      <c r="H17" s="71"/>
      <c r="I17" s="66"/>
      <c r="J17" s="66"/>
      <c r="K17" s="66"/>
    </row>
    <row r="18" spans="1:11" x14ac:dyDescent="0.3">
      <c r="A18" s="6" t="s">
        <v>48</v>
      </c>
      <c r="B18" s="6">
        <v>2010</v>
      </c>
      <c r="C18" s="6">
        <v>2011</v>
      </c>
      <c r="D18" s="7" t="s">
        <v>46</v>
      </c>
      <c r="E18" s="20"/>
      <c r="F18" s="23"/>
      <c r="G18" s="23"/>
      <c r="H18" s="70"/>
      <c r="I18" s="66"/>
      <c r="J18" s="66"/>
      <c r="K18" s="66"/>
    </row>
    <row r="19" spans="1:11" x14ac:dyDescent="0.3">
      <c r="A19" s="18" t="s">
        <v>28</v>
      </c>
      <c r="B19" s="14">
        <v>1126326</v>
      </c>
      <c r="C19" s="14">
        <v>679598</v>
      </c>
      <c r="D19" s="17">
        <f t="shared" ref="D19:D30" si="1">+(C19-B19)/B19</f>
        <v>-0.39662406798742106</v>
      </c>
      <c r="E19" s="21"/>
      <c r="F19" s="23"/>
      <c r="G19" s="23"/>
      <c r="H19" s="71"/>
      <c r="I19" s="66"/>
      <c r="J19" s="66"/>
      <c r="K19" s="66"/>
    </row>
    <row r="20" spans="1:11" x14ac:dyDescent="0.3">
      <c r="A20" s="18" t="s">
        <v>49</v>
      </c>
      <c r="B20" s="14">
        <v>165155</v>
      </c>
      <c r="C20" s="14">
        <v>163168</v>
      </c>
      <c r="D20" s="17">
        <f t="shared" si="1"/>
        <v>-1.2031122279071176E-2</v>
      </c>
      <c r="E20" s="21"/>
      <c r="F20" s="23"/>
      <c r="G20" s="23"/>
      <c r="H20" s="70"/>
      <c r="I20" s="66"/>
      <c r="J20" s="66"/>
      <c r="K20" s="66"/>
    </row>
    <row r="21" spans="1:11" x14ac:dyDescent="0.3">
      <c r="A21" s="18" t="s">
        <v>38</v>
      </c>
      <c r="B21" s="14">
        <v>209038</v>
      </c>
      <c r="C21" s="14">
        <v>217244</v>
      </c>
      <c r="D21" s="17">
        <f t="shared" si="1"/>
        <v>3.9256020436475664E-2</v>
      </c>
      <c r="E21" s="21"/>
      <c r="F21" s="23"/>
      <c r="G21" s="23"/>
      <c r="H21" s="71"/>
      <c r="I21" s="66"/>
      <c r="J21" s="66"/>
      <c r="K21" s="66"/>
    </row>
    <row r="22" spans="1:11" x14ac:dyDescent="0.3">
      <c r="A22" s="18" t="s">
        <v>30</v>
      </c>
      <c r="B22" s="14">
        <v>68247</v>
      </c>
      <c r="C22" s="14">
        <v>132822</v>
      </c>
      <c r="D22" s="17">
        <f t="shared" si="1"/>
        <v>0.94619543716207311</v>
      </c>
      <c r="E22" s="21"/>
      <c r="F22" s="23"/>
      <c r="G22" s="23"/>
      <c r="H22" s="71"/>
      <c r="I22" s="66"/>
      <c r="J22" s="66"/>
      <c r="K22" s="66"/>
    </row>
    <row r="23" spans="1:11" x14ac:dyDescent="0.3">
      <c r="A23" s="18" t="s">
        <v>31</v>
      </c>
      <c r="B23" s="14">
        <v>88387</v>
      </c>
      <c r="C23" s="14">
        <v>96429</v>
      </c>
      <c r="D23" s="17">
        <f t="shared" si="1"/>
        <v>9.0986231006822266E-2</v>
      </c>
      <c r="E23" s="21"/>
      <c r="F23" s="23"/>
      <c r="G23" s="23"/>
      <c r="H23" s="71"/>
      <c r="I23" s="66"/>
      <c r="J23" s="66"/>
      <c r="K23" s="66"/>
    </row>
    <row r="24" spans="1:11" x14ac:dyDescent="0.3">
      <c r="A24" s="18" t="s">
        <v>32</v>
      </c>
      <c r="B24" s="14">
        <v>31651</v>
      </c>
      <c r="C24" s="14">
        <v>33608</v>
      </c>
      <c r="D24" s="17">
        <f t="shared" si="1"/>
        <v>6.1830589870778177E-2</v>
      </c>
      <c r="E24" s="21"/>
      <c r="F24" s="23"/>
      <c r="G24" s="23"/>
      <c r="H24" s="71"/>
      <c r="I24" s="66"/>
      <c r="J24" s="66"/>
      <c r="K24" s="66"/>
    </row>
    <row r="25" spans="1:11" x14ac:dyDescent="0.3">
      <c r="A25" s="18" t="s">
        <v>24</v>
      </c>
      <c r="B25" s="14">
        <v>58990</v>
      </c>
      <c r="C25" s="14">
        <v>112430</v>
      </c>
      <c r="D25" s="17">
        <f t="shared" si="1"/>
        <v>0.90591625699271061</v>
      </c>
      <c r="E25" s="21"/>
      <c r="F25" s="23"/>
      <c r="G25" s="23"/>
      <c r="H25" s="71"/>
      <c r="I25" s="66"/>
      <c r="J25" s="66"/>
      <c r="K25" s="66"/>
    </row>
    <row r="26" spans="1:11" x14ac:dyDescent="0.3">
      <c r="A26" s="18" t="s">
        <v>0</v>
      </c>
      <c r="B26" s="14">
        <v>1983</v>
      </c>
      <c r="C26" s="14">
        <v>5031</v>
      </c>
      <c r="D26" s="17">
        <f t="shared" si="1"/>
        <v>1.5370650529500756</v>
      </c>
      <c r="E26" s="21"/>
      <c r="F26" s="23"/>
      <c r="G26" s="23"/>
      <c r="H26" s="71"/>
      <c r="I26" s="66"/>
      <c r="J26" s="66"/>
      <c r="K26" s="66"/>
    </row>
    <row r="27" spans="1:11" x14ac:dyDescent="0.3">
      <c r="A27" s="18" t="s">
        <v>33</v>
      </c>
      <c r="B27" s="30">
        <f>SUM(B19:B26)</f>
        <v>1749777</v>
      </c>
      <c r="C27" s="30">
        <f>SUM(C19:C26)</f>
        <v>1440330</v>
      </c>
      <c r="D27" s="17">
        <f t="shared" si="1"/>
        <v>-0.17684939280834072</v>
      </c>
      <c r="E27" s="21"/>
      <c r="F27" s="23"/>
      <c r="G27" s="23"/>
      <c r="H27" s="71"/>
      <c r="I27" s="66"/>
      <c r="J27" s="66"/>
      <c r="K27" s="66"/>
    </row>
    <row r="28" spans="1:11" x14ac:dyDescent="0.3">
      <c r="A28" s="18" t="s">
        <v>39</v>
      </c>
      <c r="B28" s="14">
        <v>11268</v>
      </c>
      <c r="C28" s="14">
        <v>16209</v>
      </c>
      <c r="D28" s="17">
        <f t="shared" si="1"/>
        <v>0.43849840255591055</v>
      </c>
      <c r="E28" s="21"/>
      <c r="F28" s="23"/>
      <c r="G28" s="23"/>
      <c r="H28" s="71"/>
      <c r="I28" s="66"/>
      <c r="J28" s="66"/>
      <c r="K28" s="66"/>
    </row>
    <row r="29" spans="1:11" x14ac:dyDescent="0.3">
      <c r="A29" s="32" t="s">
        <v>34</v>
      </c>
      <c r="B29" s="32">
        <v>6323646</v>
      </c>
      <c r="C29" s="32">
        <v>6474630</v>
      </c>
      <c r="D29" s="47">
        <f t="shared" si="1"/>
        <v>2.3876099326243121E-2</v>
      </c>
      <c r="E29" s="22"/>
      <c r="F29" s="23"/>
      <c r="G29" s="23"/>
      <c r="H29" s="70"/>
      <c r="I29" s="66"/>
      <c r="J29" s="66"/>
      <c r="K29" s="66"/>
    </row>
    <row r="30" spans="1:11" ht="15.75" thickBot="1" x14ac:dyDescent="0.35">
      <c r="A30" s="27" t="s">
        <v>35</v>
      </c>
      <c r="B30" s="27">
        <f>+B27+B28+B29</f>
        <v>8084691</v>
      </c>
      <c r="C30" s="27">
        <f>+C27+C28+C29</f>
        <v>7931169</v>
      </c>
      <c r="D30" s="45">
        <f t="shared" si="1"/>
        <v>-1.8989222964736686E-2</v>
      </c>
      <c r="E30" s="22"/>
      <c r="F30" s="23"/>
      <c r="G30" s="23"/>
      <c r="H30" s="70"/>
      <c r="I30" s="66"/>
      <c r="J30" s="66"/>
      <c r="K30" s="66"/>
    </row>
    <row r="31" spans="1:11" x14ac:dyDescent="0.3">
      <c r="A31" s="19"/>
      <c r="B31" s="14"/>
      <c r="C31" s="14"/>
      <c r="D31" s="17"/>
      <c r="E31" s="21"/>
      <c r="F31" s="23"/>
      <c r="G31" s="23"/>
      <c r="H31" s="70"/>
      <c r="I31" s="66"/>
      <c r="J31" s="66"/>
      <c r="K31" s="66"/>
    </row>
    <row r="32" spans="1:11" x14ac:dyDescent="0.3">
      <c r="A32" s="41" t="s">
        <v>3</v>
      </c>
      <c r="B32" s="14"/>
      <c r="C32" s="14"/>
      <c r="D32" s="17"/>
      <c r="E32" s="21"/>
      <c r="F32" s="23"/>
      <c r="G32" s="23"/>
      <c r="H32" s="70"/>
      <c r="I32" s="66"/>
      <c r="J32" s="66"/>
      <c r="K32" s="66"/>
    </row>
    <row r="33" spans="1:8" x14ac:dyDescent="0.3">
      <c r="A33" s="41" t="s">
        <v>68</v>
      </c>
      <c r="B33" s="14"/>
      <c r="C33" s="14"/>
      <c r="D33" s="17"/>
      <c r="E33" s="21"/>
      <c r="F33" s="23"/>
    </row>
    <row r="34" spans="1:8" x14ac:dyDescent="0.3">
      <c r="A34" s="41" t="s">
        <v>44</v>
      </c>
      <c r="B34" s="14"/>
      <c r="C34" s="14"/>
      <c r="D34" s="17"/>
      <c r="E34" s="21"/>
      <c r="F34" s="23"/>
    </row>
    <row r="35" spans="1:8" x14ac:dyDescent="0.3">
      <c r="A35" s="41" t="s">
        <v>45</v>
      </c>
      <c r="B35" s="14"/>
      <c r="C35" s="14"/>
      <c r="D35" s="17"/>
      <c r="E35" s="21"/>
      <c r="F35" s="23"/>
    </row>
    <row r="36" spans="1:8" x14ac:dyDescent="0.3">
      <c r="A36" s="6"/>
      <c r="B36" s="6">
        <v>2010</v>
      </c>
      <c r="C36" s="6" t="s">
        <v>55</v>
      </c>
      <c r="D36" s="6">
        <v>2011</v>
      </c>
      <c r="E36" s="6" t="s">
        <v>55</v>
      </c>
      <c r="F36" s="7" t="s">
        <v>46</v>
      </c>
    </row>
    <row r="37" spans="1:8" s="9" customFormat="1" x14ac:dyDescent="0.3">
      <c r="A37" s="30" t="s">
        <v>4</v>
      </c>
      <c r="B37" s="50">
        <v>4458858</v>
      </c>
      <c r="C37" s="42">
        <v>1</v>
      </c>
      <c r="D37" s="50">
        <v>5057382.6182662696</v>
      </c>
      <c r="E37" s="42">
        <v>1</v>
      </c>
      <c r="F37" s="17">
        <f>IF(B37&lt;&gt;0,(D37-B37)/B37,0)</f>
        <v>0.13423271570125569</v>
      </c>
      <c r="G37" s="8"/>
      <c r="H37" s="5"/>
    </row>
    <row r="38" spans="1:8" x14ac:dyDescent="0.3">
      <c r="A38" s="14" t="s">
        <v>50</v>
      </c>
      <c r="B38" s="51">
        <v>-2587907.8744791602</v>
      </c>
      <c r="C38" s="17">
        <f t="shared" ref="C38:C55" si="2">+B38/$B$37</f>
        <v>-0.58039701521760956</v>
      </c>
      <c r="D38" s="51">
        <v>-3030201.8461819952</v>
      </c>
      <c r="E38" s="17">
        <f>+D38/$D$37</f>
        <v>-0.59916404885750651</v>
      </c>
      <c r="F38" s="17">
        <f t="shared" ref="F38:F54" si="3">IF(B38&lt;&gt;0,(D38-B38)/B38,0)</f>
        <v>0.17090792762159307</v>
      </c>
    </row>
    <row r="39" spans="1:8" s="9" customFormat="1" x14ac:dyDescent="0.3">
      <c r="A39" s="30" t="s">
        <v>6</v>
      </c>
      <c r="B39" s="30">
        <f>SUM(B37:B38)</f>
        <v>1870950.1255208398</v>
      </c>
      <c r="C39" s="42">
        <f t="shared" si="2"/>
        <v>0.41960298478239044</v>
      </c>
      <c r="D39" s="30">
        <f>SUM(D37:D38)</f>
        <v>2027180.7720842743</v>
      </c>
      <c r="E39" s="42">
        <f t="shared" ref="E39:E56" si="4">+D39/$D$37</f>
        <v>0.40083595114249349</v>
      </c>
      <c r="F39" s="17">
        <f t="shared" si="3"/>
        <v>8.3503373196515657E-2</v>
      </c>
      <c r="G39" s="8"/>
      <c r="H39" s="5"/>
    </row>
    <row r="40" spans="1:8" x14ac:dyDescent="0.3">
      <c r="A40" s="14" t="s">
        <v>7</v>
      </c>
      <c r="B40" s="14">
        <v>-212941</v>
      </c>
      <c r="C40" s="17">
        <f t="shared" si="2"/>
        <v>-4.7756847156828049E-2</v>
      </c>
      <c r="D40" s="14">
        <v>-250061.17590559012</v>
      </c>
      <c r="E40" s="17">
        <f t="shared" si="4"/>
        <v>-4.9444780982640789E-2</v>
      </c>
      <c r="F40" s="17">
        <f t="shared" si="3"/>
        <v>0.17432141253018499</v>
      </c>
    </row>
    <row r="41" spans="1:8" x14ac:dyDescent="0.3">
      <c r="A41" s="14" t="s">
        <v>8</v>
      </c>
      <c r="B41" s="14">
        <v>-1103652</v>
      </c>
      <c r="C41" s="17">
        <f t="shared" si="2"/>
        <v>-0.24751898356036456</v>
      </c>
      <c r="D41" s="14">
        <v>-1221301.5797654777</v>
      </c>
      <c r="E41" s="17">
        <f t="shared" si="4"/>
        <v>-0.24148886330141939</v>
      </c>
      <c r="F41" s="17">
        <f t="shared" si="3"/>
        <v>0.10660025059119875</v>
      </c>
    </row>
    <row r="42" spans="1:8" x14ac:dyDescent="0.3">
      <c r="A42" s="14" t="s">
        <v>84</v>
      </c>
      <c r="B42" s="14">
        <v>-121613</v>
      </c>
      <c r="C42" s="17">
        <f t="shared" si="2"/>
        <v>-2.7274472521887892E-2</v>
      </c>
      <c r="D42" s="14">
        <v>-123323</v>
      </c>
      <c r="E42" s="17">
        <f t="shared" si="4"/>
        <v>-2.4384747864356085E-2</v>
      </c>
      <c r="F42" s="17">
        <f t="shared" si="3"/>
        <v>1.4060996768437585E-2</v>
      </c>
    </row>
    <row r="43" spans="1:8" s="9" customFormat="1" x14ac:dyDescent="0.3">
      <c r="A43" s="30" t="s">
        <v>9</v>
      </c>
      <c r="B43" s="30">
        <f>SUM(B40:B42)</f>
        <v>-1438206</v>
      </c>
      <c r="C43" s="42">
        <f t="shared" si="2"/>
        <v>-0.32255030323908052</v>
      </c>
      <c r="D43" s="30">
        <f>SUM(D40:D42)</f>
        <v>-1594685.7556710679</v>
      </c>
      <c r="E43" s="42">
        <f t="shared" si="4"/>
        <v>-0.31531839214841628</v>
      </c>
      <c r="F43" s="17">
        <f t="shared" si="3"/>
        <v>0.10880204620970005</v>
      </c>
      <c r="G43" s="8"/>
      <c r="H43" s="5"/>
    </row>
    <row r="44" spans="1:8" s="9" customFormat="1" x14ac:dyDescent="0.3">
      <c r="A44" s="30" t="s">
        <v>1</v>
      </c>
      <c r="B44" s="30">
        <f>+B39+B43</f>
        <v>432744.12552083982</v>
      </c>
      <c r="C44" s="42">
        <f t="shared" si="2"/>
        <v>9.7052681543309927E-2</v>
      </c>
      <c r="D44" s="30">
        <f>+D39+D43</f>
        <v>432495.01641320647</v>
      </c>
      <c r="E44" s="42">
        <f t="shared" si="4"/>
        <v>8.5517558994077231E-2</v>
      </c>
      <c r="F44" s="17">
        <f t="shared" si="3"/>
        <v>-5.7564988856528734E-4</v>
      </c>
      <c r="G44" s="8"/>
      <c r="H44" s="5"/>
    </row>
    <row r="45" spans="1:8" x14ac:dyDescent="0.3">
      <c r="A45" s="14" t="s">
        <v>51</v>
      </c>
      <c r="B45" s="14">
        <v>8084</v>
      </c>
      <c r="C45" s="17">
        <f t="shared" si="2"/>
        <v>1.8130202845661378E-3</v>
      </c>
      <c r="D45" s="14">
        <v>7592</v>
      </c>
      <c r="E45" s="17">
        <f t="shared" si="4"/>
        <v>1.5011717667117357E-3</v>
      </c>
      <c r="F45" s="17">
        <f t="shared" si="3"/>
        <v>-6.0860959920831272E-2</v>
      </c>
    </row>
    <row r="46" spans="1:8" x14ac:dyDescent="0.3">
      <c r="A46" s="14" t="s">
        <v>11</v>
      </c>
      <c r="B46" s="14">
        <v>-79867</v>
      </c>
      <c r="C46" s="17">
        <f t="shared" si="2"/>
        <v>-1.7911985535309715E-2</v>
      </c>
      <c r="D46" s="14">
        <v>-84666</v>
      </c>
      <c r="E46" s="17">
        <f t="shared" si="4"/>
        <v>-1.6741070706061095E-2</v>
      </c>
      <c r="F46" s="17">
        <f t="shared" si="3"/>
        <v>6.0087395294677402E-2</v>
      </c>
    </row>
    <row r="47" spans="1:8" x14ac:dyDescent="0.3">
      <c r="A47" s="14" t="s">
        <v>12</v>
      </c>
      <c r="B47" s="14">
        <v>-28926</v>
      </c>
      <c r="C47" s="17">
        <f t="shared" si="2"/>
        <v>-6.487311325007435E-3</v>
      </c>
      <c r="D47" s="14">
        <v>-3636</v>
      </c>
      <c r="E47" s="17">
        <f t="shared" si="4"/>
        <v>-7.1894896519545195E-4</v>
      </c>
      <c r="F47" s="17">
        <f t="shared" si="3"/>
        <v>-0.87429993777224646</v>
      </c>
    </row>
    <row r="48" spans="1:8" x14ac:dyDescent="0.3">
      <c r="A48" s="14" t="s">
        <v>52</v>
      </c>
      <c r="B48" s="14">
        <v>-23551</v>
      </c>
      <c r="C48" s="17">
        <f t="shared" si="2"/>
        <v>-5.2818457102693115E-3</v>
      </c>
      <c r="D48" s="14">
        <v>-26933</v>
      </c>
      <c r="E48" s="17">
        <f t="shared" si="4"/>
        <v>-5.3254819800905139E-3</v>
      </c>
      <c r="F48" s="17">
        <f t="shared" si="3"/>
        <v>0.14360324402360833</v>
      </c>
    </row>
    <row r="49" spans="1:9" x14ac:dyDescent="0.3">
      <c r="A49" s="14" t="s">
        <v>14</v>
      </c>
      <c r="B49" s="14">
        <v>30996</v>
      </c>
      <c r="C49" s="17">
        <f t="shared" si="2"/>
        <v>6.9515557571019305E-3</v>
      </c>
      <c r="D49" s="14">
        <v>33531</v>
      </c>
      <c r="E49" s="17">
        <f t="shared" si="4"/>
        <v>6.6301093927306652E-3</v>
      </c>
      <c r="F49" s="17">
        <f t="shared" si="3"/>
        <v>8.1784746418892759E-2</v>
      </c>
    </row>
    <row r="50" spans="1:9" x14ac:dyDescent="0.3">
      <c r="A50" s="14" t="s">
        <v>16</v>
      </c>
      <c r="B50" s="14">
        <v>1513.7364279999999</v>
      </c>
      <c r="C50" s="17">
        <f t="shared" si="2"/>
        <v>3.3948971418242067E-4</v>
      </c>
      <c r="D50" s="14">
        <v>11185</v>
      </c>
      <c r="E50" s="17">
        <f t="shared" si="4"/>
        <v>2.2116183101515761E-3</v>
      </c>
      <c r="F50" s="17">
        <f t="shared" si="3"/>
        <v>6.3890010130614368</v>
      </c>
    </row>
    <row r="51" spans="1:9" s="9" customFormat="1" x14ac:dyDescent="0.3">
      <c r="A51" s="30" t="s">
        <v>2</v>
      </c>
      <c r="B51" s="30">
        <f>SUM(B45:B50)</f>
        <v>-91750.263571999996</v>
      </c>
      <c r="C51" s="42">
        <f t="shared" si="2"/>
        <v>-2.0577076814735969E-2</v>
      </c>
      <c r="D51" s="30">
        <f>SUM(D45:D50)</f>
        <v>-62927</v>
      </c>
      <c r="E51" s="42">
        <f t="shared" si="4"/>
        <v>-1.2442602181753082E-2</v>
      </c>
      <c r="F51" s="17">
        <f t="shared" si="3"/>
        <v>-0.31414910922170008</v>
      </c>
      <c r="G51" s="8"/>
      <c r="H51" s="5"/>
    </row>
    <row r="52" spans="1:9" s="9" customFormat="1" x14ac:dyDescent="0.3">
      <c r="A52" s="30" t="s">
        <v>41</v>
      </c>
      <c r="B52" s="30">
        <f>+B44+B51</f>
        <v>340993.86194883985</v>
      </c>
      <c r="C52" s="42">
        <f t="shared" si="2"/>
        <v>7.6475604728573968E-2</v>
      </c>
      <c r="D52" s="30">
        <f>+D44+D51</f>
        <v>369568.01641320647</v>
      </c>
      <c r="E52" s="42">
        <f t="shared" si="4"/>
        <v>7.3074956812324149E-2</v>
      </c>
      <c r="F52" s="17">
        <f t="shared" si="3"/>
        <v>8.3796682735168007E-2</v>
      </c>
      <c r="G52" s="8"/>
      <c r="H52" s="5"/>
    </row>
    <row r="53" spans="1:9" x14ac:dyDescent="0.3">
      <c r="A53" s="14" t="s">
        <v>15</v>
      </c>
      <c r="B53" s="14">
        <v>-76992.534036829995</v>
      </c>
      <c r="C53" s="17">
        <f t="shared" si="2"/>
        <v>-1.7267321371712219E-2</v>
      </c>
      <c r="D53" s="14">
        <v>-113919.04882074999</v>
      </c>
      <c r="E53" s="17">
        <f t="shared" si="4"/>
        <v>-2.2525297652840587E-2</v>
      </c>
      <c r="F53" s="17">
        <f t="shared" si="3"/>
        <v>0.47961163047648098</v>
      </c>
    </row>
    <row r="54" spans="1:9" x14ac:dyDescent="0.3">
      <c r="A54" s="14" t="s">
        <v>18</v>
      </c>
      <c r="B54" s="14">
        <v>-762.45166136</v>
      </c>
      <c r="C54" s="17">
        <f t="shared" si="2"/>
        <v>-1.709970717524532E-4</v>
      </c>
      <c r="D54" s="14">
        <v>-2137.6216936399992</v>
      </c>
      <c r="E54" s="17">
        <f t="shared" si="4"/>
        <v>-4.2267351612261463E-4</v>
      </c>
      <c r="F54" s="17">
        <f t="shared" si="3"/>
        <v>1.8036160218040336</v>
      </c>
    </row>
    <row r="55" spans="1:9" s="9" customFormat="1" x14ac:dyDescent="0.3">
      <c r="A55" s="43" t="s">
        <v>17</v>
      </c>
      <c r="B55" s="43">
        <f>+B52+B53+B54</f>
        <v>263238.87625064986</v>
      </c>
      <c r="C55" s="44">
        <f t="shared" si="2"/>
        <v>5.9037286285109292E-2</v>
      </c>
      <c r="D55" s="43">
        <f>+D52+D53+D54</f>
        <v>253511.34589881651</v>
      </c>
      <c r="E55" s="44">
        <f t="shared" si="4"/>
        <v>5.0126985643360954E-2</v>
      </c>
      <c r="F55" s="44">
        <f>+(D55-B55)/B55</f>
        <v>-3.6953243724422484E-2</v>
      </c>
      <c r="G55" s="8"/>
      <c r="H55" s="5"/>
      <c r="I55" s="60"/>
    </row>
    <row r="56" spans="1:9" s="9" customFormat="1" ht="15.75" thickBot="1" x14ac:dyDescent="0.35">
      <c r="A56" s="27" t="s">
        <v>19</v>
      </c>
      <c r="B56" s="27">
        <v>538165</v>
      </c>
      <c r="C56" s="45">
        <f>+B56/$B$37</f>
        <v>0.12069570280103112</v>
      </c>
      <c r="D56" s="27">
        <v>568131.17041880696</v>
      </c>
      <c r="E56" s="45">
        <f t="shared" si="4"/>
        <v>0.11233699589325694</v>
      </c>
      <c r="F56" s="45">
        <f>+(D56-B56)/B56</f>
        <v>5.5682124290518623E-2</v>
      </c>
      <c r="G56" s="8"/>
      <c r="H56" s="5"/>
    </row>
    <row r="57" spans="1:9" x14ac:dyDescent="0.3">
      <c r="A57" s="2"/>
      <c r="C57" s="3"/>
      <c r="D57" s="10"/>
    </row>
    <row r="58" spans="1:9" x14ac:dyDescent="0.3">
      <c r="A58" s="19" t="s">
        <v>53</v>
      </c>
      <c r="B58" s="10"/>
      <c r="C58" s="10"/>
      <c r="D58" s="10"/>
    </row>
    <row r="59" spans="1:9" x14ac:dyDescent="0.3">
      <c r="A59" s="5" t="s">
        <v>86</v>
      </c>
      <c r="D59" s="10"/>
    </row>
    <row r="61" spans="1:9" x14ac:dyDescent="0.3">
      <c r="D61" s="11"/>
    </row>
    <row r="62" spans="1:9" x14ac:dyDescent="0.3">
      <c r="E62" s="11"/>
    </row>
    <row r="79" spans="5:5" x14ac:dyDescent="0.3">
      <c r="E79" s="1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C24" sqref="C24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16384" width="11.42578125" style="5"/>
  </cols>
  <sheetData>
    <row r="1" spans="1:6" x14ac:dyDescent="0.3">
      <c r="A1" s="24" t="s">
        <v>69</v>
      </c>
    </row>
    <row r="2" spans="1:6" x14ac:dyDescent="0.3">
      <c r="A2" s="24" t="s">
        <v>76</v>
      </c>
    </row>
    <row r="3" spans="1:6" x14ac:dyDescent="0.3">
      <c r="A3" s="24" t="s">
        <v>44</v>
      </c>
    </row>
    <row r="4" spans="1:6" x14ac:dyDescent="0.3">
      <c r="A4" s="24" t="s">
        <v>45</v>
      </c>
    </row>
    <row r="5" spans="1:6" ht="12" customHeight="1" x14ac:dyDescent="0.3"/>
    <row r="6" spans="1:6" x14ac:dyDescent="0.3">
      <c r="A6" s="6" t="s">
        <v>20</v>
      </c>
      <c r="B6" s="6">
        <v>2011</v>
      </c>
      <c r="C6" s="6">
        <v>2012</v>
      </c>
      <c r="D6" s="7" t="s">
        <v>46</v>
      </c>
    </row>
    <row r="7" spans="1:6" x14ac:dyDescent="0.3">
      <c r="A7" s="18" t="s">
        <v>21</v>
      </c>
      <c r="B7" s="14">
        <v>130</v>
      </c>
      <c r="C7" s="14">
        <v>109</v>
      </c>
      <c r="D7" s="17">
        <f t="shared" ref="D7:D12" si="0">IF(B7&lt;&gt;0,(C7-B7)/B7,0)</f>
        <v>-0.16153846153846155</v>
      </c>
    </row>
    <row r="8" spans="1:6" x14ac:dyDescent="0.3">
      <c r="A8" s="18" t="s">
        <v>22</v>
      </c>
      <c r="B8" s="14">
        <v>2761293</v>
      </c>
      <c r="C8" s="14">
        <v>3542714</v>
      </c>
      <c r="D8" s="17">
        <f t="shared" si="0"/>
        <v>0.28299097560454467</v>
      </c>
      <c r="F8" s="2"/>
    </row>
    <row r="9" spans="1:6" x14ac:dyDescent="0.3">
      <c r="A9" s="18" t="s">
        <v>23</v>
      </c>
      <c r="B9" s="14">
        <v>115108</v>
      </c>
      <c r="C9" s="14">
        <v>57620</v>
      </c>
      <c r="D9" s="17">
        <f t="shared" si="0"/>
        <v>-0.49942662543003091</v>
      </c>
    </row>
    <row r="10" spans="1:6" x14ac:dyDescent="0.3">
      <c r="A10" s="18" t="s">
        <v>83</v>
      </c>
      <c r="B10" s="14">
        <f>155+514</f>
        <v>669</v>
      </c>
      <c r="C10" s="14">
        <v>751</v>
      </c>
      <c r="D10" s="17">
        <f t="shared" si="0"/>
        <v>0.12257100149476831</v>
      </c>
    </row>
    <row r="11" spans="1:6" x14ac:dyDescent="0.3">
      <c r="A11" s="18" t="s">
        <v>26</v>
      </c>
      <c r="B11" s="14">
        <v>3491549</v>
      </c>
      <c r="C11" s="14">
        <v>2984131</v>
      </c>
      <c r="D11" s="17">
        <f t="shared" si="0"/>
        <v>-0.1453274749974868</v>
      </c>
    </row>
    <row r="12" spans="1:6" ht="15.75" thickBot="1" x14ac:dyDescent="0.35">
      <c r="A12" s="26" t="s">
        <v>27</v>
      </c>
      <c r="B12" s="27">
        <f>SUM(B7:B11)</f>
        <v>6368749</v>
      </c>
      <c r="C12" s="27">
        <f>SUM(C7:C11)</f>
        <v>6585325</v>
      </c>
      <c r="D12" s="46">
        <f t="shared" si="0"/>
        <v>3.400605048181362E-2</v>
      </c>
    </row>
    <row r="14" spans="1:6" x14ac:dyDescent="0.3">
      <c r="A14" s="6" t="s">
        <v>48</v>
      </c>
      <c r="B14" s="6">
        <v>2011</v>
      </c>
      <c r="C14" s="6">
        <v>2012</v>
      </c>
      <c r="D14" s="7" t="s">
        <v>46</v>
      </c>
    </row>
    <row r="15" spans="1:6" hidden="1" x14ac:dyDescent="0.3">
      <c r="A15" s="18" t="s">
        <v>28</v>
      </c>
      <c r="B15" s="14">
        <v>0</v>
      </c>
      <c r="C15" s="14">
        <v>0</v>
      </c>
      <c r="D15" s="17">
        <f t="shared" ref="D15:D23" si="1">IF(B15&lt;&gt;0,(C15-B15)/B15,0)</f>
        <v>0</v>
      </c>
    </row>
    <row r="16" spans="1:6" x14ac:dyDescent="0.3">
      <c r="A16" s="18" t="s">
        <v>29</v>
      </c>
      <c r="B16" s="14">
        <v>209621</v>
      </c>
      <c r="C16" s="14">
        <v>196694</v>
      </c>
      <c r="D16" s="17">
        <f t="shared" si="1"/>
        <v>-6.1668439707853698E-2</v>
      </c>
    </row>
    <row r="17" spans="1:6" x14ac:dyDescent="0.3">
      <c r="A17" s="18" t="s">
        <v>30</v>
      </c>
      <c r="B17" s="14">
        <v>928</v>
      </c>
      <c r="C17" s="14">
        <v>884</v>
      </c>
      <c r="D17" s="17">
        <f t="shared" si="1"/>
        <v>-4.7413793103448273E-2</v>
      </c>
    </row>
    <row r="18" spans="1:6" x14ac:dyDescent="0.3">
      <c r="A18" s="18" t="s">
        <v>31</v>
      </c>
      <c r="B18" s="14">
        <v>908</v>
      </c>
      <c r="C18" s="14">
        <v>789</v>
      </c>
      <c r="D18" s="17">
        <f t="shared" si="1"/>
        <v>-0.13105726872246695</v>
      </c>
    </row>
    <row r="19" spans="1:6" x14ac:dyDescent="0.3">
      <c r="A19" s="18" t="s">
        <v>32</v>
      </c>
      <c r="B19" s="14">
        <v>676</v>
      </c>
      <c r="C19" s="14">
        <v>269</v>
      </c>
      <c r="D19" s="17">
        <f t="shared" si="1"/>
        <v>-0.60207100591715978</v>
      </c>
    </row>
    <row r="20" spans="1:6" x14ac:dyDescent="0.3">
      <c r="A20" s="18" t="s">
        <v>24</v>
      </c>
      <c r="B20" s="14">
        <v>33412</v>
      </c>
      <c r="C20" s="14">
        <v>35612</v>
      </c>
      <c r="D20" s="17">
        <f t="shared" si="1"/>
        <v>6.5844606728121632E-2</v>
      </c>
    </row>
    <row r="21" spans="1:6" s="9" customFormat="1" x14ac:dyDescent="0.3">
      <c r="A21" s="29" t="s">
        <v>33</v>
      </c>
      <c r="B21" s="30">
        <f>SUM(B15:B20)</f>
        <v>245545</v>
      </c>
      <c r="C21" s="30">
        <f>SUM(C15:C20)</f>
        <v>234248</v>
      </c>
      <c r="D21" s="42">
        <f t="shared" si="1"/>
        <v>-4.6007860066382945E-2</v>
      </c>
    </row>
    <row r="22" spans="1:6" s="9" customFormat="1" x14ac:dyDescent="0.3">
      <c r="A22" s="31" t="s">
        <v>34</v>
      </c>
      <c r="B22" s="32">
        <v>6123205</v>
      </c>
      <c r="C22" s="32">
        <v>6351077</v>
      </c>
      <c r="D22" s="47">
        <f t="shared" si="1"/>
        <v>3.7214497963076527E-2</v>
      </c>
    </row>
    <row r="23" spans="1:6" s="9" customFormat="1" ht="15.75" thickBot="1" x14ac:dyDescent="0.35">
      <c r="A23" s="26" t="s">
        <v>35</v>
      </c>
      <c r="B23" s="27">
        <f>+B21+B22</f>
        <v>6368750</v>
      </c>
      <c r="C23" s="27">
        <f>+C21+C22</f>
        <v>6585325</v>
      </c>
      <c r="D23" s="45">
        <f t="shared" si="1"/>
        <v>3.4005888125613344E-2</v>
      </c>
      <c r="F23" s="60"/>
    </row>
    <row r="24" spans="1:6" x14ac:dyDescent="0.3">
      <c r="A24" s="18" t="s">
        <v>54</v>
      </c>
      <c r="B24" s="14">
        <v>435123458</v>
      </c>
      <c r="C24" s="14">
        <f>435123458+25000000</f>
        <v>460123458</v>
      </c>
      <c r="D24" s="17"/>
    </row>
    <row r="25" spans="1:6" x14ac:dyDescent="0.3">
      <c r="A25" s="18" t="s">
        <v>71</v>
      </c>
      <c r="B25" s="33">
        <f>+B22/+(B24/1000000)</f>
        <v>14072.339441648764</v>
      </c>
      <c r="C25" s="33">
        <f>+C22/+(C24/1000000)</f>
        <v>13802.984589409914</v>
      </c>
      <c r="D25" s="17"/>
    </row>
    <row r="27" spans="1:6" ht="15.75" customHeight="1" x14ac:dyDescent="0.3">
      <c r="A27" s="6" t="s">
        <v>70</v>
      </c>
      <c r="B27" s="6">
        <v>2011</v>
      </c>
      <c r="C27" s="6">
        <v>2012</v>
      </c>
      <c r="D27" s="6" t="s">
        <v>46</v>
      </c>
    </row>
    <row r="28" spans="1:6" x14ac:dyDescent="0.3">
      <c r="A28" s="19" t="s">
        <v>66</v>
      </c>
      <c r="B28" s="17"/>
      <c r="C28" s="17"/>
      <c r="D28" s="34"/>
    </row>
    <row r="29" spans="1:6" x14ac:dyDescent="0.3">
      <c r="A29" s="19" t="s">
        <v>44</v>
      </c>
      <c r="B29" s="17"/>
      <c r="C29" s="17"/>
      <c r="D29" s="34"/>
    </row>
    <row r="30" spans="1:6" x14ac:dyDescent="0.3">
      <c r="A30" s="19" t="s">
        <v>45</v>
      </c>
      <c r="B30" s="17"/>
      <c r="C30" s="17"/>
      <c r="D30" s="34"/>
    </row>
    <row r="31" spans="1:6" s="9" customFormat="1" x14ac:dyDescent="0.3">
      <c r="A31" s="19" t="s">
        <v>72</v>
      </c>
      <c r="B31" s="30">
        <v>60625</v>
      </c>
      <c r="C31" s="30">
        <v>55583</v>
      </c>
      <c r="D31" s="17">
        <f>IF(B31&lt;&gt;0,(C31-B31)/B31,0)</f>
        <v>-8.3167010309278352E-2</v>
      </c>
    </row>
    <row r="32" spans="1:6" hidden="1" x14ac:dyDescent="0.3">
      <c r="A32" s="19" t="s">
        <v>5</v>
      </c>
      <c r="B32" s="14">
        <v>0</v>
      </c>
      <c r="C32" s="14">
        <v>0</v>
      </c>
      <c r="D32" s="17">
        <f t="shared" ref="D32:D42" si="2">IF(B32&lt;&gt;0,(C32-B32)/B32,0)</f>
        <v>0</v>
      </c>
    </row>
    <row r="33" spans="1:6" s="9" customFormat="1" x14ac:dyDescent="0.3">
      <c r="A33" s="19" t="s">
        <v>57</v>
      </c>
      <c r="B33" s="14">
        <v>7650</v>
      </c>
      <c r="C33" s="14">
        <v>8296</v>
      </c>
      <c r="D33" s="17">
        <f t="shared" si="2"/>
        <v>8.4444444444444447E-2</v>
      </c>
    </row>
    <row r="34" spans="1:6" s="9" customFormat="1" x14ac:dyDescent="0.3">
      <c r="A34" s="19" t="s">
        <v>56</v>
      </c>
      <c r="B34" s="14">
        <v>1782</v>
      </c>
      <c r="C34" s="14">
        <v>2095</v>
      </c>
      <c r="D34" s="17">
        <f t="shared" si="2"/>
        <v>0.17564534231200898</v>
      </c>
    </row>
    <row r="35" spans="1:6" s="9" customFormat="1" x14ac:dyDescent="0.3">
      <c r="A35" s="35" t="s">
        <v>4</v>
      </c>
      <c r="B35" s="30">
        <f>SUM(B31:B34)</f>
        <v>70057</v>
      </c>
      <c r="C35" s="30">
        <f>SUM(C31:C34)</f>
        <v>65974</v>
      </c>
      <c r="D35" s="17">
        <f t="shared" si="2"/>
        <v>-5.8281113950069227E-2</v>
      </c>
    </row>
    <row r="36" spans="1:6" x14ac:dyDescent="0.3">
      <c r="A36" s="19" t="s">
        <v>58</v>
      </c>
      <c r="B36" s="14">
        <v>-6318</v>
      </c>
      <c r="C36" s="14">
        <v>-8176</v>
      </c>
      <c r="D36" s="17">
        <f t="shared" si="2"/>
        <v>0.29408040519151629</v>
      </c>
    </row>
    <row r="37" spans="1:6" s="9" customFormat="1" x14ac:dyDescent="0.3">
      <c r="A37" s="35" t="s">
        <v>42</v>
      </c>
      <c r="B37" s="30">
        <f>SUM(B35:B36)</f>
        <v>63739</v>
      </c>
      <c r="C37" s="30">
        <f>SUM(C35:C36)</f>
        <v>57798</v>
      </c>
      <c r="D37" s="17">
        <f t="shared" si="2"/>
        <v>-9.3208239853151131E-2</v>
      </c>
    </row>
    <row r="38" spans="1:6" s="9" customFormat="1" x14ac:dyDescent="0.3">
      <c r="A38" s="19" t="s">
        <v>10</v>
      </c>
      <c r="B38" s="14">
        <v>30</v>
      </c>
      <c r="C38" s="14">
        <v>652</v>
      </c>
      <c r="D38" s="17">
        <f t="shared" si="2"/>
        <v>20.733333333333334</v>
      </c>
      <c r="F38" s="60"/>
    </row>
    <row r="39" spans="1:6" x14ac:dyDescent="0.3">
      <c r="A39" s="19" t="s">
        <v>13</v>
      </c>
      <c r="B39" s="14">
        <v>-346</v>
      </c>
      <c r="C39" s="14">
        <v>-25</v>
      </c>
      <c r="D39" s="17">
        <f t="shared" si="2"/>
        <v>-0.9277456647398844</v>
      </c>
    </row>
    <row r="40" spans="1:6" s="9" customFormat="1" x14ac:dyDescent="0.3">
      <c r="A40" s="35" t="s">
        <v>43</v>
      </c>
      <c r="B40" s="30">
        <f>SUM(B37:B39)</f>
        <v>63423</v>
      </c>
      <c r="C40" s="30">
        <f>SUM(C37:C39)</f>
        <v>58425</v>
      </c>
      <c r="D40" s="17">
        <f t="shared" si="2"/>
        <v>-7.8804219289532185E-2</v>
      </c>
    </row>
    <row r="41" spans="1:6" x14ac:dyDescent="0.3">
      <c r="A41" s="19" t="s">
        <v>15</v>
      </c>
      <c r="B41" s="14">
        <v>-483</v>
      </c>
      <c r="C41" s="14">
        <v>-8</v>
      </c>
      <c r="D41" s="17">
        <f t="shared" si="2"/>
        <v>-0.9834368530020704</v>
      </c>
    </row>
    <row r="42" spans="1:6" ht="15.75" thickBot="1" x14ac:dyDescent="0.35">
      <c r="A42" s="36" t="s">
        <v>17</v>
      </c>
      <c r="B42" s="37">
        <f>SUM(B40:B41)</f>
        <v>62940</v>
      </c>
      <c r="C42" s="37">
        <f>SUM(C40:C41)</f>
        <v>58417</v>
      </c>
      <c r="D42" s="45">
        <f t="shared" si="2"/>
        <v>-7.1862090880203372E-2</v>
      </c>
    </row>
    <row r="44" spans="1:6" x14ac:dyDescent="0.3">
      <c r="A44" s="19"/>
      <c r="B44" s="14"/>
      <c r="C44" s="14"/>
      <c r="D44" s="17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4" zoomScale="87" zoomScaleNormal="87" workbookViewId="0">
      <selection activeCell="C15" sqref="C15"/>
    </sheetView>
  </sheetViews>
  <sheetFormatPr baseColWidth="10" defaultRowHeight="15" x14ac:dyDescent="0.3"/>
  <cols>
    <col min="1" max="1" width="29" style="5" customWidth="1"/>
    <col min="2" max="2" width="15.5703125" style="2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8" width="11.42578125" style="5"/>
    <col min="9" max="9" width="4.42578125" style="5" customWidth="1"/>
    <col min="10" max="10" width="11.42578125" style="5"/>
    <col min="11" max="11" width="11.42578125" style="5" customWidth="1"/>
    <col min="12" max="16384" width="11.42578125" style="5"/>
  </cols>
  <sheetData>
    <row r="1" spans="1:6" x14ac:dyDescent="0.3">
      <c r="A1" s="38" t="s">
        <v>40</v>
      </c>
    </row>
    <row r="2" spans="1:6" x14ac:dyDescent="0.3">
      <c r="A2" s="38" t="s">
        <v>65</v>
      </c>
    </row>
    <row r="3" spans="1:6" x14ac:dyDescent="0.3">
      <c r="A3" s="24" t="s">
        <v>44</v>
      </c>
    </row>
    <row r="4" spans="1:6" x14ac:dyDescent="0.3">
      <c r="A4" s="24" t="s">
        <v>45</v>
      </c>
    </row>
    <row r="6" spans="1:6" x14ac:dyDescent="0.3">
      <c r="A6" s="6" t="s">
        <v>20</v>
      </c>
      <c r="B6" s="6">
        <v>2011</v>
      </c>
      <c r="C6" s="6">
        <v>2012</v>
      </c>
      <c r="D6" s="7" t="s">
        <v>46</v>
      </c>
      <c r="E6" s="20"/>
      <c r="F6" s="23"/>
    </row>
    <row r="7" spans="1:6" x14ac:dyDescent="0.3">
      <c r="A7" s="18" t="s">
        <v>21</v>
      </c>
      <c r="B7" s="14">
        <v>142952</v>
      </c>
      <c r="C7" s="14">
        <v>177321</v>
      </c>
      <c r="D7" s="17">
        <f>+(C7-B7)/B7</f>
        <v>0.24042335888969724</v>
      </c>
      <c r="E7" s="21"/>
      <c r="F7" s="23"/>
    </row>
    <row r="8" spans="1:6" x14ac:dyDescent="0.3">
      <c r="A8" s="18" t="s">
        <v>22</v>
      </c>
      <c r="B8" s="14">
        <v>330081</v>
      </c>
      <c r="C8" s="14">
        <v>329162</v>
      </c>
      <c r="D8" s="17">
        <f t="shared" ref="D8:D16" si="0">+(C8-B8)/B8</f>
        <v>-2.7841650988696715E-3</v>
      </c>
      <c r="E8" s="21"/>
      <c r="F8" s="23"/>
    </row>
    <row r="9" spans="1:6" x14ac:dyDescent="0.3">
      <c r="A9" s="18" t="s">
        <v>23</v>
      </c>
      <c r="B9" s="14">
        <v>580616</v>
      </c>
      <c r="C9" s="14">
        <v>598382</v>
      </c>
      <c r="D9" s="17">
        <f t="shared" si="0"/>
        <v>3.0598536726511152E-2</v>
      </c>
      <c r="E9" s="21"/>
      <c r="F9" s="23"/>
    </row>
    <row r="10" spans="1:6" x14ac:dyDescent="0.3">
      <c r="A10" s="18" t="s">
        <v>36</v>
      </c>
      <c r="B10" s="14">
        <v>603158</v>
      </c>
      <c r="C10" s="14">
        <v>618213</v>
      </c>
      <c r="D10" s="17">
        <f t="shared" si="0"/>
        <v>2.4960292328046713E-2</v>
      </c>
      <c r="E10" s="21"/>
      <c r="F10" s="23"/>
    </row>
    <row r="11" spans="1:6" x14ac:dyDescent="0.3">
      <c r="A11" s="18" t="s">
        <v>60</v>
      </c>
      <c r="B11" s="14">
        <v>991415</v>
      </c>
      <c r="C11" s="14">
        <v>1001592</v>
      </c>
      <c r="D11" s="17">
        <f t="shared" si="0"/>
        <v>1.0265126107634038E-2</v>
      </c>
      <c r="E11" s="21"/>
      <c r="F11" s="23"/>
    </row>
    <row r="12" spans="1:6" x14ac:dyDescent="0.3">
      <c r="A12" s="18" t="s">
        <v>47</v>
      </c>
      <c r="B12" s="14">
        <v>914935</v>
      </c>
      <c r="C12" s="14">
        <v>874473</v>
      </c>
      <c r="D12" s="17">
        <f t="shared" si="0"/>
        <v>-4.4223906616317005E-2</v>
      </c>
      <c r="E12" s="21"/>
      <c r="F12" s="23"/>
    </row>
    <row r="13" spans="1:6" x14ac:dyDescent="0.3">
      <c r="A13" s="18" t="s">
        <v>24</v>
      </c>
      <c r="B13" s="14">
        <v>127839</v>
      </c>
      <c r="C13" s="14">
        <v>130230</v>
      </c>
      <c r="D13" s="17">
        <f t="shared" si="0"/>
        <v>1.8703212634642009E-2</v>
      </c>
      <c r="E13" s="21"/>
      <c r="F13" s="23"/>
    </row>
    <row r="14" spans="1:6" x14ac:dyDescent="0.3">
      <c r="A14" s="18" t="s">
        <v>25</v>
      </c>
      <c r="B14" s="14">
        <v>1918</v>
      </c>
      <c r="C14" s="14">
        <v>3829</v>
      </c>
      <c r="D14" s="17">
        <f t="shared" si="0"/>
        <v>0.9963503649635036</v>
      </c>
      <c r="E14" s="21"/>
      <c r="F14" s="23"/>
    </row>
    <row r="15" spans="1:6" x14ac:dyDescent="0.3">
      <c r="A15" s="18" t="s">
        <v>26</v>
      </c>
      <c r="B15" s="14">
        <v>4453767</v>
      </c>
      <c r="C15" s="14">
        <v>4110159</v>
      </c>
      <c r="D15" s="17">
        <f t="shared" si="0"/>
        <v>-7.7149972147173396E-2</v>
      </c>
      <c r="E15" s="21"/>
      <c r="F15" s="23"/>
    </row>
    <row r="16" spans="1:6" ht="15.75" thickBot="1" x14ac:dyDescent="0.35">
      <c r="A16" s="26" t="s">
        <v>27</v>
      </c>
      <c r="B16" s="27">
        <f>SUM(B7:B15)</f>
        <v>8146681</v>
      </c>
      <c r="C16" s="27">
        <f>SUM(C7:C15)</f>
        <v>7843361</v>
      </c>
      <c r="D16" s="45">
        <f t="shared" si="0"/>
        <v>-3.7232340384998501E-2</v>
      </c>
      <c r="E16" s="22"/>
      <c r="F16" s="23"/>
    </row>
    <row r="17" spans="1:6" x14ac:dyDescent="0.3">
      <c r="A17" s="1"/>
      <c r="E17" s="21"/>
      <c r="F17" s="23"/>
    </row>
    <row r="18" spans="1:6" x14ac:dyDescent="0.3">
      <c r="A18" s="6" t="s">
        <v>48</v>
      </c>
      <c r="B18" s="6">
        <v>2011</v>
      </c>
      <c r="C18" s="6">
        <v>2012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1217196</v>
      </c>
      <c r="C19" s="14">
        <v>642131</v>
      </c>
      <c r="D19" s="17">
        <f t="shared" ref="D19:D30" si="1">+(C19-B19)/B19</f>
        <v>-0.47245061600596783</v>
      </c>
      <c r="E19" s="21"/>
      <c r="F19" s="23"/>
    </row>
    <row r="20" spans="1:6" x14ac:dyDescent="0.3">
      <c r="A20" s="18" t="s">
        <v>49</v>
      </c>
      <c r="B20" s="14">
        <v>175140</v>
      </c>
      <c r="C20" s="14">
        <v>136657</v>
      </c>
      <c r="D20" s="17">
        <f t="shared" si="1"/>
        <v>-0.21972707548247117</v>
      </c>
      <c r="E20" s="21"/>
      <c r="F20" s="23"/>
    </row>
    <row r="21" spans="1:6" x14ac:dyDescent="0.3">
      <c r="A21" s="18" t="s">
        <v>38</v>
      </c>
      <c r="B21" s="14">
        <v>256621</v>
      </c>
      <c r="C21" s="14">
        <v>293302</v>
      </c>
      <c r="D21" s="17">
        <f t="shared" si="1"/>
        <v>0.14293841891349499</v>
      </c>
      <c r="E21" s="21"/>
      <c r="F21" s="23"/>
    </row>
    <row r="22" spans="1:6" x14ac:dyDescent="0.3">
      <c r="A22" s="18" t="s">
        <v>30</v>
      </c>
      <c r="B22" s="14">
        <v>112082</v>
      </c>
      <c r="C22" s="14">
        <v>99542</v>
      </c>
      <c r="D22" s="17">
        <f t="shared" si="1"/>
        <v>-0.11188237183490658</v>
      </c>
      <c r="E22" s="21"/>
      <c r="F22" s="23"/>
    </row>
    <row r="23" spans="1:6" x14ac:dyDescent="0.3">
      <c r="A23" s="18" t="s">
        <v>31</v>
      </c>
      <c r="B23" s="14">
        <v>68008</v>
      </c>
      <c r="C23" s="14">
        <v>55807</v>
      </c>
      <c r="D23" s="17">
        <f t="shared" si="1"/>
        <v>-0.17940536407481472</v>
      </c>
      <c r="E23" s="21"/>
      <c r="F23" s="23"/>
    </row>
    <row r="24" spans="1:6" x14ac:dyDescent="0.3">
      <c r="A24" s="18" t="s">
        <v>32</v>
      </c>
      <c r="B24" s="14">
        <v>119419</v>
      </c>
      <c r="C24" s="14">
        <v>120700</v>
      </c>
      <c r="D24" s="17">
        <f t="shared" si="1"/>
        <v>1.0726936249675512E-2</v>
      </c>
      <c r="E24" s="21"/>
      <c r="F24" s="23"/>
    </row>
    <row r="25" spans="1:6" x14ac:dyDescent="0.3">
      <c r="A25" s="18" t="s">
        <v>24</v>
      </c>
      <c r="B25" s="14">
        <v>59708</v>
      </c>
      <c r="C25" s="14">
        <v>124973</v>
      </c>
      <c r="D25" s="17">
        <f t="shared" si="1"/>
        <v>1.09306960541301</v>
      </c>
      <c r="E25" s="21"/>
      <c r="F25" s="23"/>
    </row>
    <row r="26" spans="1:6" x14ac:dyDescent="0.3">
      <c r="A26" s="18" t="s">
        <v>0</v>
      </c>
      <c r="B26" s="14">
        <v>5690</v>
      </c>
      <c r="C26" s="14">
        <v>2698</v>
      </c>
      <c r="D26" s="17">
        <f t="shared" si="1"/>
        <v>-0.52583479789103693</v>
      </c>
      <c r="E26" s="21"/>
      <c r="F26" s="23"/>
    </row>
    <row r="27" spans="1:6" x14ac:dyDescent="0.3">
      <c r="A27" s="18" t="s">
        <v>33</v>
      </c>
      <c r="B27" s="14">
        <v>2013864</v>
      </c>
      <c r="C27" s="14">
        <f>SUM(C19:C26)</f>
        <v>1475810</v>
      </c>
      <c r="D27" s="17">
        <f t="shared" si="1"/>
        <v>-0.26717494329309227</v>
      </c>
      <c r="E27" s="21"/>
      <c r="F27" s="23"/>
    </row>
    <row r="28" spans="1:6" x14ac:dyDescent="0.3">
      <c r="A28" s="18" t="s">
        <v>39</v>
      </c>
      <c r="B28" s="14">
        <v>13367</v>
      </c>
      <c r="C28" s="14">
        <v>15020</v>
      </c>
      <c r="D28" s="17">
        <f t="shared" si="1"/>
        <v>0.12366275155233036</v>
      </c>
      <c r="E28" s="21"/>
      <c r="F28" s="23"/>
    </row>
    <row r="29" spans="1:6" x14ac:dyDescent="0.3">
      <c r="A29" s="32" t="s">
        <v>34</v>
      </c>
      <c r="B29" s="32">
        <v>6119450</v>
      </c>
      <c r="C29" s="32">
        <v>6352531</v>
      </c>
      <c r="D29" s="47">
        <f t="shared" si="1"/>
        <v>3.8088553709892226E-2</v>
      </c>
      <c r="E29" s="22"/>
      <c r="F29" s="22"/>
    </row>
    <row r="30" spans="1:6" ht="15.75" thickBot="1" x14ac:dyDescent="0.35">
      <c r="A30" s="27" t="s">
        <v>35</v>
      </c>
      <c r="B30" s="27">
        <f>+B27+B28+B29</f>
        <v>8146681</v>
      </c>
      <c r="C30" s="27">
        <f>+C27+C28+C29</f>
        <v>7843361</v>
      </c>
      <c r="D30" s="45">
        <f t="shared" si="1"/>
        <v>-3.7232340384998501E-2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8" x14ac:dyDescent="0.3">
      <c r="A33" s="41" t="s">
        <v>66</v>
      </c>
      <c r="B33" s="14"/>
      <c r="C33" s="14"/>
      <c r="D33" s="17"/>
    </row>
    <row r="34" spans="1:8" x14ac:dyDescent="0.3">
      <c r="A34" s="41" t="s">
        <v>44</v>
      </c>
      <c r="B34" s="14"/>
      <c r="C34" s="14"/>
      <c r="D34" s="17"/>
    </row>
    <row r="35" spans="1:8" x14ac:dyDescent="0.3">
      <c r="A35" s="41" t="s">
        <v>45</v>
      </c>
      <c r="B35" s="14"/>
      <c r="C35" s="14"/>
      <c r="D35" s="17"/>
    </row>
    <row r="36" spans="1:8" x14ac:dyDescent="0.3">
      <c r="A36" s="6"/>
      <c r="B36" s="6">
        <v>2011</v>
      </c>
      <c r="C36" s="6" t="s">
        <v>55</v>
      </c>
      <c r="D36" s="6">
        <v>2012</v>
      </c>
      <c r="E36" s="6" t="s">
        <v>55</v>
      </c>
      <c r="F36" s="7" t="s">
        <v>46</v>
      </c>
    </row>
    <row r="37" spans="1:8" s="9" customFormat="1" x14ac:dyDescent="0.3">
      <c r="A37" s="30" t="s">
        <v>4</v>
      </c>
      <c r="B37" s="50">
        <v>1149123</v>
      </c>
      <c r="C37" s="42">
        <v>1</v>
      </c>
      <c r="D37" s="50">
        <v>1237546</v>
      </c>
      <c r="E37" s="42">
        <v>1</v>
      </c>
      <c r="F37" s="17">
        <f>IF(B37&lt;&gt;0,(D37-B37)/B37,0)</f>
        <v>7.6948246619378435E-2</v>
      </c>
      <c r="G37" s="8"/>
    </row>
    <row r="38" spans="1:8" x14ac:dyDescent="0.3">
      <c r="A38" s="14" t="s">
        <v>50</v>
      </c>
      <c r="B38" s="51">
        <v>-686128</v>
      </c>
      <c r="C38" s="17">
        <f t="shared" ref="C38:C56" si="2">+B38/$B$37</f>
        <v>-0.59708838827523247</v>
      </c>
      <c r="D38" s="51">
        <v>-724520</v>
      </c>
      <c r="E38" s="17">
        <f>+D38/$D$37</f>
        <v>-0.58544894492810773</v>
      </c>
      <c r="F38" s="17">
        <f t="shared" ref="F38:F54" si="3">IF(B38&lt;&gt;0,(D38-B38)/B38,0)</f>
        <v>5.5954574073642238E-2</v>
      </c>
    </row>
    <row r="39" spans="1:8" s="9" customFormat="1" x14ac:dyDescent="0.3">
      <c r="A39" s="30" t="s">
        <v>6</v>
      </c>
      <c r="B39" s="30">
        <f>SUM(B37:B38)</f>
        <v>462995</v>
      </c>
      <c r="C39" s="42">
        <f t="shared" si="2"/>
        <v>0.40291161172476747</v>
      </c>
      <c r="D39" s="30">
        <f>SUM(D37:D38)</f>
        <v>513026</v>
      </c>
      <c r="E39" s="42">
        <f t="shared" ref="E39:E56" si="4">+D39/$D$37</f>
        <v>0.41455105507189227</v>
      </c>
      <c r="F39" s="17">
        <f t="shared" si="3"/>
        <v>0.10805948228382596</v>
      </c>
      <c r="G39" s="8"/>
    </row>
    <row r="40" spans="1:8" x14ac:dyDescent="0.3">
      <c r="A40" s="14" t="s">
        <v>7</v>
      </c>
      <c r="B40" s="14">
        <v>-60137</v>
      </c>
      <c r="C40" s="17">
        <f t="shared" si="2"/>
        <v>-5.2332953043320862E-2</v>
      </c>
      <c r="D40" s="14">
        <v>-59529</v>
      </c>
      <c r="E40" s="17">
        <f t="shared" si="4"/>
        <v>-4.8102454373413192E-2</v>
      </c>
      <c r="F40" s="17">
        <f t="shared" si="3"/>
        <v>-1.0110248266458254E-2</v>
      </c>
    </row>
    <row r="41" spans="1:8" x14ac:dyDescent="0.3">
      <c r="A41" s="14" t="s">
        <v>8</v>
      </c>
      <c r="B41" s="14">
        <v>-273436</v>
      </c>
      <c r="C41" s="17">
        <f t="shared" si="2"/>
        <v>-0.23795189896991009</v>
      </c>
      <c r="D41" s="14">
        <v>-305689</v>
      </c>
      <c r="E41" s="17">
        <f t="shared" si="4"/>
        <v>-0.24701223227257815</v>
      </c>
      <c r="F41" s="17">
        <f t="shared" si="3"/>
        <v>0.11795447563598063</v>
      </c>
    </row>
    <row r="42" spans="1:8" x14ac:dyDescent="0.3">
      <c r="A42" s="14" t="s">
        <v>84</v>
      </c>
      <c r="B42" s="14">
        <v>-24055</v>
      </c>
      <c r="C42" s="17">
        <f>+B42/$B$37</f>
        <v>-2.0933355263100643E-2</v>
      </c>
      <c r="D42" s="14">
        <v>-33091</v>
      </c>
      <c r="E42" s="17">
        <f t="shared" si="4"/>
        <v>-2.6739208077921951E-2</v>
      </c>
      <c r="F42" s="17">
        <f t="shared" si="3"/>
        <v>0.37563916025774269</v>
      </c>
    </row>
    <row r="43" spans="1:8" s="9" customFormat="1" x14ac:dyDescent="0.3">
      <c r="A43" s="30" t="s">
        <v>9</v>
      </c>
      <c r="B43" s="30">
        <f>SUM(B40:B42)</f>
        <v>-357628</v>
      </c>
      <c r="C43" s="42">
        <f>+B43/$B$37</f>
        <v>-0.31121820727633159</v>
      </c>
      <c r="D43" s="30">
        <f>SUM(D40:D42)</f>
        <v>-398309</v>
      </c>
      <c r="E43" s="42">
        <f t="shared" si="4"/>
        <v>-0.32185389472391329</v>
      </c>
      <c r="F43" s="17">
        <f t="shared" si="3"/>
        <v>0.11375227890433635</v>
      </c>
      <c r="G43" s="8"/>
    </row>
    <row r="44" spans="1:8" s="9" customFormat="1" x14ac:dyDescent="0.3">
      <c r="A44" s="30" t="s">
        <v>1</v>
      </c>
      <c r="B44" s="30">
        <f>+B39+B43</f>
        <v>105367</v>
      </c>
      <c r="C44" s="42">
        <f t="shared" si="2"/>
        <v>9.1693404448435892E-2</v>
      </c>
      <c r="D44" s="30">
        <f>+D39+D43</f>
        <v>114717</v>
      </c>
      <c r="E44" s="42">
        <f t="shared" si="4"/>
        <v>9.269716034797898E-2</v>
      </c>
      <c r="F44" s="17">
        <f t="shared" si="3"/>
        <v>8.8737460495221465E-2</v>
      </c>
      <c r="G44" s="8"/>
      <c r="H44" s="60"/>
    </row>
    <row r="45" spans="1:8" x14ac:dyDescent="0.3">
      <c r="A45" s="14" t="s">
        <v>51</v>
      </c>
      <c r="B45" s="14">
        <v>710.5</v>
      </c>
      <c r="C45" s="17">
        <f t="shared" si="2"/>
        <v>6.182976060874249E-4</v>
      </c>
      <c r="D45" s="14">
        <v>2281</v>
      </c>
      <c r="E45" s="17">
        <f t="shared" si="4"/>
        <v>1.843163809668489E-3</v>
      </c>
      <c r="F45" s="17">
        <f t="shared" si="3"/>
        <v>2.2104152005629838</v>
      </c>
    </row>
    <row r="46" spans="1:8" x14ac:dyDescent="0.3">
      <c r="A46" s="14" t="s">
        <v>11</v>
      </c>
      <c r="B46" s="14">
        <v>-22186</v>
      </c>
      <c r="C46" s="17">
        <f t="shared" si="2"/>
        <v>-1.9306897520979041E-2</v>
      </c>
      <c r="D46" s="14">
        <v>-18188</v>
      </c>
      <c r="E46" s="17">
        <f t="shared" si="4"/>
        <v>-1.4696827431061148E-2</v>
      </c>
      <c r="F46" s="17">
        <f t="shared" si="3"/>
        <v>-0.18020373208329576</v>
      </c>
    </row>
    <row r="47" spans="1:8" x14ac:dyDescent="0.3">
      <c r="A47" s="14" t="s">
        <v>12</v>
      </c>
      <c r="B47" s="14">
        <v>204</v>
      </c>
      <c r="C47" s="17">
        <f t="shared" si="2"/>
        <v>1.7752668774360968E-4</v>
      </c>
      <c r="D47" s="14">
        <v>-1259</v>
      </c>
      <c r="E47" s="17">
        <f t="shared" si="4"/>
        <v>-1.0173359212506041E-3</v>
      </c>
      <c r="F47" s="17">
        <f t="shared" si="3"/>
        <v>-7.1715686274509807</v>
      </c>
    </row>
    <row r="48" spans="1:8" x14ac:dyDescent="0.3">
      <c r="A48" s="14" t="s">
        <v>52</v>
      </c>
      <c r="B48" s="14">
        <v>1895</v>
      </c>
      <c r="C48" s="17">
        <f t="shared" si="2"/>
        <v>1.6490836925202959E-3</v>
      </c>
      <c r="D48" s="14">
        <v>-5552</v>
      </c>
      <c r="E48" s="17">
        <f t="shared" si="4"/>
        <v>-4.4862978830685889E-3</v>
      </c>
      <c r="F48" s="17">
        <f t="shared" si="3"/>
        <v>-3.9298153034300793</v>
      </c>
    </row>
    <row r="49" spans="1:7" x14ac:dyDescent="0.3">
      <c r="A49" s="14" t="s">
        <v>14</v>
      </c>
      <c r="B49" s="14">
        <v>7703</v>
      </c>
      <c r="C49" s="17">
        <f t="shared" si="2"/>
        <v>6.7033729200442422E-3</v>
      </c>
      <c r="D49" s="14">
        <v>8296</v>
      </c>
      <c r="E49" s="17">
        <f t="shared" si="4"/>
        <v>6.7035891999166096E-3</v>
      </c>
      <c r="F49" s="17">
        <f t="shared" si="3"/>
        <v>7.6982993638842007E-2</v>
      </c>
    </row>
    <row r="50" spans="1:7" x14ac:dyDescent="0.3">
      <c r="A50" s="14" t="s">
        <v>16</v>
      </c>
      <c r="B50" s="14">
        <v>-5</v>
      </c>
      <c r="C50" s="17">
        <f t="shared" si="2"/>
        <v>-4.3511443074414139E-6</v>
      </c>
      <c r="D50" s="14">
        <v>-1</v>
      </c>
      <c r="E50" s="17">
        <f t="shared" si="4"/>
        <v>-8.0805077144607146E-7</v>
      </c>
      <c r="F50" s="17">
        <f t="shared" si="3"/>
        <v>-0.8</v>
      </c>
    </row>
    <row r="51" spans="1:7" s="9" customFormat="1" x14ac:dyDescent="0.3">
      <c r="A51" s="30" t="s">
        <v>2</v>
      </c>
      <c r="B51" s="30">
        <f>SUM(B45:B50)</f>
        <v>-11678.5</v>
      </c>
      <c r="C51" s="42">
        <f t="shared" si="2"/>
        <v>-1.016296775889091E-2</v>
      </c>
      <c r="D51" s="30">
        <f>SUM(D45:D50)</f>
        <v>-14423</v>
      </c>
      <c r="E51" s="42">
        <f t="shared" si="4"/>
        <v>-1.165451627656669E-2</v>
      </c>
      <c r="F51" s="17">
        <f t="shared" si="3"/>
        <v>0.23500449544033908</v>
      </c>
      <c r="G51" s="8"/>
    </row>
    <row r="52" spans="1:7" s="9" customFormat="1" x14ac:dyDescent="0.3">
      <c r="A52" s="30" t="s">
        <v>41</v>
      </c>
      <c r="B52" s="30">
        <f>+B44+B51-1</f>
        <v>93687.5</v>
      </c>
      <c r="C52" s="42">
        <f t="shared" si="2"/>
        <v>8.1529566460683489E-2</v>
      </c>
      <c r="D52" s="30">
        <f>+D44+D51</f>
        <v>100294</v>
      </c>
      <c r="E52" s="42">
        <f t="shared" si="4"/>
        <v>8.104264407141229E-2</v>
      </c>
      <c r="F52" s="17">
        <f t="shared" si="3"/>
        <v>7.0516344229486327E-2</v>
      </c>
      <c r="G52" s="8"/>
    </row>
    <row r="53" spans="1:7" x14ac:dyDescent="0.3">
      <c r="A53" s="14" t="s">
        <v>15</v>
      </c>
      <c r="B53" s="14">
        <v>-35670</v>
      </c>
      <c r="C53" s="17">
        <f t="shared" si="2"/>
        <v>-3.1041063489287049E-2</v>
      </c>
      <c r="D53" s="14">
        <v>-39773</v>
      </c>
      <c r="E53" s="17">
        <f t="shared" si="4"/>
        <v>-3.21386033327246E-2</v>
      </c>
      <c r="F53" s="17">
        <f t="shared" si="3"/>
        <v>0.11502663302495093</v>
      </c>
    </row>
    <row r="54" spans="1:7" x14ac:dyDescent="0.3">
      <c r="A54" s="14" t="s">
        <v>18</v>
      </c>
      <c r="B54" s="14">
        <v>-373</v>
      </c>
      <c r="C54" s="17">
        <f t="shared" si="2"/>
        <v>-3.245953653351295E-4</v>
      </c>
      <c r="D54" s="14">
        <v>-917</v>
      </c>
      <c r="E54" s="17">
        <f t="shared" si="4"/>
        <v>-7.4098255741604751E-4</v>
      </c>
      <c r="F54" s="17">
        <f t="shared" si="3"/>
        <v>1.4584450402144773</v>
      </c>
    </row>
    <row r="55" spans="1:7" s="9" customFormat="1" x14ac:dyDescent="0.3">
      <c r="A55" s="43" t="s">
        <v>17</v>
      </c>
      <c r="B55" s="43">
        <f>+B52+B53+B54</f>
        <v>57644.5</v>
      </c>
      <c r="C55" s="44">
        <f t="shared" si="2"/>
        <v>5.016390760606132E-2</v>
      </c>
      <c r="D55" s="43">
        <f>+D52+D53+D54</f>
        <v>59604</v>
      </c>
      <c r="E55" s="44">
        <f t="shared" si="4"/>
        <v>4.8163058181271645E-2</v>
      </c>
      <c r="F55" s="44">
        <f>+(D55-B55)/B55</f>
        <v>3.3992835396265041E-2</v>
      </c>
      <c r="G55" s="8"/>
    </row>
    <row r="56" spans="1:7" s="9" customFormat="1" ht="15.75" thickBot="1" x14ac:dyDescent="0.35">
      <c r="A56" s="27" t="s">
        <v>19</v>
      </c>
      <c r="B56" s="27">
        <v>138298.12778788002</v>
      </c>
      <c r="C56" s="45">
        <f t="shared" si="2"/>
        <v>0.12035102229080788</v>
      </c>
      <c r="D56" s="27">
        <v>150246</v>
      </c>
      <c r="E56" s="45">
        <f t="shared" si="4"/>
        <v>0.12140639620668646</v>
      </c>
      <c r="F56" s="45">
        <f>+(D56-B56)/B56</f>
        <v>8.6392147191214935E-2</v>
      </c>
      <c r="G56" s="8"/>
    </row>
    <row r="57" spans="1:7" x14ac:dyDescent="0.3">
      <c r="A57" s="2"/>
      <c r="C57" s="3"/>
      <c r="D57" s="10"/>
    </row>
    <row r="58" spans="1:7" x14ac:dyDescent="0.3">
      <c r="A58" s="19" t="s">
        <v>53</v>
      </c>
      <c r="B58" s="14"/>
      <c r="C58" s="14"/>
      <c r="D58" s="14"/>
    </row>
    <row r="59" spans="1:7" x14ac:dyDescent="0.3">
      <c r="D59" s="10"/>
    </row>
  </sheetData>
  <pageMargins left="0.70866141732283472" right="0.43307086614173229" top="0.43307086614173229" bottom="0.51181102362204722" header="0.31496062992125984" footer="0.31496062992125984"/>
  <pageSetup scale="85" orientation="portrait" r:id="rId1"/>
  <headerFooter>
    <oddFooter>&amp;C&amp;A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0" workbookViewId="0">
      <selection activeCell="C32" sqref="C32:C43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16384" width="11.42578125" style="5"/>
  </cols>
  <sheetData>
    <row r="1" spans="1:6" x14ac:dyDescent="0.3">
      <c r="A1" s="24" t="s">
        <v>69</v>
      </c>
    </row>
    <row r="2" spans="1:6" x14ac:dyDescent="0.3">
      <c r="A2" s="24" t="s">
        <v>77</v>
      </c>
    </row>
    <row r="3" spans="1:6" x14ac:dyDescent="0.3">
      <c r="A3" s="24" t="s">
        <v>44</v>
      </c>
    </row>
    <row r="4" spans="1:6" x14ac:dyDescent="0.3">
      <c r="A4" s="24" t="s">
        <v>45</v>
      </c>
    </row>
    <row r="5" spans="1:6" ht="12" customHeight="1" x14ac:dyDescent="0.3"/>
    <row r="6" spans="1:6" x14ac:dyDescent="0.3">
      <c r="A6" s="6" t="s">
        <v>20</v>
      </c>
      <c r="B6" s="6">
        <v>2011</v>
      </c>
      <c r="C6" s="6">
        <v>2012</v>
      </c>
      <c r="D6" s="7" t="s">
        <v>46</v>
      </c>
    </row>
    <row r="7" spans="1:6" x14ac:dyDescent="0.3">
      <c r="A7" s="18" t="s">
        <v>21</v>
      </c>
      <c r="B7" s="14">
        <v>149</v>
      </c>
      <c r="C7" s="14">
        <v>209</v>
      </c>
      <c r="D7" s="17">
        <f t="shared" ref="D7:D13" si="0">IF(B7&lt;&gt;0,(C7-B7)/B7,0)</f>
        <v>0.40268456375838924</v>
      </c>
    </row>
    <row r="8" spans="1:6" x14ac:dyDescent="0.3">
      <c r="A8" s="18" t="s">
        <v>22</v>
      </c>
      <c r="B8" s="14">
        <v>2776673</v>
      </c>
      <c r="C8" s="14">
        <v>3600105</v>
      </c>
      <c r="D8" s="17">
        <f t="shared" si="0"/>
        <v>0.2965534652441969</v>
      </c>
    </row>
    <row r="9" spans="1:6" s="11" customFormat="1" ht="14.25" customHeight="1" x14ac:dyDescent="0.3">
      <c r="A9" s="18" t="s">
        <v>23</v>
      </c>
      <c r="B9" s="14">
        <v>58389</v>
      </c>
      <c r="C9" s="14">
        <v>31083</v>
      </c>
      <c r="D9" s="17">
        <f t="shared" si="0"/>
        <v>-0.46765657915018238</v>
      </c>
      <c r="E9" s="5"/>
      <c r="F9" s="5"/>
    </row>
    <row r="10" spans="1:6" s="11" customFormat="1" hidden="1" x14ac:dyDescent="0.3">
      <c r="A10" s="18" t="s">
        <v>37</v>
      </c>
      <c r="B10" s="14">
        <v>0</v>
      </c>
      <c r="C10" s="14">
        <v>0</v>
      </c>
      <c r="D10" s="17">
        <f t="shared" si="0"/>
        <v>0</v>
      </c>
      <c r="E10" s="5"/>
      <c r="F10" s="5"/>
    </row>
    <row r="11" spans="1:6" s="11" customFormat="1" x14ac:dyDescent="0.3">
      <c r="A11" s="18" t="s">
        <v>59</v>
      </c>
      <c r="B11" s="14">
        <v>658</v>
      </c>
      <c r="C11" s="14">
        <v>686</v>
      </c>
      <c r="D11" s="17">
        <f t="shared" si="0"/>
        <v>4.2553191489361701E-2</v>
      </c>
      <c r="E11" s="5"/>
      <c r="F11" s="5"/>
    </row>
    <row r="12" spans="1:6" s="11" customFormat="1" x14ac:dyDescent="0.3">
      <c r="A12" s="18" t="s">
        <v>26</v>
      </c>
      <c r="B12" s="14">
        <v>3539600</v>
      </c>
      <c r="C12" s="14">
        <f>2901462+39902</f>
        <v>2941364</v>
      </c>
      <c r="D12" s="17">
        <f t="shared" si="0"/>
        <v>-0.16901231777601988</v>
      </c>
      <c r="E12" s="5"/>
      <c r="F12" s="5"/>
    </row>
    <row r="13" spans="1:6" s="11" customFormat="1" ht="15.75" thickBot="1" x14ac:dyDescent="0.35">
      <c r="A13" s="26" t="s">
        <v>27</v>
      </c>
      <c r="B13" s="27">
        <f>SUM(B7:B12)</f>
        <v>6375469</v>
      </c>
      <c r="C13" s="27">
        <f>SUM(C7:C12)</f>
        <v>6573447</v>
      </c>
      <c r="D13" s="46">
        <f t="shared" si="0"/>
        <v>3.105308801595616E-2</v>
      </c>
      <c r="E13" s="5"/>
      <c r="F13" s="5"/>
    </row>
    <row r="15" spans="1:6" s="11" customFormat="1" x14ac:dyDescent="0.3">
      <c r="A15" s="6" t="s">
        <v>48</v>
      </c>
      <c r="B15" s="6">
        <v>2011</v>
      </c>
      <c r="C15" s="6">
        <v>2012</v>
      </c>
      <c r="D15" s="7" t="s">
        <v>46</v>
      </c>
      <c r="E15" s="5"/>
      <c r="F15" s="5"/>
    </row>
    <row r="16" spans="1:6" s="11" customFormat="1" hidden="1" x14ac:dyDescent="0.3">
      <c r="A16" s="18" t="s">
        <v>28</v>
      </c>
      <c r="B16" s="14">
        <v>0</v>
      </c>
      <c r="C16" s="14">
        <v>0</v>
      </c>
      <c r="D16" s="17">
        <f t="shared" ref="D16:D24" si="1">IF(B16&lt;&gt;0,(C16-B16)/B16,0)</f>
        <v>0</v>
      </c>
      <c r="E16" s="5"/>
      <c r="F16" s="5"/>
    </row>
    <row r="17" spans="1:6" s="11" customFormat="1" x14ac:dyDescent="0.3">
      <c r="A17" s="18" t="s">
        <v>29</v>
      </c>
      <c r="B17" s="14">
        <v>143615</v>
      </c>
      <c r="C17" s="14">
        <v>145568</v>
      </c>
      <c r="D17" s="17">
        <f t="shared" si="1"/>
        <v>1.3598858058002298E-2</v>
      </c>
      <c r="E17" s="5"/>
      <c r="F17" s="5"/>
    </row>
    <row r="18" spans="1:6" x14ac:dyDescent="0.3">
      <c r="A18" s="18" t="s">
        <v>30</v>
      </c>
      <c r="B18" s="14">
        <v>1102</v>
      </c>
      <c r="C18" s="14">
        <v>1442</v>
      </c>
      <c r="D18" s="17">
        <f t="shared" si="1"/>
        <v>0.30852994555353902</v>
      </c>
    </row>
    <row r="19" spans="1:6" x14ac:dyDescent="0.3">
      <c r="A19" s="18" t="s">
        <v>31</v>
      </c>
      <c r="B19" s="14">
        <v>260</v>
      </c>
      <c r="C19" s="14">
        <v>182</v>
      </c>
      <c r="D19" s="17">
        <f t="shared" si="1"/>
        <v>-0.3</v>
      </c>
    </row>
    <row r="20" spans="1:6" x14ac:dyDescent="0.3">
      <c r="A20" s="18" t="s">
        <v>32</v>
      </c>
      <c r="B20" s="14">
        <f>636-B19</f>
        <v>376</v>
      </c>
      <c r="C20" s="14">
        <v>524</v>
      </c>
      <c r="D20" s="17">
        <f t="shared" si="1"/>
        <v>0.39361702127659576</v>
      </c>
    </row>
    <row r="21" spans="1:6" x14ac:dyDescent="0.3">
      <c r="A21" s="18" t="s">
        <v>87</v>
      </c>
      <c r="B21" s="14">
        <f>24888+1</f>
        <v>24889</v>
      </c>
      <c r="C21" s="14">
        <v>26456</v>
      </c>
      <c r="D21" s="17">
        <f t="shared" si="1"/>
        <v>6.2959540359194821E-2</v>
      </c>
    </row>
    <row r="22" spans="1:6" s="9" customFormat="1" x14ac:dyDescent="0.3">
      <c r="A22" s="29" t="s">
        <v>33</v>
      </c>
      <c r="B22" s="30">
        <f>SUM(B16:B21)</f>
        <v>170242</v>
      </c>
      <c r="C22" s="30">
        <f>SUM(C16:C21)</f>
        <v>174172</v>
      </c>
      <c r="D22" s="42">
        <f t="shared" si="1"/>
        <v>2.3084785188143938E-2</v>
      </c>
      <c r="F22" s="5"/>
    </row>
    <row r="23" spans="1:6" s="9" customFormat="1" x14ac:dyDescent="0.3">
      <c r="A23" s="31" t="s">
        <v>34</v>
      </c>
      <c r="B23" s="32">
        <v>6205227</v>
      </c>
      <c r="C23" s="32">
        <v>6399275</v>
      </c>
      <c r="D23" s="47">
        <f t="shared" si="1"/>
        <v>3.1271700455116305E-2</v>
      </c>
      <c r="F23" s="5"/>
    </row>
    <row r="24" spans="1:6" s="9" customFormat="1" ht="15.75" thickBot="1" x14ac:dyDescent="0.35">
      <c r="A24" s="26" t="s">
        <v>35</v>
      </c>
      <c r="B24" s="27">
        <f>+B22+B23</f>
        <v>6375469</v>
      </c>
      <c r="C24" s="27">
        <f>+C22+C23</f>
        <v>6573447</v>
      </c>
      <c r="D24" s="45">
        <f t="shared" si="1"/>
        <v>3.105308801595616E-2</v>
      </c>
      <c r="F24" s="5"/>
    </row>
    <row r="25" spans="1:6" x14ac:dyDescent="0.3">
      <c r="A25" s="18" t="s">
        <v>54</v>
      </c>
      <c r="B25" s="14">
        <v>435123458</v>
      </c>
      <c r="C25" s="14">
        <f>435123458+25000000</f>
        <v>460123458</v>
      </c>
      <c r="D25" s="17"/>
    </row>
    <row r="26" spans="1:6" x14ac:dyDescent="0.3">
      <c r="A26" s="18" t="s">
        <v>71</v>
      </c>
      <c r="B26" s="33">
        <f>+B23/+(B25/1000000)</f>
        <v>14260.8422642201</v>
      </c>
      <c r="C26" s="33">
        <f>+C23/+(C25/1000000)</f>
        <v>13907.73473670625</v>
      </c>
      <c r="D26" s="17"/>
    </row>
    <row r="28" spans="1:6" ht="15.75" customHeight="1" x14ac:dyDescent="0.3">
      <c r="A28" s="6" t="s">
        <v>70</v>
      </c>
      <c r="B28" s="6">
        <v>2011</v>
      </c>
      <c r="C28" s="6">
        <v>2012</v>
      </c>
      <c r="D28" s="6" t="s">
        <v>46</v>
      </c>
    </row>
    <row r="29" spans="1:6" x14ac:dyDescent="0.3">
      <c r="A29" s="19" t="s">
        <v>64</v>
      </c>
      <c r="B29" s="17"/>
      <c r="C29" s="17"/>
      <c r="D29" s="34"/>
    </row>
    <row r="30" spans="1:6" x14ac:dyDescent="0.3">
      <c r="A30" s="19" t="s">
        <v>44</v>
      </c>
      <c r="B30" s="17"/>
      <c r="C30" s="17"/>
      <c r="D30" s="34"/>
    </row>
    <row r="31" spans="1:6" x14ac:dyDescent="0.3">
      <c r="A31" s="19" t="s">
        <v>45</v>
      </c>
      <c r="B31" s="17"/>
      <c r="C31" s="17"/>
      <c r="D31" s="34"/>
    </row>
    <row r="32" spans="1:6" s="9" customFormat="1" x14ac:dyDescent="0.3">
      <c r="A32" s="19" t="s">
        <v>72</v>
      </c>
      <c r="B32" s="30">
        <v>96973</v>
      </c>
      <c r="C32" s="30">
        <v>130102</v>
      </c>
      <c r="D32" s="17">
        <f>IF(B32&lt;&gt;0,(C32-B32)/B32,0)</f>
        <v>0.3416311756880781</v>
      </c>
      <c r="F32" s="5"/>
    </row>
    <row r="33" spans="1:6" hidden="1" x14ac:dyDescent="0.3">
      <c r="A33" s="19" t="s">
        <v>5</v>
      </c>
      <c r="B33" s="14">
        <v>0</v>
      </c>
      <c r="C33" s="72">
        <v>0</v>
      </c>
      <c r="D33" s="17">
        <f t="shared" ref="D33:D43" si="2">IF(B33&lt;&gt;0,(C33-B33)/B33,0)</f>
        <v>0</v>
      </c>
    </row>
    <row r="34" spans="1:6" s="9" customFormat="1" x14ac:dyDescent="0.3">
      <c r="A34" s="19" t="s">
        <v>57</v>
      </c>
      <c r="B34" s="14">
        <v>16839</v>
      </c>
      <c r="C34" s="14">
        <v>17500</v>
      </c>
      <c r="D34" s="17">
        <f t="shared" si="2"/>
        <v>3.9254112476987943E-2</v>
      </c>
      <c r="F34" s="5"/>
    </row>
    <row r="35" spans="1:6" s="9" customFormat="1" x14ac:dyDescent="0.3">
      <c r="A35" s="19" t="s">
        <v>56</v>
      </c>
      <c r="B35" s="14">
        <v>3564</v>
      </c>
      <c r="C35" s="14">
        <v>4189</v>
      </c>
      <c r="D35" s="17">
        <f t="shared" si="2"/>
        <v>0.17536475869809204</v>
      </c>
      <c r="F35" s="5"/>
    </row>
    <row r="36" spans="1:6" s="9" customFormat="1" x14ac:dyDescent="0.3">
      <c r="A36" s="35" t="s">
        <v>4</v>
      </c>
      <c r="B36" s="30">
        <f>SUM(B32:B35)</f>
        <v>117376</v>
      </c>
      <c r="C36" s="30">
        <f>SUM(C32:C35)</f>
        <v>151791</v>
      </c>
      <c r="D36" s="17">
        <f t="shared" si="2"/>
        <v>0.29320303980370777</v>
      </c>
      <c r="F36" s="5"/>
    </row>
    <row r="37" spans="1:6" x14ac:dyDescent="0.3">
      <c r="A37" s="19" t="s">
        <v>58</v>
      </c>
      <c r="B37" s="14">
        <v>-4222</v>
      </c>
      <c r="C37" s="14">
        <v>-4827.5929070000002</v>
      </c>
      <c r="D37" s="17">
        <f t="shared" si="2"/>
        <v>0.14343744836570352</v>
      </c>
    </row>
    <row r="38" spans="1:6" s="9" customFormat="1" x14ac:dyDescent="0.3">
      <c r="A38" s="35" t="s">
        <v>42</v>
      </c>
      <c r="B38" s="30">
        <f>SUM(B36:B37)</f>
        <v>113154</v>
      </c>
      <c r="C38" s="30">
        <f>SUM(C36:C37)</f>
        <v>146963.40709299999</v>
      </c>
      <c r="D38" s="17">
        <f t="shared" si="2"/>
        <v>0.29879109084080091</v>
      </c>
      <c r="F38" s="5"/>
    </row>
    <row r="39" spans="1:6" s="9" customFormat="1" x14ac:dyDescent="0.3">
      <c r="A39" s="19" t="s">
        <v>10</v>
      </c>
      <c r="B39" s="14">
        <v>60</v>
      </c>
      <c r="C39" s="14">
        <v>743.4230970000001</v>
      </c>
      <c r="D39" s="17">
        <f t="shared" si="2"/>
        <v>11.390384950000001</v>
      </c>
      <c r="F39" s="5"/>
    </row>
    <row r="40" spans="1:6" x14ac:dyDescent="0.3">
      <c r="A40" s="19" t="s">
        <v>13</v>
      </c>
      <c r="B40" s="14">
        <v>-1086</v>
      </c>
      <c r="C40" s="14">
        <v>-599.52135099999998</v>
      </c>
      <c r="D40" s="17">
        <f t="shared" si="2"/>
        <v>-0.4479545570902394</v>
      </c>
    </row>
    <row r="41" spans="1:6" s="9" customFormat="1" x14ac:dyDescent="0.3">
      <c r="A41" s="35" t="s">
        <v>43</v>
      </c>
      <c r="B41" s="30">
        <f>SUM(B38:B40)</f>
        <v>112128</v>
      </c>
      <c r="C41" s="30">
        <f>SUM(C38:C40)</f>
        <v>147107.30883899998</v>
      </c>
      <c r="D41" s="17">
        <f t="shared" si="2"/>
        <v>0.31195873322452888</v>
      </c>
      <c r="F41" s="5"/>
    </row>
    <row r="42" spans="1:6" x14ac:dyDescent="0.3">
      <c r="A42" s="19" t="s">
        <v>15</v>
      </c>
      <c r="B42" s="14">
        <v>-55</v>
      </c>
      <c r="C42" s="14">
        <v>-18.161999999999999</v>
      </c>
      <c r="D42" s="17">
        <f t="shared" si="2"/>
        <v>-0.66978181818181814</v>
      </c>
    </row>
    <row r="43" spans="1:6" ht="15.75" thickBot="1" x14ac:dyDescent="0.35">
      <c r="A43" s="36" t="s">
        <v>17</v>
      </c>
      <c r="B43" s="37">
        <f>SUM(B41:B42)</f>
        <v>112073</v>
      </c>
      <c r="C43" s="37">
        <f>SUM(C41:C42)</f>
        <v>147089.14683899996</v>
      </c>
      <c r="D43" s="45">
        <f t="shared" si="2"/>
        <v>0.31244052393529187</v>
      </c>
    </row>
    <row r="45" spans="1:6" x14ac:dyDescent="0.3">
      <c r="A45" s="19"/>
      <c r="B45" s="14"/>
      <c r="D45" s="17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10" workbookViewId="0">
      <selection activeCell="J41" sqref="J41"/>
    </sheetView>
  </sheetViews>
  <sheetFormatPr baseColWidth="10" defaultRowHeight="15" x14ac:dyDescent="0.3"/>
  <cols>
    <col min="1" max="1" width="43.42578125" style="5" customWidth="1"/>
    <col min="2" max="2" width="11.7109375" style="2" bestFit="1" customWidth="1"/>
    <col min="3" max="3" width="14.7109375" style="2" bestFit="1" customWidth="1"/>
    <col min="4" max="4" width="13.28515625" style="3" bestFit="1" customWidth="1"/>
    <col min="5" max="5" width="11.42578125" style="3"/>
    <col min="6" max="6" width="11.5703125" style="4" customWidth="1"/>
    <col min="7" max="7" width="3.42578125" style="4" customWidth="1"/>
    <col min="8" max="16384" width="11.42578125" style="5"/>
  </cols>
  <sheetData>
    <row r="1" spans="1:12" x14ac:dyDescent="0.3">
      <c r="A1" s="38" t="s">
        <v>40</v>
      </c>
      <c r="I1" s="61"/>
      <c r="J1" s="61"/>
      <c r="K1" s="61"/>
      <c r="L1" s="61"/>
    </row>
    <row r="2" spans="1:12" x14ac:dyDescent="0.3">
      <c r="A2" s="38" t="s">
        <v>63</v>
      </c>
      <c r="I2" s="61"/>
      <c r="J2" s="61"/>
      <c r="K2" s="61"/>
      <c r="L2" s="61"/>
    </row>
    <row r="3" spans="1:12" x14ac:dyDescent="0.3">
      <c r="A3" s="24" t="s">
        <v>44</v>
      </c>
    </row>
    <row r="4" spans="1:12" x14ac:dyDescent="0.3">
      <c r="A4" s="24" t="s">
        <v>45</v>
      </c>
    </row>
    <row r="6" spans="1:12" x14ac:dyDescent="0.3">
      <c r="A6" s="6" t="s">
        <v>20</v>
      </c>
      <c r="B6" s="6">
        <v>2011</v>
      </c>
      <c r="C6" s="6">
        <v>2012</v>
      </c>
      <c r="D6" s="7" t="s">
        <v>46</v>
      </c>
      <c r="E6" s="20"/>
      <c r="F6" s="23"/>
    </row>
    <row r="7" spans="1:12" x14ac:dyDescent="0.3">
      <c r="A7" s="18" t="s">
        <v>21</v>
      </c>
      <c r="B7" s="14">
        <v>134429</v>
      </c>
      <c r="C7" s="14">
        <v>289563</v>
      </c>
      <c r="D7" s="17">
        <f>+(C7-B7)/B7</f>
        <v>1.1540218256477397</v>
      </c>
      <c r="E7" s="21"/>
      <c r="F7" s="23"/>
    </row>
    <row r="8" spans="1:12" x14ac:dyDescent="0.3">
      <c r="A8" s="18" t="s">
        <v>22</v>
      </c>
      <c r="B8" s="14">
        <v>329795</v>
      </c>
      <c r="C8" s="14">
        <v>329212</v>
      </c>
      <c r="D8" s="17">
        <f t="shared" ref="D8:D16" si="0">+(C8-B8)/B8</f>
        <v>-1.767764823602541E-3</v>
      </c>
      <c r="E8" s="21"/>
      <c r="F8" s="23"/>
    </row>
    <row r="9" spans="1:12" x14ac:dyDescent="0.3">
      <c r="A9" s="18" t="s">
        <v>23</v>
      </c>
      <c r="B9" s="14">
        <v>591193</v>
      </c>
      <c r="C9" s="14">
        <v>604733</v>
      </c>
      <c r="D9" s="17">
        <f t="shared" si="0"/>
        <v>2.2902842219038454E-2</v>
      </c>
      <c r="E9" s="21"/>
      <c r="F9" s="23"/>
    </row>
    <row r="10" spans="1:12" x14ac:dyDescent="0.3">
      <c r="A10" s="18" t="s">
        <v>36</v>
      </c>
      <c r="B10" s="14">
        <v>620566</v>
      </c>
      <c r="C10" s="14">
        <v>607704</v>
      </c>
      <c r="D10" s="17">
        <f t="shared" si="0"/>
        <v>-2.0726240238749787E-2</v>
      </c>
      <c r="E10" s="21"/>
      <c r="F10" s="23"/>
    </row>
    <row r="11" spans="1:12" x14ac:dyDescent="0.3">
      <c r="A11" s="18" t="s">
        <v>60</v>
      </c>
      <c r="B11" s="14">
        <v>991250</v>
      </c>
      <c r="C11" s="14">
        <v>1049217</v>
      </c>
      <c r="D11" s="17">
        <f t="shared" si="0"/>
        <v>5.8478688524590164E-2</v>
      </c>
      <c r="E11" s="21"/>
      <c r="F11" s="23"/>
    </row>
    <row r="12" spans="1:12" x14ac:dyDescent="0.3">
      <c r="A12" s="18" t="s">
        <v>47</v>
      </c>
      <c r="B12" s="14">
        <v>888285</v>
      </c>
      <c r="C12" s="14">
        <v>874918</v>
      </c>
      <c r="D12" s="17">
        <f t="shared" si="0"/>
        <v>-1.5048098301783774E-2</v>
      </c>
      <c r="E12" s="21"/>
      <c r="F12" s="23"/>
    </row>
    <row r="13" spans="1:12" x14ac:dyDescent="0.3">
      <c r="A13" s="18" t="s">
        <v>24</v>
      </c>
      <c r="B13" s="14">
        <v>131447</v>
      </c>
      <c r="C13" s="14">
        <v>126372</v>
      </c>
      <c r="D13" s="17">
        <f t="shared" si="0"/>
        <v>-3.860871682122833E-2</v>
      </c>
      <c r="E13" s="21"/>
      <c r="F13" s="23"/>
    </row>
    <row r="14" spans="1:12" x14ac:dyDescent="0.3">
      <c r="A14" s="18" t="s">
        <v>25</v>
      </c>
      <c r="B14" s="14">
        <v>2325</v>
      </c>
      <c r="C14" s="14">
        <v>4313</v>
      </c>
      <c r="D14" s="17">
        <f t="shared" si="0"/>
        <v>0.85505376344086026</v>
      </c>
      <c r="E14" s="21"/>
      <c r="F14" s="23"/>
    </row>
    <row r="15" spans="1:12" x14ac:dyDescent="0.3">
      <c r="A15" s="18" t="s">
        <v>26</v>
      </c>
      <c r="B15" s="14">
        <v>4512109</v>
      </c>
      <c r="C15" s="14">
        <f>3975191+39902</f>
        <v>4015093</v>
      </c>
      <c r="D15" s="17">
        <f t="shared" si="0"/>
        <v>-0.11015159429880794</v>
      </c>
      <c r="E15" s="21"/>
      <c r="F15" s="23"/>
    </row>
    <row r="16" spans="1:12" ht="15.75" thickBot="1" x14ac:dyDescent="0.35">
      <c r="A16" s="26" t="s">
        <v>27</v>
      </c>
      <c r="B16" s="27">
        <f>SUM(B7:B15)</f>
        <v>8201399</v>
      </c>
      <c r="C16" s="27">
        <f>SUM(C7:C15)</f>
        <v>7901125</v>
      </c>
      <c r="D16" s="45">
        <f t="shared" si="0"/>
        <v>-3.6612534032303516E-2</v>
      </c>
      <c r="E16" s="22"/>
      <c r="F16" s="23"/>
    </row>
    <row r="17" spans="1:6" x14ac:dyDescent="0.3">
      <c r="A17" s="1"/>
      <c r="C17" s="14"/>
      <c r="E17" s="21"/>
      <c r="F17" s="23"/>
    </row>
    <row r="18" spans="1:6" x14ac:dyDescent="0.3">
      <c r="A18" s="6" t="s">
        <v>48</v>
      </c>
      <c r="B18" s="6">
        <v>2011</v>
      </c>
      <c r="C18" s="6">
        <v>2012</v>
      </c>
      <c r="D18" s="7" t="s">
        <v>46</v>
      </c>
      <c r="E18" s="20"/>
      <c r="F18" s="23"/>
    </row>
    <row r="19" spans="1:6" x14ac:dyDescent="0.3">
      <c r="A19" s="18" t="s">
        <v>28</v>
      </c>
      <c r="B19" s="14">
        <v>1182313</v>
      </c>
      <c r="C19" s="14">
        <v>638431</v>
      </c>
      <c r="D19" s="17">
        <f t="shared" ref="D19:D30" si="1">+(C19-B19)/B19</f>
        <v>-0.46001524131088806</v>
      </c>
      <c r="E19" s="21"/>
      <c r="F19" s="23"/>
    </row>
    <row r="20" spans="1:6" x14ac:dyDescent="0.3">
      <c r="A20" s="18" t="s">
        <v>49</v>
      </c>
      <c r="B20" s="14">
        <v>156545</v>
      </c>
      <c r="C20" s="14">
        <v>144053</v>
      </c>
      <c r="D20" s="17">
        <f t="shared" si="1"/>
        <v>-7.9798141109585108E-2</v>
      </c>
      <c r="E20" s="21"/>
      <c r="F20" s="23"/>
    </row>
    <row r="21" spans="1:6" x14ac:dyDescent="0.3">
      <c r="A21" s="18" t="s">
        <v>38</v>
      </c>
      <c r="B21" s="14">
        <v>245133</v>
      </c>
      <c r="C21" s="14">
        <v>263965</v>
      </c>
      <c r="D21" s="17">
        <f t="shared" si="1"/>
        <v>7.6823601881427631E-2</v>
      </c>
      <c r="E21" s="21"/>
      <c r="F21" s="23"/>
    </row>
    <row r="22" spans="1:6" x14ac:dyDescent="0.3">
      <c r="A22" s="18" t="s">
        <v>30</v>
      </c>
      <c r="B22" s="14">
        <v>134089</v>
      </c>
      <c r="C22" s="14">
        <v>110220</v>
      </c>
      <c r="D22" s="17">
        <f t="shared" si="1"/>
        <v>-0.1780086360551574</v>
      </c>
      <c r="E22" s="21"/>
      <c r="F22" s="23"/>
    </row>
    <row r="23" spans="1:6" x14ac:dyDescent="0.3">
      <c r="A23" s="18" t="s">
        <v>31</v>
      </c>
      <c r="B23" s="14">
        <v>44914</v>
      </c>
      <c r="C23" s="14">
        <v>44736</v>
      </c>
      <c r="D23" s="17">
        <f t="shared" si="1"/>
        <v>-3.9631295364474326E-3</v>
      </c>
      <c r="E23" s="21"/>
      <c r="F23" s="23"/>
    </row>
    <row r="24" spans="1:6" x14ac:dyDescent="0.3">
      <c r="A24" s="18" t="s">
        <v>32</v>
      </c>
      <c r="B24" s="14">
        <v>142956</v>
      </c>
      <c r="C24" s="14">
        <v>179052</v>
      </c>
      <c r="D24" s="17">
        <f t="shared" si="1"/>
        <v>0.25249727188785359</v>
      </c>
      <c r="E24" s="21"/>
      <c r="F24" s="23"/>
    </row>
    <row r="25" spans="1:6" x14ac:dyDescent="0.3">
      <c r="A25" s="18" t="s">
        <v>24</v>
      </c>
      <c r="B25" s="14">
        <v>69193</v>
      </c>
      <c r="C25" s="14">
        <v>101892</v>
      </c>
      <c r="D25" s="17">
        <f t="shared" si="1"/>
        <v>0.47257670573612937</v>
      </c>
      <c r="E25" s="21"/>
      <c r="F25" s="23"/>
    </row>
    <row r="26" spans="1:6" x14ac:dyDescent="0.3">
      <c r="A26" s="18" t="s">
        <v>0</v>
      </c>
      <c r="B26" s="14">
        <v>3341</v>
      </c>
      <c r="C26" s="14">
        <v>2803</v>
      </c>
      <c r="D26" s="17">
        <f t="shared" si="1"/>
        <v>-0.16102963184675248</v>
      </c>
      <c r="E26" s="21"/>
      <c r="F26" s="23"/>
    </row>
    <row r="27" spans="1:6" x14ac:dyDescent="0.3">
      <c r="A27" s="18" t="s">
        <v>33</v>
      </c>
      <c r="B27" s="30">
        <f>SUM(B19:B26)</f>
        <v>1978484</v>
      </c>
      <c r="C27" s="30">
        <f>SUM(C19:C26)</f>
        <v>1485152</v>
      </c>
      <c r="D27" s="17">
        <f t="shared" si="1"/>
        <v>-0.24934849106689769</v>
      </c>
      <c r="E27" s="21"/>
      <c r="F27" s="23"/>
    </row>
    <row r="28" spans="1:6" x14ac:dyDescent="0.3">
      <c r="A28" s="18" t="s">
        <v>39</v>
      </c>
      <c r="B28" s="14">
        <v>14306</v>
      </c>
      <c r="C28" s="14">
        <v>15516</v>
      </c>
      <c r="D28" s="17">
        <f t="shared" si="1"/>
        <v>8.4579896546903399E-2</v>
      </c>
      <c r="E28" s="21"/>
      <c r="F28" s="23"/>
    </row>
    <row r="29" spans="1:6" x14ac:dyDescent="0.3">
      <c r="A29" s="32" t="s">
        <v>34</v>
      </c>
      <c r="B29" s="32">
        <v>6208609</v>
      </c>
      <c r="C29" s="32">
        <v>6400457</v>
      </c>
      <c r="D29" s="47">
        <f t="shared" si="1"/>
        <v>3.0900319218040626E-2</v>
      </c>
      <c r="E29" s="22"/>
      <c r="F29" s="22"/>
    </row>
    <row r="30" spans="1:6" ht="15.75" thickBot="1" x14ac:dyDescent="0.35">
      <c r="A30" s="27" t="s">
        <v>35</v>
      </c>
      <c r="B30" s="27">
        <f>+B27+B28+B29</f>
        <v>8201399</v>
      </c>
      <c r="C30" s="27">
        <f>+C27+C28+C29</f>
        <v>7901125</v>
      </c>
      <c r="D30" s="45">
        <f t="shared" si="1"/>
        <v>-3.6612534032303516E-2</v>
      </c>
      <c r="E30" s="22"/>
      <c r="F30" s="22"/>
    </row>
    <row r="31" spans="1:6" x14ac:dyDescent="0.3">
      <c r="A31" s="19"/>
      <c r="B31" s="14"/>
      <c r="C31" s="14"/>
      <c r="D31" s="17"/>
      <c r="E31" s="21"/>
      <c r="F31" s="23"/>
    </row>
    <row r="32" spans="1:6" x14ac:dyDescent="0.3">
      <c r="A32" s="41" t="s">
        <v>3</v>
      </c>
      <c r="B32" s="14"/>
      <c r="C32" s="14"/>
      <c r="D32" s="17"/>
      <c r="E32" s="21"/>
      <c r="F32" s="23"/>
    </row>
    <row r="33" spans="1:19" x14ac:dyDescent="0.3">
      <c r="A33" s="41" t="s">
        <v>64</v>
      </c>
      <c r="B33" s="14"/>
      <c r="C33" s="14"/>
      <c r="D33" s="17"/>
    </row>
    <row r="34" spans="1:19" x14ac:dyDescent="0.3">
      <c r="A34" s="41" t="s">
        <v>44</v>
      </c>
      <c r="B34" s="14"/>
      <c r="C34" s="14"/>
      <c r="D34" s="17"/>
    </row>
    <row r="35" spans="1:19" x14ac:dyDescent="0.3">
      <c r="A35" s="41" t="s">
        <v>45</v>
      </c>
      <c r="B35" s="14"/>
      <c r="C35" s="14"/>
      <c r="D35" s="17"/>
    </row>
    <row r="36" spans="1:19" x14ac:dyDescent="0.3">
      <c r="A36" s="6"/>
      <c r="B36" s="6">
        <v>2011</v>
      </c>
      <c r="C36" s="6" t="s">
        <v>55</v>
      </c>
      <c r="D36" s="6">
        <v>2012</v>
      </c>
      <c r="E36" s="6" t="s">
        <v>55</v>
      </c>
      <c r="F36" s="7" t="s">
        <v>46</v>
      </c>
    </row>
    <row r="37" spans="1:19" s="9" customFormat="1" x14ac:dyDescent="0.3">
      <c r="A37" s="30" t="s">
        <v>4</v>
      </c>
      <c r="B37" s="50">
        <v>2340233</v>
      </c>
      <c r="C37" s="42">
        <v>1</v>
      </c>
      <c r="D37" s="50">
        <v>2503015</v>
      </c>
      <c r="E37" s="42">
        <v>1</v>
      </c>
      <c r="F37" s="17">
        <f>IF(B37&lt;&gt;0,(D37-B37)/B37,0)</f>
        <v>6.9558031187492875E-2</v>
      </c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3">
      <c r="A38" s="14" t="s">
        <v>50</v>
      </c>
      <c r="B38" s="51">
        <v>-1408050</v>
      </c>
      <c r="C38" s="17">
        <f t="shared" ref="C38:C56" si="2">+B38/$B$37</f>
        <v>-0.6016708592691411</v>
      </c>
      <c r="D38" s="51">
        <v>-1453387</v>
      </c>
      <c r="E38" s="17">
        <f>+D38/$D$37</f>
        <v>-0.58065453063605288</v>
      </c>
      <c r="F38" s="17">
        <f t="shared" ref="F38:F54" si="3">IF(B38&lt;&gt;0,(D38-B38)/B38,0)</f>
        <v>3.219843045346401E-2</v>
      </c>
    </row>
    <row r="39" spans="1:19" s="9" customFormat="1" x14ac:dyDescent="0.3">
      <c r="A39" s="30" t="s">
        <v>6</v>
      </c>
      <c r="B39" s="30">
        <f>SUM(B37:B38)</f>
        <v>932183</v>
      </c>
      <c r="C39" s="42">
        <f t="shared" si="2"/>
        <v>0.39832914073085884</v>
      </c>
      <c r="D39" s="30">
        <f>SUM(D37:D38)</f>
        <v>1049628</v>
      </c>
      <c r="E39" s="42">
        <f t="shared" ref="E39:E56" si="4">+D39/$D$37</f>
        <v>0.41934546936394707</v>
      </c>
      <c r="F39" s="17">
        <f t="shared" si="3"/>
        <v>0.12598921027309015</v>
      </c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3">
      <c r="A40" s="14" t="s">
        <v>7</v>
      </c>
      <c r="B40" s="14">
        <v>-121989</v>
      </c>
      <c r="C40" s="17">
        <f t="shared" si="2"/>
        <v>-5.2126860872400316E-2</v>
      </c>
      <c r="D40" s="14">
        <v>-122331</v>
      </c>
      <c r="E40" s="17">
        <f t="shared" si="4"/>
        <v>-4.8873458608917647E-2</v>
      </c>
      <c r="F40" s="17">
        <f t="shared" si="3"/>
        <v>2.803531465951848E-3</v>
      </c>
    </row>
    <row r="41" spans="1:19" x14ac:dyDescent="0.3">
      <c r="A41" s="14" t="s">
        <v>8</v>
      </c>
      <c r="B41" s="14">
        <v>-543665</v>
      </c>
      <c r="C41" s="17">
        <f t="shared" si="2"/>
        <v>-0.23231233813043403</v>
      </c>
      <c r="D41" s="14">
        <v>-615743</v>
      </c>
      <c r="E41" s="17">
        <f t="shared" si="4"/>
        <v>-0.2460005233688172</v>
      </c>
      <c r="F41" s="17">
        <f t="shared" si="3"/>
        <v>0.13257796621080997</v>
      </c>
    </row>
    <row r="42" spans="1:19" x14ac:dyDescent="0.3">
      <c r="A42" s="14" t="s">
        <v>84</v>
      </c>
      <c r="B42" s="14">
        <v>-52555</v>
      </c>
      <c r="C42" s="17">
        <f t="shared" si="2"/>
        <v>-2.2457165589922029E-2</v>
      </c>
      <c r="D42" s="14">
        <v>-70736</v>
      </c>
      <c r="E42" s="17">
        <f t="shared" si="4"/>
        <v>-2.8260318056423952E-2</v>
      </c>
      <c r="F42" s="17">
        <f t="shared" si="3"/>
        <v>0.34594234611359526</v>
      </c>
    </row>
    <row r="43" spans="1:19" s="9" customFormat="1" x14ac:dyDescent="0.3">
      <c r="A43" s="30" t="s">
        <v>9</v>
      </c>
      <c r="B43" s="30">
        <f>SUM(B40:B42)</f>
        <v>-718209</v>
      </c>
      <c r="C43" s="42">
        <f t="shared" si="2"/>
        <v>-0.30689636459275638</v>
      </c>
      <c r="D43" s="30">
        <f>SUM(D40:D42)</f>
        <v>-808810</v>
      </c>
      <c r="E43" s="42">
        <f t="shared" si="4"/>
        <v>-0.32313430003415883</v>
      </c>
      <c r="F43" s="17">
        <f t="shared" si="3"/>
        <v>0.12614851665740753</v>
      </c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s="9" customFormat="1" x14ac:dyDescent="0.3">
      <c r="A44" s="30" t="s">
        <v>1</v>
      </c>
      <c r="B44" s="30">
        <f>+B39+B43</f>
        <v>213974</v>
      </c>
      <c r="C44" s="42">
        <f t="shared" si="2"/>
        <v>9.1432776138102481E-2</v>
      </c>
      <c r="D44" s="30">
        <f>+D39+D43</f>
        <v>240818</v>
      </c>
      <c r="E44" s="42">
        <f t="shared" si="4"/>
        <v>9.6211169329788279E-2</v>
      </c>
      <c r="F44" s="17">
        <f t="shared" si="3"/>
        <v>0.12545449447129089</v>
      </c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3">
      <c r="A45" s="14" t="s">
        <v>51</v>
      </c>
      <c r="B45" s="14">
        <v>2642</v>
      </c>
      <c r="C45" s="17">
        <f t="shared" si="2"/>
        <v>1.1289474167743127E-3</v>
      </c>
      <c r="D45" s="14">
        <v>4599</v>
      </c>
      <c r="E45" s="17">
        <f t="shared" si="4"/>
        <v>1.8373841147576024E-3</v>
      </c>
      <c r="F45" s="17">
        <f t="shared" si="3"/>
        <v>0.74072672218016655</v>
      </c>
    </row>
    <row r="46" spans="1:19" x14ac:dyDescent="0.3">
      <c r="A46" s="14" t="s">
        <v>11</v>
      </c>
      <c r="B46" s="14">
        <v>-45293</v>
      </c>
      <c r="C46" s="17">
        <f t="shared" si="2"/>
        <v>-1.9354055771369776E-2</v>
      </c>
      <c r="D46" s="14">
        <v>-35799</v>
      </c>
      <c r="E46" s="17">
        <f t="shared" si="4"/>
        <v>-1.4302351364254709E-2</v>
      </c>
      <c r="F46" s="17">
        <f t="shared" si="3"/>
        <v>-0.20961296447574682</v>
      </c>
    </row>
    <row r="47" spans="1:19" x14ac:dyDescent="0.3">
      <c r="A47" s="14" t="s">
        <v>12</v>
      </c>
      <c r="B47" s="14">
        <v>925</v>
      </c>
      <c r="C47" s="17">
        <f t="shared" si="2"/>
        <v>3.9525978823476123E-4</v>
      </c>
      <c r="D47" s="14">
        <v>12171</v>
      </c>
      <c r="E47" s="17">
        <f t="shared" si="4"/>
        <v>4.8625357818470926E-3</v>
      </c>
      <c r="F47" s="17">
        <f t="shared" si="3"/>
        <v>12.157837837837837</v>
      </c>
    </row>
    <row r="48" spans="1:19" x14ac:dyDescent="0.3">
      <c r="A48" s="14" t="s">
        <v>52</v>
      </c>
      <c r="B48" s="14">
        <v>-761</v>
      </c>
      <c r="C48" s="17">
        <f t="shared" si="2"/>
        <v>-3.2518129605043603E-4</v>
      </c>
      <c r="D48" s="14">
        <v>-13007</v>
      </c>
      <c r="E48" s="17">
        <f t="shared" si="4"/>
        <v>-5.1965329812246434E-3</v>
      </c>
      <c r="F48" s="17">
        <f t="shared" si="3"/>
        <v>16.09198423127464</v>
      </c>
    </row>
    <row r="49" spans="1:19" x14ac:dyDescent="0.3">
      <c r="A49" s="14" t="s">
        <v>14</v>
      </c>
      <c r="B49" s="14">
        <v>16895</v>
      </c>
      <c r="C49" s="17">
        <f t="shared" si="2"/>
        <v>7.219366618623017E-3</v>
      </c>
      <c r="D49" s="14">
        <v>17559</v>
      </c>
      <c r="E49" s="17">
        <f t="shared" si="4"/>
        <v>7.0151397414717851E-3</v>
      </c>
      <c r="F49" s="17">
        <f t="shared" si="3"/>
        <v>3.9301568511393901E-2</v>
      </c>
    </row>
    <row r="50" spans="1:19" x14ac:dyDescent="0.3">
      <c r="A50" s="14" t="s">
        <v>16</v>
      </c>
      <c r="B50" s="14">
        <v>-112</v>
      </c>
      <c r="C50" s="17">
        <f t="shared" si="2"/>
        <v>-4.7858482467344066E-5</v>
      </c>
      <c r="D50" s="14">
        <v>35</v>
      </c>
      <c r="E50" s="17">
        <f t="shared" si="4"/>
        <v>1.3983136337576882E-5</v>
      </c>
      <c r="F50" s="17">
        <f t="shared" si="3"/>
        <v>-1.3125</v>
      </c>
    </row>
    <row r="51" spans="1:19" s="9" customFormat="1" x14ac:dyDescent="0.3">
      <c r="A51" s="30" t="s">
        <v>2</v>
      </c>
      <c r="B51" s="30">
        <f>SUM(B45:B50)</f>
        <v>-25704</v>
      </c>
      <c r="C51" s="42">
        <f t="shared" si="2"/>
        <v>-1.0983521726255463E-2</v>
      </c>
      <c r="D51" s="30">
        <f>SUM(D45:D50)</f>
        <v>-14442</v>
      </c>
      <c r="E51" s="42">
        <f t="shared" si="4"/>
        <v>-5.7698415710652953E-3</v>
      </c>
      <c r="F51" s="17">
        <f t="shared" si="3"/>
        <v>-0.43814192343604108</v>
      </c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s="9" customFormat="1" x14ac:dyDescent="0.3">
      <c r="A52" s="30" t="s">
        <v>41</v>
      </c>
      <c r="B52" s="30">
        <f>+B44+B51</f>
        <v>188270</v>
      </c>
      <c r="C52" s="42">
        <f t="shared" si="2"/>
        <v>8.0449254411847027E-2</v>
      </c>
      <c r="D52" s="30">
        <f>+D44+D51</f>
        <v>226376</v>
      </c>
      <c r="E52" s="42">
        <f t="shared" si="4"/>
        <v>9.0441327758722975E-2</v>
      </c>
      <c r="F52" s="17">
        <f t="shared" si="3"/>
        <v>0.20240080735114463</v>
      </c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3">
      <c r="A53" s="14" t="s">
        <v>15</v>
      </c>
      <c r="B53" s="14">
        <v>-72274</v>
      </c>
      <c r="C53" s="17">
        <f t="shared" si="2"/>
        <v>-3.0883249659328794E-2</v>
      </c>
      <c r="D53" s="14">
        <v>-77508</v>
      </c>
      <c r="E53" s="17">
        <f t="shared" si="4"/>
        <v>-3.0965855178654543E-2</v>
      </c>
      <c r="F53" s="17">
        <f t="shared" si="3"/>
        <v>7.2418850485651831E-2</v>
      </c>
    </row>
    <row r="54" spans="1:19" x14ac:dyDescent="0.3">
      <c r="A54" s="14" t="s">
        <v>18</v>
      </c>
      <c r="B54" s="14">
        <v>-1456</v>
      </c>
      <c r="C54" s="17">
        <f t="shared" si="2"/>
        <v>-6.2216027207547279E-4</v>
      </c>
      <c r="D54" s="14">
        <v>-1780</v>
      </c>
      <c r="E54" s="17">
        <f t="shared" si="4"/>
        <v>-7.1114236231105291E-4</v>
      </c>
      <c r="F54" s="17">
        <f t="shared" si="3"/>
        <v>0.22252747252747251</v>
      </c>
    </row>
    <row r="55" spans="1:19" s="9" customFormat="1" x14ac:dyDescent="0.3">
      <c r="A55" s="43" t="s">
        <v>17</v>
      </c>
      <c r="B55" s="43">
        <f>+B52+B53+B54</f>
        <v>114540</v>
      </c>
      <c r="C55" s="44">
        <f t="shared" si="2"/>
        <v>4.8943844480442762E-2</v>
      </c>
      <c r="D55" s="43">
        <f>+D52+D53+D54</f>
        <v>147088</v>
      </c>
      <c r="E55" s="44">
        <f t="shared" si="4"/>
        <v>5.8764330217757385E-2</v>
      </c>
      <c r="F55" s="44">
        <f>+(D55-B55)/B55</f>
        <v>0.28416273790815438</v>
      </c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s="9" customFormat="1" ht="15.75" thickBot="1" x14ac:dyDescent="0.35">
      <c r="A56" s="27" t="s">
        <v>19</v>
      </c>
      <c r="B56" s="27">
        <v>280849</v>
      </c>
      <c r="C56" s="45">
        <f t="shared" si="2"/>
        <v>0.12000899055777779</v>
      </c>
      <c r="D56" s="27">
        <v>312054</v>
      </c>
      <c r="E56" s="45">
        <f t="shared" si="4"/>
        <v>0.12467124647674904</v>
      </c>
      <c r="F56" s="45">
        <f>+(D56-B56)/B56</f>
        <v>0.11110952860789962</v>
      </c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3">
      <c r="A57" s="2"/>
      <c r="C57" s="3"/>
      <c r="D57" s="10"/>
    </row>
    <row r="58" spans="1:19" x14ac:dyDescent="0.3">
      <c r="A58" s="19" t="s">
        <v>53</v>
      </c>
      <c r="B58" s="14"/>
      <c r="C58" s="14"/>
      <c r="D58" s="17"/>
    </row>
    <row r="59" spans="1:19" x14ac:dyDescent="0.3">
      <c r="D59" s="10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I7" sqref="I7"/>
    </sheetView>
  </sheetViews>
  <sheetFormatPr baseColWidth="10" defaultRowHeight="15" x14ac:dyDescent="0.3"/>
  <cols>
    <col min="1" max="1" width="43.7109375" style="73" customWidth="1"/>
    <col min="2" max="2" width="13" style="74" bestFit="1" customWidth="1"/>
    <col min="3" max="3" width="12.7109375" style="74" bestFit="1" customWidth="1"/>
    <col min="4" max="4" width="13.42578125" style="75" bestFit="1" customWidth="1"/>
    <col min="5" max="16384" width="11.42578125" style="73"/>
  </cols>
  <sheetData>
    <row r="1" spans="1:11" x14ac:dyDescent="0.3">
      <c r="E1" s="75"/>
      <c r="F1" s="76"/>
      <c r="G1" s="76"/>
    </row>
    <row r="2" spans="1:11" x14ac:dyDescent="0.3">
      <c r="E2" s="75"/>
      <c r="F2" s="76"/>
      <c r="G2" s="76"/>
    </row>
    <row r="3" spans="1:11" x14ac:dyDescent="0.3">
      <c r="E3" s="75"/>
      <c r="F3" s="76"/>
      <c r="G3" s="76"/>
    </row>
    <row r="4" spans="1:11" x14ac:dyDescent="0.3">
      <c r="E4" s="75"/>
      <c r="F4" s="76"/>
      <c r="G4" s="76"/>
    </row>
    <row r="5" spans="1:11" x14ac:dyDescent="0.3">
      <c r="E5" s="75"/>
      <c r="F5" s="76"/>
      <c r="G5" s="76"/>
    </row>
    <row r="6" spans="1:11" ht="21" x14ac:dyDescent="0.35">
      <c r="A6" s="116" t="s">
        <v>90</v>
      </c>
      <c r="E6" s="75"/>
      <c r="F6" s="76"/>
      <c r="G6" s="76"/>
    </row>
    <row r="7" spans="1:11" ht="15.75" x14ac:dyDescent="0.3">
      <c r="A7" s="78" t="s">
        <v>89</v>
      </c>
      <c r="E7" s="75"/>
      <c r="F7" s="76"/>
      <c r="G7" s="76"/>
    </row>
    <row r="8" spans="1:11" x14ac:dyDescent="0.3">
      <c r="A8" s="79" t="s">
        <v>88</v>
      </c>
      <c r="E8" s="75"/>
      <c r="F8" s="76"/>
      <c r="G8" s="76"/>
    </row>
    <row r="9" spans="1:11" s="85" customFormat="1" x14ac:dyDescent="0.3">
      <c r="A9" s="80"/>
      <c r="B9" s="81"/>
      <c r="C9" s="81"/>
      <c r="D9" s="82"/>
      <c r="E9" s="82"/>
      <c r="F9" s="83"/>
      <c r="G9" s="83"/>
      <c r="H9" s="84"/>
      <c r="I9" s="84"/>
      <c r="J9" s="84"/>
      <c r="K9" s="84"/>
    </row>
    <row r="10" spans="1:11" s="85" customFormat="1" x14ac:dyDescent="0.3">
      <c r="A10" s="104" t="s">
        <v>20</v>
      </c>
      <c r="B10" s="86">
        <v>2011</v>
      </c>
      <c r="C10" s="86">
        <v>2012</v>
      </c>
      <c r="D10" s="87" t="s">
        <v>46</v>
      </c>
    </row>
    <row r="11" spans="1:11" s="85" customFormat="1" x14ac:dyDescent="0.3">
      <c r="A11" s="88" t="s">
        <v>21</v>
      </c>
      <c r="B11" s="81">
        <v>19526</v>
      </c>
      <c r="C11" s="81">
        <v>165</v>
      </c>
      <c r="D11" s="82">
        <f t="shared" ref="D11:D17" si="0">IF(B11&lt;&gt;0,(C11-B11)/B11,0)</f>
        <v>-0.99154972856703882</v>
      </c>
    </row>
    <row r="12" spans="1:11" s="85" customFormat="1" x14ac:dyDescent="0.3">
      <c r="A12" s="88" t="s">
        <v>22</v>
      </c>
      <c r="B12" s="81">
        <v>3391681</v>
      </c>
      <c r="C12" s="81">
        <v>3658770</v>
      </c>
      <c r="D12" s="82">
        <f t="shared" si="0"/>
        <v>7.8748266714941645E-2</v>
      </c>
    </row>
    <row r="13" spans="1:11" s="89" customFormat="1" ht="14.25" customHeight="1" x14ac:dyDescent="0.3">
      <c r="A13" s="88" t="s">
        <v>23</v>
      </c>
      <c r="B13" s="81">
        <v>216302</v>
      </c>
      <c r="C13" s="81">
        <v>25595</v>
      </c>
      <c r="D13" s="82">
        <f t="shared" si="0"/>
        <v>-0.88167007239877582</v>
      </c>
      <c r="E13" s="85"/>
      <c r="F13" s="85"/>
      <c r="H13" s="85"/>
      <c r="I13" s="85"/>
      <c r="J13" s="85"/>
    </row>
    <row r="14" spans="1:11" s="89" customFormat="1" hidden="1" x14ac:dyDescent="0.3">
      <c r="A14" s="88" t="s">
        <v>37</v>
      </c>
      <c r="B14" s="81">
        <v>0</v>
      </c>
      <c r="C14" s="81">
        <v>0</v>
      </c>
      <c r="D14" s="82">
        <f t="shared" si="0"/>
        <v>0</v>
      </c>
      <c r="E14" s="85"/>
      <c r="F14" s="85"/>
      <c r="H14" s="85"/>
      <c r="I14" s="85"/>
      <c r="J14" s="85"/>
    </row>
    <row r="15" spans="1:11" s="89" customFormat="1" x14ac:dyDescent="0.3">
      <c r="A15" s="88" t="s">
        <v>59</v>
      </c>
      <c r="B15" s="81">
        <f>503+155</f>
        <v>658</v>
      </c>
      <c r="C15" s="81">
        <v>583</v>
      </c>
      <c r="D15" s="82">
        <f t="shared" si="0"/>
        <v>-0.11398176291793313</v>
      </c>
      <c r="E15" s="85"/>
      <c r="F15" s="85"/>
      <c r="H15" s="85"/>
      <c r="I15" s="85"/>
      <c r="J15" s="85"/>
    </row>
    <row r="16" spans="1:11" s="89" customFormat="1" x14ac:dyDescent="0.3">
      <c r="A16" s="88" t="s">
        <v>26</v>
      </c>
      <c r="B16" s="81">
        <v>3141857</v>
      </c>
      <c r="C16" s="81">
        <v>3185128</v>
      </c>
      <c r="D16" s="82">
        <f t="shared" si="0"/>
        <v>1.3772428216815723E-2</v>
      </c>
      <c r="E16" s="85"/>
      <c r="F16" s="85"/>
      <c r="H16" s="85"/>
      <c r="I16" s="85"/>
      <c r="J16" s="85"/>
    </row>
    <row r="17" spans="1:10" s="89" customFormat="1" ht="15.75" thickBot="1" x14ac:dyDescent="0.35">
      <c r="A17" s="90" t="s">
        <v>27</v>
      </c>
      <c r="B17" s="91">
        <f>SUM(B11:B16)</f>
        <v>6770024</v>
      </c>
      <c r="C17" s="91">
        <f>SUM(C11:C16)</f>
        <v>6870241</v>
      </c>
      <c r="D17" s="92">
        <f t="shared" si="0"/>
        <v>1.4803049442660764E-2</v>
      </c>
      <c r="E17" s="85"/>
      <c r="F17" s="85"/>
      <c r="H17" s="85"/>
      <c r="I17" s="85"/>
      <c r="J17" s="85"/>
    </row>
    <row r="18" spans="1:10" s="85" customFormat="1" x14ac:dyDescent="0.3">
      <c r="B18" s="81"/>
      <c r="C18" s="81"/>
      <c r="D18" s="82"/>
    </row>
    <row r="19" spans="1:10" s="89" customFormat="1" x14ac:dyDescent="0.3">
      <c r="A19" s="104" t="s">
        <v>48</v>
      </c>
      <c r="B19" s="86">
        <v>2011</v>
      </c>
      <c r="C19" s="86">
        <v>2012</v>
      </c>
      <c r="D19" s="87" t="s">
        <v>46</v>
      </c>
      <c r="E19" s="85"/>
      <c r="F19" s="85"/>
      <c r="H19" s="85"/>
      <c r="I19" s="85"/>
      <c r="J19" s="85"/>
    </row>
    <row r="20" spans="1:10" s="89" customFormat="1" hidden="1" x14ac:dyDescent="0.3">
      <c r="A20" s="88" t="s">
        <v>28</v>
      </c>
      <c r="B20" s="81">
        <v>0</v>
      </c>
      <c r="C20" s="81">
        <v>0</v>
      </c>
      <c r="D20" s="82">
        <f t="shared" ref="D20:D28" si="1">IF(B20&lt;&gt;0,(C20-B20)/B20,0)</f>
        <v>0</v>
      </c>
      <c r="E20" s="85"/>
      <c r="F20" s="85"/>
      <c r="H20" s="85"/>
      <c r="I20" s="85"/>
      <c r="J20" s="85"/>
    </row>
    <row r="21" spans="1:10" s="89" customFormat="1" x14ac:dyDescent="0.3">
      <c r="A21" s="88" t="s">
        <v>29</v>
      </c>
      <c r="B21" s="81">
        <v>301838</v>
      </c>
      <c r="C21" s="81">
        <v>108672</v>
      </c>
      <c r="D21" s="82">
        <f t="shared" si="1"/>
        <v>-0.6399658094739562</v>
      </c>
      <c r="E21" s="85"/>
      <c r="F21" s="85"/>
      <c r="H21" s="85"/>
      <c r="I21" s="85"/>
      <c r="J21" s="85"/>
    </row>
    <row r="22" spans="1:10" s="85" customFormat="1" x14ac:dyDescent="0.3">
      <c r="A22" s="88" t="s">
        <v>30</v>
      </c>
      <c r="B22" s="81">
        <v>1269</v>
      </c>
      <c r="C22" s="81">
        <v>1472</v>
      </c>
      <c r="D22" s="82">
        <f t="shared" si="1"/>
        <v>0.1599684791174153</v>
      </c>
    </row>
    <row r="23" spans="1:10" s="85" customFormat="1" x14ac:dyDescent="0.3">
      <c r="A23" s="88" t="s">
        <v>31</v>
      </c>
      <c r="B23" s="81">
        <v>113</v>
      </c>
      <c r="C23" s="81">
        <v>182</v>
      </c>
      <c r="D23" s="82">
        <f t="shared" si="1"/>
        <v>0.61061946902654862</v>
      </c>
    </row>
    <row r="24" spans="1:10" s="85" customFormat="1" x14ac:dyDescent="0.3">
      <c r="A24" s="88" t="s">
        <v>32</v>
      </c>
      <c r="B24" s="81">
        <v>642</v>
      </c>
      <c r="C24" s="81">
        <v>742</v>
      </c>
      <c r="D24" s="82">
        <f t="shared" si="1"/>
        <v>0.1557632398753894</v>
      </c>
    </row>
    <row r="25" spans="1:10" s="85" customFormat="1" x14ac:dyDescent="0.3">
      <c r="A25" s="88" t="s">
        <v>87</v>
      </c>
      <c r="B25" s="81">
        <v>16593</v>
      </c>
      <c r="C25" s="81">
        <v>17654</v>
      </c>
      <c r="D25" s="82">
        <f t="shared" si="1"/>
        <v>6.3942626408726569E-2</v>
      </c>
    </row>
    <row r="26" spans="1:10" s="95" customFormat="1" x14ac:dyDescent="0.3">
      <c r="A26" s="93" t="s">
        <v>33</v>
      </c>
      <c r="B26" s="80">
        <f>SUM(B20:B25)</f>
        <v>320455</v>
      </c>
      <c r="C26" s="80">
        <f>SUM(C20:C25)</f>
        <v>128722</v>
      </c>
      <c r="D26" s="94">
        <f t="shared" si="1"/>
        <v>-0.59831489600723975</v>
      </c>
      <c r="F26" s="85"/>
      <c r="H26" s="85"/>
      <c r="I26" s="85"/>
      <c r="J26" s="85"/>
    </row>
    <row r="27" spans="1:10" s="95" customFormat="1" x14ac:dyDescent="0.3">
      <c r="A27" s="96" t="s">
        <v>34</v>
      </c>
      <c r="B27" s="97">
        <v>6449569</v>
      </c>
      <c r="C27" s="97">
        <v>6741519</v>
      </c>
      <c r="D27" s="98">
        <f t="shared" si="1"/>
        <v>4.526659068226109E-2</v>
      </c>
      <c r="F27" s="85"/>
      <c r="H27" s="85"/>
      <c r="I27" s="85"/>
      <c r="J27" s="85"/>
    </row>
    <row r="28" spans="1:10" s="95" customFormat="1" ht="15.75" thickBot="1" x14ac:dyDescent="0.35">
      <c r="A28" s="90" t="s">
        <v>35</v>
      </c>
      <c r="B28" s="91">
        <f>+B26+B27</f>
        <v>6770024</v>
      </c>
      <c r="C28" s="91">
        <f>+C26+C27</f>
        <v>6870241</v>
      </c>
      <c r="D28" s="99">
        <f t="shared" si="1"/>
        <v>1.4803049442660764E-2</v>
      </c>
      <c r="F28" s="85"/>
      <c r="H28" s="85"/>
      <c r="I28" s="85"/>
      <c r="J28" s="85"/>
    </row>
    <row r="29" spans="1:10" s="85" customFormat="1" x14ac:dyDescent="0.3">
      <c r="A29" s="88" t="s">
        <v>54</v>
      </c>
      <c r="B29" s="81">
        <f>435123458+25000000</f>
        <v>460123458</v>
      </c>
      <c r="C29" s="81">
        <f>435123458+25000000</f>
        <v>460123458</v>
      </c>
      <c r="D29" s="82"/>
    </row>
    <row r="30" spans="1:10" s="85" customFormat="1" x14ac:dyDescent="0.3">
      <c r="A30" s="88" t="s">
        <v>71</v>
      </c>
      <c r="B30" s="100">
        <f>+B27/+(B29/1000000)</f>
        <v>14017.040183158842</v>
      </c>
      <c r="C30" s="100">
        <f>+C27/+(C29/1000000)</f>
        <v>14651.5438037067</v>
      </c>
      <c r="D30" s="82"/>
    </row>
    <row r="31" spans="1:10" s="85" customFormat="1" x14ac:dyDescent="0.3">
      <c r="A31" s="115"/>
      <c r="B31" s="100"/>
      <c r="C31" s="100"/>
      <c r="D31" s="82"/>
    </row>
    <row r="32" spans="1:10" s="85" customFormat="1" x14ac:dyDescent="0.3">
      <c r="A32" s="115"/>
      <c r="B32" s="100"/>
      <c r="C32" s="100"/>
      <c r="D32" s="82"/>
    </row>
    <row r="33" spans="1:8" ht="21" x14ac:dyDescent="0.35">
      <c r="A33" s="116" t="s">
        <v>92</v>
      </c>
      <c r="E33" s="75"/>
      <c r="F33" s="76"/>
      <c r="G33" s="76"/>
    </row>
    <row r="34" spans="1:8" ht="15.75" x14ac:dyDescent="0.3">
      <c r="A34" s="78" t="s">
        <v>89</v>
      </c>
      <c r="E34" s="75"/>
      <c r="F34" s="76"/>
      <c r="G34" s="76"/>
    </row>
    <row r="35" spans="1:8" x14ac:dyDescent="0.3">
      <c r="A35" s="79" t="s">
        <v>88</v>
      </c>
      <c r="E35" s="75"/>
      <c r="F35" s="76"/>
      <c r="G35" s="76"/>
    </row>
    <row r="36" spans="1:8" s="85" customFormat="1" x14ac:dyDescent="0.3">
      <c r="B36" s="81"/>
      <c r="C36" s="81"/>
      <c r="D36" s="82"/>
    </row>
    <row r="37" spans="1:8" s="85" customFormat="1" x14ac:dyDescent="0.3">
      <c r="B37" s="86">
        <v>2011</v>
      </c>
      <c r="C37" s="86">
        <v>2012</v>
      </c>
      <c r="D37" s="86" t="s">
        <v>46</v>
      </c>
    </row>
    <row r="38" spans="1:8" s="95" customFormat="1" x14ac:dyDescent="0.3">
      <c r="A38" s="85" t="s">
        <v>72</v>
      </c>
      <c r="B38" s="80">
        <v>159357</v>
      </c>
      <c r="C38" s="80">
        <v>218149</v>
      </c>
      <c r="D38" s="82">
        <f>IF(B38&lt;&gt;0,(C38-B38)/B38,0)</f>
        <v>0.36893264807946935</v>
      </c>
      <c r="F38" s="85"/>
      <c r="G38" s="85"/>
      <c r="H38" s="85"/>
    </row>
    <row r="39" spans="1:8" s="85" customFormat="1" hidden="1" x14ac:dyDescent="0.3">
      <c r="A39" s="85" t="s">
        <v>5</v>
      </c>
      <c r="B39" s="81">
        <v>0</v>
      </c>
      <c r="C39" s="81">
        <v>0</v>
      </c>
      <c r="D39" s="82">
        <f t="shared" ref="D39:D49" si="2">IF(B39&lt;&gt;0,(C39-B39)/B39,0)</f>
        <v>0</v>
      </c>
    </row>
    <row r="40" spans="1:8" s="95" customFormat="1" x14ac:dyDescent="0.3">
      <c r="A40" s="85" t="s">
        <v>57</v>
      </c>
      <c r="B40" s="81">
        <v>25135</v>
      </c>
      <c r="C40" s="81">
        <v>26303</v>
      </c>
      <c r="D40" s="82">
        <f t="shared" si="2"/>
        <v>4.6469067037994825E-2</v>
      </c>
      <c r="F40" s="85"/>
      <c r="G40" s="85"/>
      <c r="H40" s="85"/>
    </row>
    <row r="41" spans="1:8" s="95" customFormat="1" x14ac:dyDescent="0.3">
      <c r="A41" s="85" t="s">
        <v>56</v>
      </c>
      <c r="B41" s="81">
        <f>5345+1</f>
        <v>5346</v>
      </c>
      <c r="C41" s="81">
        <v>6284</v>
      </c>
      <c r="D41" s="82">
        <f t="shared" si="2"/>
        <v>0.17545828656939769</v>
      </c>
      <c r="F41" s="85"/>
      <c r="G41" s="85"/>
      <c r="H41" s="85"/>
    </row>
    <row r="42" spans="1:8" s="95" customFormat="1" x14ac:dyDescent="0.3">
      <c r="A42" s="95" t="s">
        <v>4</v>
      </c>
      <c r="B42" s="80">
        <f>SUM(B38:B41)</f>
        <v>189838</v>
      </c>
      <c r="C42" s="80">
        <f>SUM(C38:C41)</f>
        <v>250736</v>
      </c>
      <c r="D42" s="82">
        <f t="shared" si="2"/>
        <v>0.32078930456494487</v>
      </c>
      <c r="F42" s="85"/>
      <c r="G42" s="85"/>
      <c r="H42" s="85"/>
    </row>
    <row r="43" spans="1:8" s="85" customFormat="1" x14ac:dyDescent="0.3">
      <c r="A43" s="85" t="s">
        <v>58</v>
      </c>
      <c r="B43" s="81">
        <v>-6375</v>
      </c>
      <c r="C43" s="81">
        <v>-7474.5929070000002</v>
      </c>
      <c r="D43" s="82">
        <f t="shared" si="2"/>
        <v>0.17248516188235297</v>
      </c>
    </row>
    <row r="44" spans="1:8" s="95" customFormat="1" x14ac:dyDescent="0.3">
      <c r="A44" s="95" t="s">
        <v>42</v>
      </c>
      <c r="B44" s="80">
        <f>SUM(B42:B43)</f>
        <v>183463</v>
      </c>
      <c r="C44" s="80">
        <f>SUM(C42:C43)</f>
        <v>243261.40709299999</v>
      </c>
      <c r="D44" s="82">
        <f t="shared" si="2"/>
        <v>0.32594259928704966</v>
      </c>
      <c r="F44" s="85"/>
      <c r="G44" s="85"/>
      <c r="H44" s="85"/>
    </row>
    <row r="45" spans="1:8" s="95" customFormat="1" x14ac:dyDescent="0.3">
      <c r="A45" s="85" t="s">
        <v>10</v>
      </c>
      <c r="B45" s="81">
        <v>347</v>
      </c>
      <c r="C45" s="81">
        <v>770</v>
      </c>
      <c r="D45" s="82">
        <f t="shared" si="2"/>
        <v>1.2190201729106629</v>
      </c>
      <c r="F45" s="85"/>
      <c r="G45" s="85"/>
      <c r="H45" s="85"/>
    </row>
    <row r="46" spans="1:8" s="85" customFormat="1" x14ac:dyDescent="0.3">
      <c r="A46" s="85" t="s">
        <v>13</v>
      </c>
      <c r="B46" s="81">
        <v>-10998</v>
      </c>
      <c r="C46" s="81">
        <v>-1307</v>
      </c>
      <c r="D46" s="82">
        <f t="shared" si="2"/>
        <v>-0.88116021094744501</v>
      </c>
    </row>
    <row r="47" spans="1:8" s="95" customFormat="1" x14ac:dyDescent="0.3">
      <c r="A47" s="95" t="s">
        <v>43</v>
      </c>
      <c r="B47" s="80">
        <f>SUM(B44:B46)</f>
        <v>172812</v>
      </c>
      <c r="C47" s="80">
        <f>SUM(C44:C46)</f>
        <v>242724.40709299999</v>
      </c>
      <c r="D47" s="82">
        <f t="shared" si="2"/>
        <v>0.40455759491817689</v>
      </c>
      <c r="F47" s="85"/>
      <c r="G47" s="85"/>
      <c r="H47" s="85"/>
    </row>
    <row r="48" spans="1:8" s="85" customFormat="1" x14ac:dyDescent="0.3">
      <c r="A48" s="85" t="s">
        <v>15</v>
      </c>
      <c r="B48" s="81">
        <v>-82</v>
      </c>
      <c r="C48" s="81">
        <v>-279.16199999999998</v>
      </c>
      <c r="D48" s="82">
        <f t="shared" si="2"/>
        <v>2.4044146341463413</v>
      </c>
    </row>
    <row r="49" spans="1:4" s="85" customFormat="1" ht="15.75" thickBot="1" x14ac:dyDescent="0.35">
      <c r="A49" s="102" t="s">
        <v>17</v>
      </c>
      <c r="B49" s="103">
        <f>SUM(B47:B48)</f>
        <v>172730</v>
      </c>
      <c r="C49" s="103">
        <f>SUM(C47:C48)</f>
        <v>242445.24509299998</v>
      </c>
      <c r="D49" s="99">
        <f t="shared" si="2"/>
        <v>0.40360820409309311</v>
      </c>
    </row>
    <row r="50" spans="1:4" s="85" customFormat="1" x14ac:dyDescent="0.3">
      <c r="B50" s="81"/>
      <c r="C50" s="81"/>
      <c r="D50" s="82"/>
    </row>
    <row r="51" spans="1:4" s="85" customFormat="1" x14ac:dyDescent="0.3">
      <c r="B51" s="81"/>
      <c r="C51" s="81"/>
      <c r="D51" s="82"/>
    </row>
    <row r="52" spans="1:4" s="85" customFormat="1" x14ac:dyDescent="0.3">
      <c r="B52" s="81"/>
      <c r="C52" s="81"/>
      <c r="D52" s="82"/>
    </row>
    <row r="53" spans="1:4" s="85" customFormat="1" x14ac:dyDescent="0.3">
      <c r="B53" s="81"/>
      <c r="C53" s="81"/>
      <c r="D53" s="82"/>
    </row>
    <row r="54" spans="1:4" s="85" customFormat="1" x14ac:dyDescent="0.3">
      <c r="B54" s="81"/>
      <c r="C54" s="81"/>
      <c r="D54" s="82"/>
    </row>
    <row r="55" spans="1:4" s="85" customFormat="1" x14ac:dyDescent="0.3">
      <c r="B55" s="81"/>
      <c r="C55" s="81"/>
      <c r="D55" s="82"/>
    </row>
  </sheetData>
  <pageMargins left="0.7" right="0.7" top="0.75" bottom="0.75" header="0.3" footer="0.3"/>
  <pageSetup scale="87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82"/>
  <sheetViews>
    <sheetView topLeftCell="A37" workbookViewId="0">
      <selection activeCell="K10" sqref="K10"/>
    </sheetView>
  </sheetViews>
  <sheetFormatPr baseColWidth="10" defaultRowHeight="15" x14ac:dyDescent="0.3"/>
  <cols>
    <col min="1" max="1" width="32.140625" style="73" customWidth="1"/>
    <col min="2" max="2" width="13" style="74" bestFit="1" customWidth="1"/>
    <col min="3" max="3" width="14.85546875" style="74" bestFit="1" customWidth="1"/>
    <col min="4" max="4" width="13.42578125" style="75" bestFit="1" customWidth="1"/>
    <col min="5" max="5" width="11.85546875" style="75" bestFit="1" customWidth="1"/>
    <col min="6" max="6" width="11.5703125" style="76" customWidth="1"/>
    <col min="7" max="7" width="3.42578125" style="76" customWidth="1"/>
    <col min="8" max="8" width="5.7109375" style="73" customWidth="1"/>
    <col min="9" max="16384" width="11.42578125" style="73"/>
  </cols>
  <sheetData>
    <row r="6" spans="1:11" ht="21" x14ac:dyDescent="0.35">
      <c r="A6" s="116" t="s">
        <v>40</v>
      </c>
    </row>
    <row r="7" spans="1:11" ht="15.75" x14ac:dyDescent="0.3">
      <c r="A7" s="78" t="s">
        <v>89</v>
      </c>
    </row>
    <row r="8" spans="1:11" x14ac:dyDescent="0.3">
      <c r="A8" s="79" t="s">
        <v>88</v>
      </c>
    </row>
    <row r="9" spans="1:11" s="85" customFormat="1" x14ac:dyDescent="0.3">
      <c r="B9" s="81"/>
      <c r="C9" s="81"/>
      <c r="D9" s="82"/>
      <c r="E9" s="82"/>
      <c r="F9" s="83"/>
      <c r="G9" s="83"/>
      <c r="H9" s="84"/>
      <c r="I9" s="84"/>
      <c r="J9" s="84"/>
      <c r="K9" s="84"/>
    </row>
    <row r="10" spans="1:11" s="85" customFormat="1" x14ac:dyDescent="0.3">
      <c r="A10" s="86" t="s">
        <v>20</v>
      </c>
      <c r="B10" s="86">
        <v>2011</v>
      </c>
      <c r="C10" s="86">
        <v>2012</v>
      </c>
      <c r="D10" s="87" t="s">
        <v>46</v>
      </c>
      <c r="E10" s="105"/>
      <c r="F10" s="83"/>
      <c r="G10" s="83"/>
      <c r="H10" s="106"/>
      <c r="I10" s="84"/>
      <c r="J10" s="84"/>
      <c r="K10" s="84"/>
    </row>
    <row r="11" spans="1:11" s="85" customFormat="1" x14ac:dyDescent="0.3">
      <c r="A11" s="88" t="s">
        <v>21</v>
      </c>
      <c r="B11" s="81">
        <v>133693</v>
      </c>
      <c r="C11" s="81">
        <v>331810</v>
      </c>
      <c r="D11" s="82">
        <f>+(C11-B11)/B11</f>
        <v>1.4818801283537657</v>
      </c>
      <c r="E11" s="107"/>
      <c r="F11" s="83"/>
      <c r="G11" s="83"/>
      <c r="H11" s="108"/>
      <c r="I11" s="84"/>
      <c r="J11" s="84"/>
      <c r="K11" s="84"/>
    </row>
    <row r="12" spans="1:11" s="85" customFormat="1" x14ac:dyDescent="0.3">
      <c r="A12" s="88" t="s">
        <v>22</v>
      </c>
      <c r="B12" s="81">
        <v>329888</v>
      </c>
      <c r="C12" s="81">
        <v>329454</v>
      </c>
      <c r="D12" s="82">
        <f t="shared" ref="D12:D20" si="0">+(C12-B12)/B12</f>
        <v>-1.3155980211465709E-3</v>
      </c>
      <c r="E12" s="107"/>
      <c r="F12" s="83"/>
      <c r="G12" s="83"/>
      <c r="H12" s="106"/>
      <c r="I12" s="84"/>
      <c r="J12" s="84"/>
      <c r="K12" s="84"/>
    </row>
    <row r="13" spans="1:11" s="85" customFormat="1" x14ac:dyDescent="0.3">
      <c r="A13" s="88" t="s">
        <v>23</v>
      </c>
      <c r="B13" s="81">
        <v>648190</v>
      </c>
      <c r="C13" s="81">
        <v>694158</v>
      </c>
      <c r="D13" s="82">
        <f t="shared" si="0"/>
        <v>7.0917477899998457E-2</v>
      </c>
      <c r="E13" s="107"/>
      <c r="F13" s="83"/>
      <c r="G13" s="83"/>
      <c r="H13" s="106"/>
      <c r="I13" s="84"/>
      <c r="J13" s="84"/>
      <c r="K13" s="84"/>
    </row>
    <row r="14" spans="1:11" s="85" customFormat="1" x14ac:dyDescent="0.3">
      <c r="A14" s="88" t="s">
        <v>36</v>
      </c>
      <c r="B14" s="81">
        <v>645152</v>
      </c>
      <c r="C14" s="81">
        <v>595515</v>
      </c>
      <c r="D14" s="82">
        <f t="shared" si="0"/>
        <v>-7.6938457913793959E-2</v>
      </c>
      <c r="E14" s="107"/>
      <c r="F14" s="83"/>
      <c r="G14" s="83"/>
      <c r="H14" s="106"/>
      <c r="I14" s="84"/>
      <c r="J14" s="84"/>
      <c r="K14" s="84"/>
    </row>
    <row r="15" spans="1:11" s="85" customFormat="1" x14ac:dyDescent="0.3">
      <c r="A15" s="88" t="s">
        <v>60</v>
      </c>
      <c r="B15" s="81">
        <v>1019680</v>
      </c>
      <c r="C15" s="81">
        <v>1076293</v>
      </c>
      <c r="D15" s="82">
        <f t="shared" si="0"/>
        <v>5.5520359328416757E-2</v>
      </c>
      <c r="E15" s="107"/>
      <c r="F15" s="83"/>
      <c r="G15" s="83"/>
      <c r="H15" s="106"/>
      <c r="I15" s="84"/>
      <c r="J15" s="84"/>
      <c r="K15" s="84"/>
    </row>
    <row r="16" spans="1:11" s="85" customFormat="1" x14ac:dyDescent="0.3">
      <c r="A16" s="88" t="s">
        <v>47</v>
      </c>
      <c r="B16" s="81">
        <v>897180</v>
      </c>
      <c r="C16" s="81">
        <v>871879</v>
      </c>
      <c r="D16" s="82">
        <f t="shared" si="0"/>
        <v>-2.8200584052252613E-2</v>
      </c>
      <c r="E16" s="107"/>
      <c r="F16" s="83"/>
      <c r="G16" s="83"/>
      <c r="H16" s="106"/>
      <c r="I16" s="84"/>
      <c r="J16" s="84"/>
      <c r="K16" s="84"/>
    </row>
    <row r="17" spans="1:11" s="85" customFormat="1" x14ac:dyDescent="0.3">
      <c r="A17" s="88" t="s">
        <v>24</v>
      </c>
      <c r="B17" s="81">
        <v>125132</v>
      </c>
      <c r="C17" s="81">
        <v>113035</v>
      </c>
      <c r="D17" s="82">
        <f t="shared" si="0"/>
        <v>-9.6673912348559918E-2</v>
      </c>
      <c r="E17" s="107"/>
      <c r="F17" s="83"/>
      <c r="G17" s="83"/>
      <c r="H17" s="106"/>
      <c r="I17" s="84"/>
      <c r="J17" s="84"/>
      <c r="K17" s="84"/>
    </row>
    <row r="18" spans="1:11" s="85" customFormat="1" x14ac:dyDescent="0.3">
      <c r="A18" s="88" t="s">
        <v>25</v>
      </c>
      <c r="B18" s="81">
        <v>2538</v>
      </c>
      <c r="C18" s="81">
        <v>4678</v>
      </c>
      <c r="D18" s="82">
        <f t="shared" si="0"/>
        <v>0.84318360914105595</v>
      </c>
      <c r="E18" s="107"/>
      <c r="F18" s="83"/>
      <c r="G18" s="83"/>
      <c r="H18" s="106"/>
      <c r="I18" s="84"/>
      <c r="J18" s="84"/>
      <c r="K18" s="84"/>
    </row>
    <row r="19" spans="1:11" s="85" customFormat="1" x14ac:dyDescent="0.3">
      <c r="A19" s="88" t="s">
        <v>26</v>
      </c>
      <c r="B19" s="81">
        <v>4108034</v>
      </c>
      <c r="C19" s="81">
        <v>4259574</v>
      </c>
      <c r="D19" s="82">
        <f t="shared" si="0"/>
        <v>3.6888691768373873E-2</v>
      </c>
      <c r="E19" s="107"/>
      <c r="F19" s="83"/>
      <c r="G19" s="83"/>
      <c r="H19" s="106"/>
      <c r="I19" s="84"/>
      <c r="J19" s="84"/>
      <c r="K19" s="84"/>
    </row>
    <row r="20" spans="1:11" s="85" customFormat="1" ht="15.75" thickBot="1" x14ac:dyDescent="0.35">
      <c r="A20" s="90" t="s">
        <v>27</v>
      </c>
      <c r="B20" s="91">
        <f>SUM(B11:B19)</f>
        <v>7909487</v>
      </c>
      <c r="C20" s="91">
        <f>SUM(C11:C19)</f>
        <v>8276396</v>
      </c>
      <c r="D20" s="99">
        <f t="shared" si="0"/>
        <v>4.6388469947545273E-2</v>
      </c>
      <c r="E20" s="109"/>
      <c r="F20" s="83"/>
      <c r="G20" s="83"/>
      <c r="H20" s="106"/>
      <c r="I20" s="84"/>
      <c r="J20" s="84"/>
      <c r="K20" s="84"/>
    </row>
    <row r="21" spans="1:11" s="85" customFormat="1" x14ac:dyDescent="0.3">
      <c r="A21" s="88"/>
      <c r="B21" s="81"/>
      <c r="C21" s="81"/>
      <c r="D21" s="82"/>
      <c r="E21" s="107"/>
      <c r="F21" s="83"/>
      <c r="G21" s="83"/>
      <c r="H21" s="106"/>
      <c r="I21" s="84"/>
      <c r="J21" s="84"/>
      <c r="K21" s="84"/>
    </row>
    <row r="22" spans="1:11" s="85" customFormat="1" x14ac:dyDescent="0.3">
      <c r="A22" s="86" t="s">
        <v>48</v>
      </c>
      <c r="B22" s="86">
        <v>2011</v>
      </c>
      <c r="C22" s="86">
        <v>2012</v>
      </c>
      <c r="D22" s="87" t="s">
        <v>46</v>
      </c>
      <c r="E22" s="105"/>
      <c r="F22" s="83"/>
      <c r="G22" s="83"/>
      <c r="H22" s="108"/>
      <c r="I22" s="84"/>
      <c r="J22" s="84"/>
      <c r="K22" s="84"/>
    </row>
    <row r="23" spans="1:11" s="85" customFormat="1" x14ac:dyDescent="0.3">
      <c r="A23" s="88" t="s">
        <v>28</v>
      </c>
      <c r="B23" s="81">
        <v>668204</v>
      </c>
      <c r="C23" s="81">
        <v>632454</v>
      </c>
      <c r="D23" s="82">
        <f t="shared" ref="D23:D34" si="1">+(C23-B23)/B23</f>
        <v>-5.3501625252168498E-2</v>
      </c>
      <c r="E23" s="107"/>
      <c r="F23" s="83"/>
      <c r="G23" s="83"/>
      <c r="H23" s="106"/>
      <c r="I23" s="84"/>
      <c r="J23" s="84"/>
      <c r="K23" s="84"/>
    </row>
    <row r="24" spans="1:11" s="85" customFormat="1" x14ac:dyDescent="0.3">
      <c r="A24" s="88" t="s">
        <v>49</v>
      </c>
      <c r="B24" s="81">
        <v>159445</v>
      </c>
      <c r="C24" s="81">
        <v>158167</v>
      </c>
      <c r="D24" s="82">
        <f t="shared" si="1"/>
        <v>-8.0153030825676572E-3</v>
      </c>
      <c r="E24" s="107"/>
      <c r="F24" s="83"/>
      <c r="G24" s="83"/>
      <c r="H24" s="108"/>
      <c r="I24" s="84"/>
      <c r="J24" s="84"/>
      <c r="K24" s="84"/>
    </row>
    <row r="25" spans="1:11" s="85" customFormat="1" x14ac:dyDescent="0.3">
      <c r="A25" s="88" t="s">
        <v>38</v>
      </c>
      <c r="B25" s="81">
        <v>203982</v>
      </c>
      <c r="C25" s="81">
        <v>234700</v>
      </c>
      <c r="D25" s="82">
        <f t="shared" si="1"/>
        <v>0.15059171887715583</v>
      </c>
      <c r="E25" s="107"/>
      <c r="F25" s="83"/>
      <c r="G25" s="83"/>
      <c r="H25" s="106"/>
      <c r="I25" s="84"/>
      <c r="J25" s="84"/>
      <c r="K25" s="84"/>
    </row>
    <row r="26" spans="1:11" s="85" customFormat="1" x14ac:dyDescent="0.3">
      <c r="A26" s="88" t="s">
        <v>30</v>
      </c>
      <c r="B26" s="81">
        <v>117373</v>
      </c>
      <c r="C26" s="81">
        <v>86817</v>
      </c>
      <c r="D26" s="82">
        <f t="shared" si="1"/>
        <v>-0.26033244442929804</v>
      </c>
      <c r="E26" s="107"/>
      <c r="F26" s="83"/>
      <c r="G26" s="83"/>
      <c r="H26" s="106"/>
      <c r="I26" s="84"/>
      <c r="J26" s="84"/>
      <c r="K26" s="84"/>
    </row>
    <row r="27" spans="1:11" s="85" customFormat="1" x14ac:dyDescent="0.3">
      <c r="A27" s="88" t="s">
        <v>31</v>
      </c>
      <c r="B27" s="81">
        <v>47209</v>
      </c>
      <c r="C27" s="81">
        <v>45855</v>
      </c>
      <c r="D27" s="82">
        <f t="shared" si="1"/>
        <v>-2.8680971848588192E-2</v>
      </c>
      <c r="E27" s="107"/>
      <c r="F27" s="83"/>
      <c r="G27" s="83"/>
      <c r="H27" s="106"/>
      <c r="I27" s="84"/>
      <c r="J27" s="84"/>
      <c r="K27" s="84"/>
    </row>
    <row r="28" spans="1:11" s="85" customFormat="1" x14ac:dyDescent="0.3">
      <c r="A28" s="88" t="s">
        <v>32</v>
      </c>
      <c r="B28" s="81">
        <v>199188</v>
      </c>
      <c r="C28" s="81">
        <v>252760</v>
      </c>
      <c r="D28" s="82">
        <f t="shared" si="1"/>
        <v>0.26895194489627888</v>
      </c>
      <c r="E28" s="107"/>
      <c r="F28" s="83"/>
      <c r="G28" s="83"/>
      <c r="H28" s="106"/>
      <c r="I28" s="84"/>
      <c r="J28" s="84"/>
      <c r="K28" s="84"/>
    </row>
    <row r="29" spans="1:11" s="85" customFormat="1" x14ac:dyDescent="0.3">
      <c r="A29" s="88" t="s">
        <v>24</v>
      </c>
      <c r="B29" s="81">
        <v>62754</v>
      </c>
      <c r="C29" s="81">
        <v>119193</v>
      </c>
      <c r="D29" s="82">
        <f t="shared" si="1"/>
        <v>0.89936896452815762</v>
      </c>
      <c r="E29" s="107"/>
      <c r="F29" s="83"/>
      <c r="G29" s="83"/>
      <c r="H29" s="106"/>
      <c r="I29" s="84"/>
      <c r="J29" s="84"/>
      <c r="K29" s="84"/>
    </row>
    <row r="30" spans="1:11" s="85" customFormat="1" x14ac:dyDescent="0.3">
      <c r="A30" s="88" t="s">
        <v>0</v>
      </c>
      <c r="B30" s="81">
        <v>7674</v>
      </c>
      <c r="C30" s="81">
        <v>6607</v>
      </c>
      <c r="D30" s="82">
        <f t="shared" si="1"/>
        <v>-0.13904091738337243</v>
      </c>
      <c r="E30" s="107"/>
      <c r="F30" s="83"/>
      <c r="G30" s="83"/>
      <c r="H30" s="106"/>
      <c r="I30" s="84"/>
      <c r="J30" s="84"/>
      <c r="K30" s="84"/>
    </row>
    <row r="31" spans="1:11" s="85" customFormat="1" x14ac:dyDescent="0.3">
      <c r="A31" s="88" t="s">
        <v>33</v>
      </c>
      <c r="B31" s="80">
        <f>SUM(B23:B30)</f>
        <v>1465829</v>
      </c>
      <c r="C31" s="80">
        <f>SUM(C23:C30)</f>
        <v>1536553</v>
      </c>
      <c r="D31" s="82">
        <f t="shared" si="1"/>
        <v>4.8248465544070966E-2</v>
      </c>
      <c r="E31" s="107"/>
      <c r="F31" s="83"/>
      <c r="G31" s="83"/>
      <c r="H31" s="106"/>
      <c r="I31" s="84"/>
      <c r="J31" s="84"/>
      <c r="K31" s="84"/>
    </row>
    <row r="32" spans="1:11" s="85" customFormat="1" x14ac:dyDescent="0.3">
      <c r="A32" s="88" t="s">
        <v>39</v>
      </c>
      <c r="B32" s="81">
        <v>15305</v>
      </c>
      <c r="C32" s="81">
        <v>15731</v>
      </c>
      <c r="D32" s="82">
        <f t="shared" si="1"/>
        <v>2.783404116301862E-2</v>
      </c>
      <c r="E32" s="107"/>
      <c r="F32" s="83"/>
      <c r="G32" s="83"/>
      <c r="H32" s="106"/>
      <c r="I32" s="84"/>
      <c r="J32" s="84"/>
      <c r="K32" s="84"/>
    </row>
    <row r="33" spans="1:11" s="85" customFormat="1" x14ac:dyDescent="0.3">
      <c r="A33" s="97" t="s">
        <v>34</v>
      </c>
      <c r="B33" s="97">
        <v>6428353</v>
      </c>
      <c r="C33" s="97">
        <v>6724112</v>
      </c>
      <c r="D33" s="98">
        <f t="shared" si="1"/>
        <v>4.6008518822783999E-2</v>
      </c>
      <c r="E33" s="109"/>
      <c r="F33" s="83"/>
      <c r="G33" s="83"/>
      <c r="H33" s="108"/>
      <c r="I33" s="84"/>
      <c r="J33" s="84"/>
      <c r="K33" s="84"/>
    </row>
    <row r="34" spans="1:11" s="85" customFormat="1" ht="15.75" thickBot="1" x14ac:dyDescent="0.35">
      <c r="A34" s="91" t="s">
        <v>35</v>
      </c>
      <c r="B34" s="91">
        <f>+B31+B32+B33</f>
        <v>7909487</v>
      </c>
      <c r="C34" s="91">
        <f>+C31+C32+C33</f>
        <v>8276396</v>
      </c>
      <c r="D34" s="99">
        <f t="shared" si="1"/>
        <v>4.6388469947545273E-2</v>
      </c>
      <c r="E34" s="109"/>
      <c r="F34" s="83"/>
      <c r="G34" s="83"/>
      <c r="H34" s="108"/>
      <c r="I34" s="84"/>
      <c r="J34" s="84"/>
      <c r="K34" s="84"/>
    </row>
    <row r="35" spans="1:11" s="85" customFormat="1" x14ac:dyDescent="0.3">
      <c r="B35" s="81"/>
      <c r="C35" s="81"/>
      <c r="D35" s="82"/>
      <c r="E35" s="107"/>
      <c r="F35" s="83"/>
      <c r="G35" s="83"/>
      <c r="H35" s="108"/>
      <c r="I35" s="84"/>
      <c r="J35" s="84"/>
      <c r="K35" s="84"/>
    </row>
    <row r="36" spans="1:11" ht="21" x14ac:dyDescent="0.35">
      <c r="A36" s="116" t="s">
        <v>91</v>
      </c>
    </row>
    <row r="37" spans="1:11" ht="15.75" x14ac:dyDescent="0.3">
      <c r="A37" s="78" t="s">
        <v>89</v>
      </c>
    </row>
    <row r="38" spans="1:11" x14ac:dyDescent="0.3">
      <c r="A38" s="79" t="s">
        <v>88</v>
      </c>
    </row>
    <row r="39" spans="1:11" s="85" customFormat="1" x14ac:dyDescent="0.3">
      <c r="A39" s="86"/>
      <c r="B39" s="86">
        <v>2011</v>
      </c>
      <c r="C39" s="86" t="s">
        <v>55</v>
      </c>
      <c r="D39" s="86">
        <v>2012</v>
      </c>
      <c r="E39" s="86" t="s">
        <v>55</v>
      </c>
      <c r="F39" s="87" t="s">
        <v>46</v>
      </c>
      <c r="G39" s="101"/>
    </row>
    <row r="40" spans="1:11" s="95" customFormat="1" x14ac:dyDescent="0.3">
      <c r="A40" s="80" t="s">
        <v>4</v>
      </c>
      <c r="B40" s="110">
        <v>3643470</v>
      </c>
      <c r="C40" s="94">
        <v>1</v>
      </c>
      <c r="D40" s="110">
        <v>3832919</v>
      </c>
      <c r="E40" s="94">
        <v>1</v>
      </c>
      <c r="F40" s="82">
        <f>IF(B40&lt;&gt;0,(D40-B40)/B40,0)</f>
        <v>5.1996860136079071E-2</v>
      </c>
      <c r="G40" s="111"/>
      <c r="H40" s="85"/>
    </row>
    <row r="41" spans="1:11" s="85" customFormat="1" x14ac:dyDescent="0.3">
      <c r="A41" s="81" t="s">
        <v>50</v>
      </c>
      <c r="B41" s="112">
        <v>-2195803</v>
      </c>
      <c r="C41" s="82">
        <f t="shared" ref="C41:C59" si="2">+B41/$B$40</f>
        <v>-0.60266806094190428</v>
      </c>
      <c r="D41" s="112">
        <v>-2203106</v>
      </c>
      <c r="E41" s="82">
        <f>+D41/$D$40</f>
        <v>-0.57478543115573277</v>
      </c>
      <c r="F41" s="82">
        <f t="shared" ref="F41:F57" si="3">IF(B41&lt;&gt;0,(D41-B41)/B41,0)</f>
        <v>3.3258903462651248E-3</v>
      </c>
      <c r="G41" s="101"/>
    </row>
    <row r="42" spans="1:11" s="95" customFormat="1" x14ac:dyDescent="0.3">
      <c r="A42" s="80" t="s">
        <v>6</v>
      </c>
      <c r="B42" s="80">
        <f>SUM(B40:B41)</f>
        <v>1447667</v>
      </c>
      <c r="C42" s="94">
        <f t="shared" si="2"/>
        <v>0.39733193905809572</v>
      </c>
      <c r="D42" s="80">
        <f>SUM(D40:D41)</f>
        <v>1629813</v>
      </c>
      <c r="E42" s="94">
        <f t="shared" ref="E42:E59" si="4">+D42/$D$40</f>
        <v>0.42521456884426723</v>
      </c>
      <c r="F42" s="82">
        <f t="shared" si="3"/>
        <v>0.1258203716738725</v>
      </c>
      <c r="G42" s="111"/>
      <c r="H42" s="85"/>
    </row>
    <row r="43" spans="1:11" s="85" customFormat="1" x14ac:dyDescent="0.3">
      <c r="A43" s="81" t="s">
        <v>7</v>
      </c>
      <c r="B43" s="81">
        <v>-179820</v>
      </c>
      <c r="C43" s="82">
        <f t="shared" si="2"/>
        <v>-4.9354049848084384E-2</v>
      </c>
      <c r="D43" s="81">
        <v>-193226</v>
      </c>
      <c r="E43" s="82">
        <f t="shared" si="4"/>
        <v>-5.0412231513371403E-2</v>
      </c>
      <c r="F43" s="82">
        <f t="shared" si="3"/>
        <v>7.4552330107885659E-2</v>
      </c>
      <c r="G43" s="101"/>
    </row>
    <row r="44" spans="1:11" s="85" customFormat="1" x14ac:dyDescent="0.3">
      <c r="A44" s="81" t="s">
        <v>8</v>
      </c>
      <c r="B44" s="81">
        <v>-866133</v>
      </c>
      <c r="C44" s="82">
        <f t="shared" si="2"/>
        <v>-0.2377220067682731</v>
      </c>
      <c r="D44" s="81">
        <v>-951496</v>
      </c>
      <c r="E44" s="82">
        <f t="shared" si="4"/>
        <v>-0.24824317967585541</v>
      </c>
      <c r="F44" s="82">
        <f t="shared" si="3"/>
        <v>9.8556457264646416E-2</v>
      </c>
      <c r="G44" s="101"/>
    </row>
    <row r="45" spans="1:11" s="85" customFormat="1" x14ac:dyDescent="0.3">
      <c r="A45" s="81" t="s">
        <v>84</v>
      </c>
      <c r="B45" s="81">
        <v>-83076</v>
      </c>
      <c r="C45" s="82">
        <f t="shared" si="2"/>
        <v>-2.2801340480366243E-2</v>
      </c>
      <c r="D45" s="81">
        <v>-104720</v>
      </c>
      <c r="E45" s="82">
        <f t="shared" si="4"/>
        <v>-2.7321213936428085E-2</v>
      </c>
      <c r="F45" s="82">
        <f t="shared" si="3"/>
        <v>0.26053252443545671</v>
      </c>
      <c r="G45" s="101"/>
    </row>
    <row r="46" spans="1:11" s="95" customFormat="1" x14ac:dyDescent="0.3">
      <c r="A46" s="80" t="s">
        <v>9</v>
      </c>
      <c r="B46" s="80">
        <f>SUM(B43:B45)</f>
        <v>-1129029</v>
      </c>
      <c r="C46" s="94">
        <f t="shared" si="2"/>
        <v>-0.30987739709672374</v>
      </c>
      <c r="D46" s="80">
        <f>SUM(D43:D45)</f>
        <v>-1249442</v>
      </c>
      <c r="E46" s="94">
        <f t="shared" si="4"/>
        <v>-0.3259766251256549</v>
      </c>
      <c r="F46" s="82">
        <f t="shared" si="3"/>
        <v>0.10665182205240079</v>
      </c>
      <c r="G46" s="111"/>
      <c r="H46" s="85"/>
    </row>
    <row r="47" spans="1:11" s="95" customFormat="1" x14ac:dyDescent="0.3">
      <c r="A47" s="80" t="s">
        <v>1</v>
      </c>
      <c r="B47" s="80">
        <f>+B42+B46</f>
        <v>318638</v>
      </c>
      <c r="C47" s="94">
        <f t="shared" si="2"/>
        <v>8.7454541961371993E-2</v>
      </c>
      <c r="D47" s="80">
        <f>+D42+D46</f>
        <v>380371</v>
      </c>
      <c r="E47" s="94">
        <f t="shared" si="4"/>
        <v>9.9237943718612373E-2</v>
      </c>
      <c r="F47" s="82">
        <f t="shared" si="3"/>
        <v>0.19374023186186204</v>
      </c>
      <c r="G47" s="111"/>
      <c r="H47" s="85"/>
    </row>
    <row r="48" spans="1:11" s="85" customFormat="1" x14ac:dyDescent="0.3">
      <c r="A48" s="81" t="s">
        <v>51</v>
      </c>
      <c r="B48" s="81">
        <v>4938</v>
      </c>
      <c r="C48" s="82">
        <f t="shared" si="2"/>
        <v>1.3553014022346828E-3</v>
      </c>
      <c r="D48" s="81">
        <v>8148</v>
      </c>
      <c r="E48" s="82">
        <f t="shared" si="4"/>
        <v>2.1257949881017574E-3</v>
      </c>
      <c r="F48" s="82">
        <f t="shared" si="3"/>
        <v>0.65006075334143376</v>
      </c>
      <c r="G48" s="101"/>
    </row>
    <row r="49" spans="1:8" s="85" customFormat="1" x14ac:dyDescent="0.3">
      <c r="A49" s="81" t="s">
        <v>11</v>
      </c>
      <c r="B49" s="81">
        <v>-64909</v>
      </c>
      <c r="C49" s="82">
        <f t="shared" si="2"/>
        <v>-1.7815159724109159E-2</v>
      </c>
      <c r="D49" s="81">
        <v>-53292</v>
      </c>
      <c r="E49" s="82">
        <f t="shared" si="4"/>
        <v>-1.3903763685066134E-2</v>
      </c>
      <c r="F49" s="82">
        <f t="shared" si="3"/>
        <v>-0.17897364001910368</v>
      </c>
      <c r="G49" s="101"/>
    </row>
    <row r="50" spans="1:8" s="85" customFormat="1" x14ac:dyDescent="0.3">
      <c r="A50" s="81" t="s">
        <v>12</v>
      </c>
      <c r="B50" s="81">
        <v>-3992</v>
      </c>
      <c r="C50" s="82">
        <f t="shared" si="2"/>
        <v>-1.0956588087729555E-3</v>
      </c>
      <c r="D50" s="81">
        <v>8986</v>
      </c>
      <c r="E50" s="82">
        <f t="shared" si="4"/>
        <v>2.344427315056749E-3</v>
      </c>
      <c r="F50" s="82">
        <f t="shared" si="3"/>
        <v>-3.2510020040080159</v>
      </c>
      <c r="G50" s="101"/>
    </row>
    <row r="51" spans="1:8" s="85" customFormat="1" x14ac:dyDescent="0.3">
      <c r="A51" s="81" t="s">
        <v>52</v>
      </c>
      <c r="B51" s="81">
        <v>-17283</v>
      </c>
      <c r="C51" s="82">
        <f t="shared" si="2"/>
        <v>-4.7435549078213898E-3</v>
      </c>
      <c r="D51" s="81">
        <v>-10675</v>
      </c>
      <c r="E51" s="82">
        <f t="shared" si="4"/>
        <v>-2.7850836399099486E-3</v>
      </c>
      <c r="F51" s="82">
        <f t="shared" si="3"/>
        <v>-0.3823410287565816</v>
      </c>
      <c r="G51" s="101"/>
    </row>
    <row r="52" spans="1:8" s="85" customFormat="1" x14ac:dyDescent="0.3">
      <c r="A52" s="81" t="s">
        <v>14</v>
      </c>
      <c r="B52" s="81">
        <v>25235</v>
      </c>
      <c r="C52" s="82">
        <f t="shared" si="2"/>
        <v>6.9260896892248324E-3</v>
      </c>
      <c r="D52" s="81">
        <v>26346</v>
      </c>
      <c r="E52" s="82">
        <f t="shared" si="4"/>
        <v>6.8736125130742396E-3</v>
      </c>
      <c r="F52" s="82">
        <f t="shared" si="3"/>
        <v>4.4026154150980781E-2</v>
      </c>
      <c r="G52" s="101"/>
    </row>
    <row r="53" spans="1:8" s="85" customFormat="1" x14ac:dyDescent="0.3">
      <c r="A53" s="81" t="s">
        <v>16</v>
      </c>
      <c r="B53" s="81">
        <v>-108</v>
      </c>
      <c r="C53" s="82">
        <f t="shared" si="2"/>
        <v>-2.964207198083146E-5</v>
      </c>
      <c r="D53" s="81">
        <v>35</v>
      </c>
      <c r="E53" s="82">
        <f t="shared" si="4"/>
        <v>9.1314217701965518E-6</v>
      </c>
      <c r="F53" s="82">
        <f t="shared" si="3"/>
        <v>-1.3240740740740742</v>
      </c>
      <c r="G53" s="101"/>
    </row>
    <row r="54" spans="1:8" s="95" customFormat="1" x14ac:dyDescent="0.3">
      <c r="A54" s="80" t="s">
        <v>2</v>
      </c>
      <c r="B54" s="80">
        <f>SUM(B48:B53)</f>
        <v>-56119</v>
      </c>
      <c r="C54" s="94">
        <f t="shared" si="2"/>
        <v>-1.5402624421224821E-2</v>
      </c>
      <c r="D54" s="80">
        <f>SUM(D48:D53)</f>
        <v>-20452</v>
      </c>
      <c r="E54" s="94">
        <f t="shared" si="4"/>
        <v>-5.3358810869731394E-3</v>
      </c>
      <c r="F54" s="82">
        <f t="shared" si="3"/>
        <v>-0.6355601489691548</v>
      </c>
      <c r="G54" s="111"/>
      <c r="H54" s="85"/>
    </row>
    <row r="55" spans="1:8" s="95" customFormat="1" x14ac:dyDescent="0.3">
      <c r="A55" s="80" t="s">
        <v>41</v>
      </c>
      <c r="B55" s="80">
        <f>+B47+B54</f>
        <v>262519</v>
      </c>
      <c r="C55" s="94">
        <f t="shared" si="2"/>
        <v>7.205191754014717E-2</v>
      </c>
      <c r="D55" s="80">
        <f>+D47+D54</f>
        <v>359919</v>
      </c>
      <c r="E55" s="94">
        <f t="shared" si="4"/>
        <v>9.3902062631639235E-2</v>
      </c>
      <c r="F55" s="82">
        <f t="shared" si="3"/>
        <v>0.37102076421135233</v>
      </c>
      <c r="G55" s="111"/>
      <c r="H55" s="85"/>
    </row>
    <row r="56" spans="1:8" s="85" customFormat="1" x14ac:dyDescent="0.3">
      <c r="A56" s="81" t="s">
        <v>15</v>
      </c>
      <c r="B56" s="81">
        <v>-89048</v>
      </c>
      <c r="C56" s="82">
        <f t="shared" si="2"/>
        <v>-2.4440437275454443E-2</v>
      </c>
      <c r="D56" s="81">
        <v>-116825</v>
      </c>
      <c r="E56" s="82">
        <f t="shared" si="4"/>
        <v>-3.0479381380091777E-2</v>
      </c>
      <c r="F56" s="82">
        <f t="shared" si="3"/>
        <v>0.31193289012667325</v>
      </c>
      <c r="G56" s="101"/>
    </row>
    <row r="57" spans="1:8" s="85" customFormat="1" x14ac:dyDescent="0.3">
      <c r="A57" s="81" t="s">
        <v>18</v>
      </c>
      <c r="B57" s="81">
        <v>-2325</v>
      </c>
      <c r="C57" s="82">
        <f t="shared" si="2"/>
        <v>-6.3812793847623287E-4</v>
      </c>
      <c r="D57" s="81">
        <v>-1989</v>
      </c>
      <c r="E57" s="82">
        <f t="shared" si="4"/>
        <v>-5.1892565431202692E-4</v>
      </c>
      <c r="F57" s="82">
        <f t="shared" si="3"/>
        <v>-0.14451612903225808</v>
      </c>
      <c r="G57" s="101"/>
    </row>
    <row r="58" spans="1:8" s="95" customFormat="1" x14ac:dyDescent="0.3">
      <c r="A58" s="113" t="s">
        <v>17</v>
      </c>
      <c r="B58" s="113">
        <f>+B55+B56+B57</f>
        <v>171146</v>
      </c>
      <c r="C58" s="114">
        <f t="shared" si="2"/>
        <v>4.6973352326216494E-2</v>
      </c>
      <c r="D58" s="113">
        <f>+D55+D56+D57</f>
        <v>241105</v>
      </c>
      <c r="E58" s="114">
        <f t="shared" si="4"/>
        <v>6.290375559723542E-2</v>
      </c>
      <c r="F58" s="114">
        <f>+(D58-B58)/B58</f>
        <v>0.40876795250838466</v>
      </c>
      <c r="G58" s="111"/>
      <c r="H58" s="85"/>
    </row>
    <row r="59" spans="1:8" s="95" customFormat="1" ht="15.75" thickBot="1" x14ac:dyDescent="0.35">
      <c r="A59" s="91" t="s">
        <v>19</v>
      </c>
      <c r="B59" s="91">
        <v>418998</v>
      </c>
      <c r="C59" s="99">
        <f t="shared" si="2"/>
        <v>0.11499971181318908</v>
      </c>
      <c r="D59" s="91">
        <v>488060</v>
      </c>
      <c r="E59" s="99">
        <f t="shared" si="4"/>
        <v>0.12733376311891798</v>
      </c>
      <c r="F59" s="99">
        <f>+(D59-B59)/B59</f>
        <v>0.16482656241795904</v>
      </c>
      <c r="G59" s="111"/>
      <c r="H59" s="85"/>
    </row>
    <row r="60" spans="1:8" s="85" customFormat="1" x14ac:dyDescent="0.3">
      <c r="A60" s="81"/>
      <c r="B60" s="81"/>
      <c r="C60" s="82"/>
      <c r="D60" s="112"/>
      <c r="E60" s="82"/>
      <c r="F60" s="101"/>
      <c r="G60" s="101"/>
    </row>
    <row r="61" spans="1:8" s="85" customFormat="1" x14ac:dyDescent="0.3">
      <c r="A61" s="85" t="s">
        <v>53</v>
      </c>
      <c r="B61" s="112"/>
      <c r="C61" s="112"/>
      <c r="D61" s="112"/>
      <c r="E61" s="82"/>
      <c r="F61" s="101"/>
      <c r="G61" s="101"/>
    </row>
    <row r="62" spans="1:8" s="85" customFormat="1" x14ac:dyDescent="0.3">
      <c r="B62" s="81"/>
      <c r="C62" s="81"/>
      <c r="D62" s="112"/>
      <c r="E62" s="82"/>
      <c r="F62" s="101"/>
      <c r="G62" s="101"/>
    </row>
    <row r="63" spans="1:8" s="85" customFormat="1" x14ac:dyDescent="0.3">
      <c r="B63" s="81"/>
      <c r="C63" s="81"/>
      <c r="D63" s="82"/>
      <c r="E63" s="82"/>
      <c r="F63" s="101"/>
      <c r="G63" s="101"/>
    </row>
    <row r="64" spans="1:8" s="85" customFormat="1" x14ac:dyDescent="0.3">
      <c r="B64" s="81"/>
      <c r="C64" s="81"/>
      <c r="D64" s="89"/>
      <c r="E64" s="82"/>
      <c r="F64" s="101"/>
      <c r="G64" s="101"/>
    </row>
    <row r="65" spans="5:5" x14ac:dyDescent="0.3">
      <c r="E65" s="77"/>
    </row>
    <row r="82" spans="5:5" x14ac:dyDescent="0.3">
      <c r="E82" s="77"/>
    </row>
  </sheetData>
  <pageMargins left="0.7" right="0.7" top="0.75" bottom="0.75" header="0.3" footer="0.3"/>
  <pageSetup scale="95" orientation="portrait" r:id="rId1"/>
  <rowBreaks count="1" manualBreakCount="1">
    <brk id="35" max="5" man="1"/>
  </rowBreaks>
  <ignoredErrors>
    <ignoredError sqref="B20" formulaRange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7" workbookViewId="0">
      <pane xSplit="1" ySplit="4" topLeftCell="D17" activePane="bottomRight" state="frozen"/>
      <selection activeCell="A7" sqref="A7"/>
      <selection pane="topRight" activeCell="B7" sqref="B7"/>
      <selection pane="bottomLeft" activeCell="A11" sqref="A11"/>
      <selection pane="bottomRight" activeCell="A7" sqref="A1:XFD1048576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19" x14ac:dyDescent="0.3">
      <c r="M1" s="75"/>
      <c r="N1" s="76"/>
      <c r="O1" s="76"/>
    </row>
    <row r="2" spans="1:19" x14ac:dyDescent="0.3">
      <c r="M2" s="75"/>
      <c r="N2" s="76"/>
      <c r="O2" s="76"/>
    </row>
    <row r="3" spans="1:19" x14ac:dyDescent="0.3">
      <c r="M3" s="75"/>
      <c r="N3" s="76"/>
      <c r="O3" s="76"/>
    </row>
    <row r="4" spans="1:19" x14ac:dyDescent="0.3">
      <c r="M4" s="75"/>
      <c r="N4" s="76"/>
      <c r="O4" s="76"/>
    </row>
    <row r="5" spans="1:19" x14ac:dyDescent="0.3">
      <c r="M5" s="75"/>
      <c r="N5" s="76"/>
      <c r="O5" s="76"/>
    </row>
    <row r="6" spans="1:19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19" ht="15.75" x14ac:dyDescent="0.3">
      <c r="A7" s="78" t="s">
        <v>67</v>
      </c>
      <c r="B7" s="78"/>
      <c r="C7" s="78"/>
      <c r="D7" s="78"/>
      <c r="E7" s="78"/>
      <c r="F7" s="78"/>
      <c r="G7" s="78"/>
      <c r="M7" s="75"/>
      <c r="N7" s="76"/>
      <c r="O7" s="76"/>
    </row>
    <row r="8" spans="1:19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19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19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57">
        <v>2011</v>
      </c>
      <c r="I10" s="157">
        <v>2012</v>
      </c>
      <c r="J10" s="145" t="s">
        <v>95</v>
      </c>
      <c r="K10" s="145" t="s">
        <v>95</v>
      </c>
      <c r="L10" s="158" t="s">
        <v>46</v>
      </c>
    </row>
    <row r="11" spans="1:19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121">
        <v>94</v>
      </c>
      <c r="I11" s="135">
        <v>75</v>
      </c>
      <c r="J11" s="135"/>
      <c r="K11" s="135"/>
      <c r="L11" s="129">
        <f t="shared" ref="L11:L17" si="0">IF(H11&lt;&gt;0,(I11-H11)/H11,0)</f>
        <v>-0.20212765957446807</v>
      </c>
    </row>
    <row r="12" spans="1:19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121">
        <v>3554895</v>
      </c>
      <c r="I12" s="135">
        <v>3748345</v>
      </c>
      <c r="J12" s="135"/>
      <c r="K12" s="135"/>
      <c r="L12" s="129">
        <f t="shared" si="0"/>
        <v>5.4417922329632801E-2</v>
      </c>
    </row>
    <row r="13" spans="1:19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121">
        <v>10662</v>
      </c>
      <c r="I13" s="135">
        <v>14922</v>
      </c>
      <c r="J13" s="135"/>
      <c r="K13" s="135"/>
      <c r="L13" s="129">
        <f t="shared" si="0"/>
        <v>0.39954980303882948</v>
      </c>
      <c r="M13" s="85"/>
      <c r="N13" s="85"/>
      <c r="P13" s="85"/>
      <c r="Q13" s="85"/>
      <c r="R13" s="85"/>
    </row>
    <row r="14" spans="1:19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121">
        <v>0</v>
      </c>
      <c r="I14" s="135">
        <v>0</v>
      </c>
      <c r="J14" s="135"/>
      <c r="K14" s="135"/>
      <c r="L14" s="129">
        <f t="shared" si="0"/>
        <v>0</v>
      </c>
      <c r="M14" s="85"/>
      <c r="N14" s="85"/>
      <c r="P14" s="85"/>
      <c r="Q14" s="85"/>
      <c r="R14" s="85"/>
    </row>
    <row r="15" spans="1:19" s="89" customFormat="1" x14ac:dyDescent="0.3">
      <c r="A15" s="88" t="s">
        <v>59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121">
        <f>503+155</f>
        <v>658</v>
      </c>
      <c r="I15" s="135">
        <v>118</v>
      </c>
      <c r="J15" s="135"/>
      <c r="K15" s="135"/>
      <c r="L15" s="129">
        <f t="shared" si="0"/>
        <v>-0.82066869300911849</v>
      </c>
      <c r="M15" s="85"/>
      <c r="N15" s="85"/>
      <c r="P15" s="85"/>
      <c r="Q15" s="85"/>
      <c r="R15" s="85"/>
    </row>
    <row r="16" spans="1:19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121">
        <v>2979150</v>
      </c>
      <c r="I16" s="135">
        <v>3733696</v>
      </c>
      <c r="J16" s="135"/>
      <c r="K16" s="135"/>
      <c r="L16" s="129">
        <f t="shared" si="0"/>
        <v>0.25327559874460837</v>
      </c>
      <c r="M16" s="85"/>
      <c r="N16" s="85"/>
      <c r="P16" s="85"/>
      <c r="Q16" s="85"/>
      <c r="R16" s="85"/>
    </row>
    <row r="17" spans="1:18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1">SUM(F11:F16)</f>
        <v>5514960</v>
      </c>
      <c r="G17" s="91">
        <f t="shared" si="1"/>
        <v>6403741</v>
      </c>
      <c r="H17" s="122">
        <f>SUM(H11:H16)</f>
        <v>6545459</v>
      </c>
      <c r="I17" s="137">
        <f>SUM(I11:I16)</f>
        <v>7497156</v>
      </c>
      <c r="J17" s="137"/>
      <c r="K17" s="137"/>
      <c r="L17" s="159">
        <f t="shared" si="0"/>
        <v>0.14539805382632448</v>
      </c>
      <c r="M17" s="85"/>
      <c r="N17" s="85"/>
      <c r="P17" s="85"/>
      <c r="Q17" s="85"/>
      <c r="R17" s="85"/>
    </row>
    <row r="18" spans="1:18" s="85" customFormat="1" x14ac:dyDescent="0.3">
      <c r="B18" s="81"/>
      <c r="C18" s="81"/>
      <c r="D18" s="81"/>
      <c r="E18" s="81"/>
      <c r="F18" s="81"/>
      <c r="G18" s="81"/>
      <c r="H18" s="121"/>
      <c r="I18" s="135"/>
      <c r="J18" s="135"/>
      <c r="K18" s="135"/>
      <c r="L18" s="129"/>
    </row>
    <row r="19" spans="1:18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160">
        <v>2011</v>
      </c>
      <c r="I19" s="161">
        <v>2012</v>
      </c>
      <c r="J19" s="161"/>
      <c r="K19" s="161"/>
      <c r="L19" s="162" t="s">
        <v>46</v>
      </c>
      <c r="M19" s="85"/>
      <c r="N19" s="85"/>
      <c r="P19" s="85"/>
      <c r="Q19" s="85"/>
      <c r="R19" s="85"/>
    </row>
    <row r="20" spans="1:18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121">
        <v>0</v>
      </c>
      <c r="I20" s="135">
        <v>7</v>
      </c>
      <c r="J20" s="135"/>
      <c r="K20" s="135"/>
      <c r="L20" s="129">
        <f t="shared" ref="L20:L28" si="2">IF(H20&lt;&gt;0,(I20-H20)/H20,0)</f>
        <v>0</v>
      </c>
      <c r="M20" s="85"/>
      <c r="N20" s="85"/>
      <c r="P20" s="85"/>
      <c r="Q20" s="85"/>
      <c r="R20" s="85"/>
    </row>
    <row r="21" spans="1:18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121">
        <v>59466</v>
      </c>
      <c r="I21" s="135">
        <v>65082</v>
      </c>
      <c r="J21" s="135"/>
      <c r="K21" s="135"/>
      <c r="L21" s="129">
        <f t="shared" si="2"/>
        <v>9.4440520633639391E-2</v>
      </c>
      <c r="M21" s="85"/>
      <c r="N21" s="85"/>
      <c r="P21" s="85"/>
      <c r="Q21" s="85"/>
      <c r="R21" s="85"/>
    </row>
    <row r="22" spans="1:18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121">
        <v>585</v>
      </c>
      <c r="I22" s="135">
        <v>657</v>
      </c>
      <c r="J22" s="135"/>
      <c r="K22" s="135"/>
      <c r="L22" s="129">
        <f t="shared" si="2"/>
        <v>0.12307692307692308</v>
      </c>
    </row>
    <row r="23" spans="1:18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121">
        <v>872</v>
      </c>
      <c r="I23" s="135">
        <v>481</v>
      </c>
      <c r="J23" s="135"/>
      <c r="K23" s="135"/>
      <c r="L23" s="129">
        <f t="shared" si="2"/>
        <v>-0.44839449541284404</v>
      </c>
    </row>
    <row r="24" spans="1:18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121">
        <v>0</v>
      </c>
      <c r="I24" s="135">
        <v>0</v>
      </c>
      <c r="J24" s="135"/>
      <c r="K24" s="135"/>
      <c r="L24" s="129">
        <f t="shared" si="2"/>
        <v>0</v>
      </c>
    </row>
    <row r="25" spans="1:18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121">
        <v>8296</v>
      </c>
      <c r="I25" s="135">
        <v>8803</v>
      </c>
      <c r="J25" s="135"/>
      <c r="K25" s="135"/>
      <c r="L25" s="129">
        <f t="shared" si="2"/>
        <v>6.1113789778206362E-2</v>
      </c>
    </row>
    <row r="26" spans="1:18" s="95" customFormat="1" x14ac:dyDescent="0.3">
      <c r="A26" s="93" t="s">
        <v>33</v>
      </c>
      <c r="B26" s="80">
        <f t="shared" ref="B26:G26" si="3">SUM(B20:B25)</f>
        <v>43329</v>
      </c>
      <c r="C26" s="80">
        <f t="shared" si="3"/>
        <v>63235</v>
      </c>
      <c r="D26" s="80">
        <f t="shared" si="3"/>
        <v>73581</v>
      </c>
      <c r="E26" s="80">
        <f t="shared" si="3"/>
        <v>83903</v>
      </c>
      <c r="F26" s="80">
        <f t="shared" si="3"/>
        <v>115757</v>
      </c>
      <c r="G26" s="80">
        <f t="shared" si="3"/>
        <v>80066</v>
      </c>
      <c r="H26" s="123">
        <f>SUM(H20:H25)</f>
        <v>69219</v>
      </c>
      <c r="I26" s="134">
        <f>SUM(I20:I25)</f>
        <v>75030</v>
      </c>
      <c r="J26" s="134"/>
      <c r="K26" s="134"/>
      <c r="L26" s="138">
        <f t="shared" si="2"/>
        <v>8.3950938326182112E-2</v>
      </c>
      <c r="N26" s="85"/>
      <c r="P26" s="85"/>
      <c r="Q26" s="85"/>
      <c r="R26" s="85"/>
    </row>
    <row r="27" spans="1:18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124">
        <v>6476240</v>
      </c>
      <c r="I27" s="163">
        <v>7422126</v>
      </c>
      <c r="J27" s="163"/>
      <c r="K27" s="163"/>
      <c r="L27" s="131">
        <f t="shared" si="2"/>
        <v>0.14605480958086792</v>
      </c>
      <c r="N27" s="85"/>
      <c r="P27" s="85"/>
      <c r="Q27" s="85"/>
      <c r="R27" s="85"/>
    </row>
    <row r="28" spans="1:18" s="95" customFormat="1" ht="15.75" thickBot="1" x14ac:dyDescent="0.35">
      <c r="A28" s="90" t="s">
        <v>35</v>
      </c>
      <c r="B28" s="91">
        <f t="shared" ref="B28:G28" si="4">+B26+B27</f>
        <v>3744102</v>
      </c>
      <c r="C28" s="91">
        <f t="shared" si="4"/>
        <v>4028640</v>
      </c>
      <c r="D28" s="91">
        <f t="shared" si="4"/>
        <v>4241740</v>
      </c>
      <c r="E28" s="91">
        <f t="shared" si="4"/>
        <v>3957512</v>
      </c>
      <c r="F28" s="91">
        <f t="shared" si="4"/>
        <v>5514960</v>
      </c>
      <c r="G28" s="91">
        <f t="shared" si="4"/>
        <v>6403741</v>
      </c>
      <c r="H28" s="122">
        <f>+H26+H27</f>
        <v>6545459</v>
      </c>
      <c r="I28" s="137">
        <f>+I26+I27</f>
        <v>7497156</v>
      </c>
      <c r="J28" s="137"/>
      <c r="K28" s="137"/>
      <c r="L28" s="130">
        <f t="shared" si="2"/>
        <v>0.14539805382632448</v>
      </c>
      <c r="N28" s="85"/>
      <c r="P28" s="85"/>
      <c r="Q28" s="85"/>
      <c r="R28" s="85"/>
    </row>
    <row r="29" spans="1:18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121">
        <f>435123458+25000000</f>
        <v>460123458</v>
      </c>
      <c r="I29" s="135">
        <f>435123458+25000000</f>
        <v>460123458</v>
      </c>
      <c r="J29" s="135"/>
      <c r="K29" s="135"/>
      <c r="L29" s="129"/>
    </row>
    <row r="30" spans="1:18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5">+F27/+(F29/1000000)</f>
        <v>12408.439261851976</v>
      </c>
      <c r="G30" s="100">
        <f t="shared" si="5"/>
        <v>14533.059258781675</v>
      </c>
      <c r="H30" s="164">
        <f>+H27/+(H29/1000000)</f>
        <v>14075.005060924323</v>
      </c>
      <c r="I30" s="165">
        <f>+I27/+(I29/1000000)</f>
        <v>16130.727244947375</v>
      </c>
      <c r="J30" s="165"/>
      <c r="K30" s="165"/>
      <c r="L30" s="129"/>
    </row>
    <row r="31" spans="1:18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</row>
    <row r="32" spans="1:18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</row>
    <row r="33" spans="1:16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76"/>
      <c r="O33" s="76"/>
    </row>
    <row r="34" spans="1:16" ht="15.75" x14ac:dyDescent="0.3">
      <c r="A34" s="78" t="s">
        <v>93</v>
      </c>
      <c r="B34" s="78"/>
      <c r="C34" s="78"/>
      <c r="D34" s="78"/>
      <c r="E34" s="78"/>
      <c r="F34" s="78"/>
      <c r="G34" s="78"/>
      <c r="M34" s="75"/>
      <c r="N34" s="76"/>
      <c r="O34" s="76"/>
    </row>
    <row r="35" spans="1:16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76"/>
      <c r="O35" s="76"/>
    </row>
    <row r="36" spans="1:16" s="85" customFormat="1" x14ac:dyDescent="0.3">
      <c r="H36" s="81"/>
      <c r="I36" s="81"/>
      <c r="J36" s="81"/>
      <c r="K36" s="81"/>
      <c r="L36" s="82"/>
    </row>
    <row r="37" spans="1:16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57">
        <v>2011</v>
      </c>
      <c r="I37" s="157">
        <v>2012</v>
      </c>
      <c r="J37" s="157"/>
      <c r="K37" s="157"/>
      <c r="L37" s="167" t="s">
        <v>46</v>
      </c>
    </row>
    <row r="38" spans="1:16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123">
        <v>223644</v>
      </c>
      <c r="I38" s="134">
        <v>312990</v>
      </c>
      <c r="J38" s="134"/>
      <c r="K38" s="134"/>
      <c r="L38" s="129">
        <f>IF(H38&lt;&gt;0,(I38-H38)/H38,0)</f>
        <v>0.39950099264903149</v>
      </c>
      <c r="M38" s="169"/>
      <c r="N38" s="85"/>
      <c r="O38" s="85"/>
      <c r="P38" s="85"/>
    </row>
    <row r="39" spans="1:16" s="85" customFormat="1" x14ac:dyDescent="0.3">
      <c r="A39" s="85" t="s">
        <v>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121">
        <v>11024</v>
      </c>
      <c r="I39" s="135">
        <v>0</v>
      </c>
      <c r="J39" s="135"/>
      <c r="K39" s="135"/>
      <c r="L39" s="129">
        <f t="shared" ref="L39:L49" si="6">IF(H39&lt;&gt;0,(I39-H39)/H39,0)</f>
        <v>-1</v>
      </c>
      <c r="M39" s="169"/>
    </row>
    <row r="40" spans="1:16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121">
        <v>33432</v>
      </c>
      <c r="I40" s="135">
        <v>35105</v>
      </c>
      <c r="J40" s="135"/>
      <c r="K40" s="135"/>
      <c r="L40" s="129">
        <f t="shared" si="6"/>
        <v>5.0041876046901169E-2</v>
      </c>
      <c r="M40" s="169"/>
      <c r="N40" s="85"/>
      <c r="O40" s="85"/>
      <c r="P40" s="85"/>
    </row>
    <row r="41" spans="1:16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121">
        <v>7221</v>
      </c>
      <c r="I41" s="135">
        <v>8379</v>
      </c>
      <c r="J41" s="135"/>
      <c r="K41" s="135"/>
      <c r="L41" s="129">
        <f t="shared" si="6"/>
        <v>0.16036560033236394</v>
      </c>
      <c r="M41" s="169"/>
      <c r="N41" s="85"/>
      <c r="O41" s="85"/>
      <c r="P41" s="85"/>
    </row>
    <row r="42" spans="1:16" s="95" customFormat="1" x14ac:dyDescent="0.3">
      <c r="A42" s="95" t="s">
        <v>4</v>
      </c>
      <c r="B42" s="80">
        <f t="shared" ref="B42:G42" si="7">SUM(B38:B41)</f>
        <v>190916</v>
      </c>
      <c r="C42" s="80">
        <f t="shared" si="7"/>
        <v>244001</v>
      </c>
      <c r="D42" s="80">
        <f t="shared" si="7"/>
        <v>251869</v>
      </c>
      <c r="E42" s="80">
        <f t="shared" si="7"/>
        <v>299526</v>
      </c>
      <c r="F42" s="80">
        <f t="shared" si="7"/>
        <v>235968</v>
      </c>
      <c r="G42" s="80">
        <f t="shared" si="7"/>
        <v>285499</v>
      </c>
      <c r="H42" s="123">
        <f>SUM(H38:H41)</f>
        <v>275321</v>
      </c>
      <c r="I42" s="134">
        <f>SUM(I38:I41)</f>
        <v>356474</v>
      </c>
      <c r="J42" s="134"/>
      <c r="K42" s="134"/>
      <c r="L42" s="129">
        <f t="shared" si="6"/>
        <v>0.29475775549267946</v>
      </c>
      <c r="M42" s="169"/>
      <c r="N42" s="85"/>
      <c r="O42" s="85"/>
      <c r="P42" s="85"/>
    </row>
    <row r="43" spans="1:16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121">
        <v>-9004</v>
      </c>
      <c r="I43" s="135">
        <v>-10090</v>
      </c>
      <c r="J43" s="135"/>
      <c r="K43" s="135"/>
      <c r="L43" s="129">
        <f t="shared" si="6"/>
        <v>0.12061306086183918</v>
      </c>
      <c r="M43" s="169"/>
    </row>
    <row r="44" spans="1:16" s="95" customFormat="1" x14ac:dyDescent="0.3">
      <c r="A44" s="95" t="s">
        <v>42</v>
      </c>
      <c r="B44" s="80">
        <f t="shared" ref="B44:G44" si="8">SUM(B42:B43)</f>
        <v>168810</v>
      </c>
      <c r="C44" s="80">
        <f t="shared" si="8"/>
        <v>202580</v>
      </c>
      <c r="D44" s="80">
        <f t="shared" si="8"/>
        <v>244681</v>
      </c>
      <c r="E44" s="80">
        <f t="shared" si="8"/>
        <v>290753</v>
      </c>
      <c r="F44" s="80">
        <f t="shared" si="8"/>
        <v>227228</v>
      </c>
      <c r="G44" s="80">
        <f t="shared" si="8"/>
        <v>273936</v>
      </c>
      <c r="H44" s="123">
        <f>SUM(H42:H43)</f>
        <v>266317</v>
      </c>
      <c r="I44" s="134">
        <f>SUM(I42:I43)</f>
        <v>346384</v>
      </c>
      <c r="J44" s="134"/>
      <c r="K44" s="134"/>
      <c r="L44" s="129">
        <f t="shared" si="6"/>
        <v>0.30064547137433961</v>
      </c>
      <c r="M44" s="169"/>
      <c r="N44" s="85"/>
      <c r="O44" s="85"/>
      <c r="P44" s="85"/>
    </row>
    <row r="45" spans="1:16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121">
        <v>814</v>
      </c>
      <c r="I45" s="135">
        <v>851</v>
      </c>
      <c r="J45" s="135"/>
      <c r="K45" s="135"/>
      <c r="L45" s="129">
        <f t="shared" si="6"/>
        <v>4.5454545454545456E-2</v>
      </c>
      <c r="M45" s="169"/>
      <c r="N45" s="85"/>
      <c r="O45" s="85"/>
      <c r="P45" s="85"/>
    </row>
    <row r="46" spans="1:16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121">
        <v>-11022</v>
      </c>
      <c r="I46" s="135">
        <v>-1390</v>
      </c>
      <c r="J46" s="135"/>
      <c r="K46" s="135"/>
      <c r="L46" s="129">
        <f t="shared" si="6"/>
        <v>-0.87388858646343681</v>
      </c>
      <c r="M46" s="169"/>
    </row>
    <row r="47" spans="1:16" s="95" customFormat="1" x14ac:dyDescent="0.3">
      <c r="A47" s="95" t="s">
        <v>43</v>
      </c>
      <c r="B47" s="80">
        <f t="shared" ref="B47:G47" si="9">SUM(B44:B46)</f>
        <v>172912</v>
      </c>
      <c r="C47" s="80">
        <f t="shared" si="9"/>
        <v>210911</v>
      </c>
      <c r="D47" s="80">
        <f t="shared" si="9"/>
        <v>244482</v>
      </c>
      <c r="E47" s="80">
        <f t="shared" si="9"/>
        <v>291080</v>
      </c>
      <c r="F47" s="80">
        <f t="shared" si="9"/>
        <v>225701</v>
      </c>
      <c r="G47" s="80">
        <f t="shared" si="9"/>
        <v>280279</v>
      </c>
      <c r="H47" s="123">
        <f>SUM(H44:H46)</f>
        <v>256109</v>
      </c>
      <c r="I47" s="134">
        <f>SUM(I44:I46)</f>
        <v>345845</v>
      </c>
      <c r="J47" s="134"/>
      <c r="K47" s="134"/>
      <c r="L47" s="129">
        <f t="shared" si="6"/>
        <v>0.35038206388686066</v>
      </c>
      <c r="M47" s="169"/>
      <c r="N47" s="85"/>
      <c r="O47" s="85"/>
      <c r="P47" s="85"/>
    </row>
    <row r="48" spans="1:16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121">
        <v>-127</v>
      </c>
      <c r="I48" s="135">
        <v>-361</v>
      </c>
      <c r="J48" s="135"/>
      <c r="K48" s="135"/>
      <c r="L48" s="129">
        <f t="shared" si="6"/>
        <v>1.8425196850393701</v>
      </c>
      <c r="M48" s="169"/>
    </row>
    <row r="49" spans="1:13" s="85" customFormat="1" ht="15.75" thickBot="1" x14ac:dyDescent="0.35">
      <c r="A49" s="102" t="s">
        <v>17</v>
      </c>
      <c r="B49" s="103">
        <f t="shared" ref="B49:G49" si="10">SUM(B47:B48)</f>
        <v>169411</v>
      </c>
      <c r="C49" s="103">
        <f t="shared" si="10"/>
        <v>210697</v>
      </c>
      <c r="D49" s="103">
        <f t="shared" si="10"/>
        <v>244292</v>
      </c>
      <c r="E49" s="103">
        <f t="shared" si="10"/>
        <v>291006</v>
      </c>
      <c r="F49" s="103">
        <f t="shared" si="10"/>
        <v>225496</v>
      </c>
      <c r="G49" s="103">
        <f t="shared" si="10"/>
        <v>278403</v>
      </c>
      <c r="H49" s="168">
        <f>SUM(H47:H48)</f>
        <v>255982</v>
      </c>
      <c r="I49" s="166">
        <f>SUM(I47:I48)</f>
        <v>345484</v>
      </c>
      <c r="J49" s="166"/>
      <c r="K49" s="166"/>
      <c r="L49" s="130">
        <f t="shared" si="6"/>
        <v>0.34964177168707172</v>
      </c>
      <c r="M49" s="169"/>
    </row>
    <row r="50" spans="1:13" s="85" customFormat="1" x14ac:dyDescent="0.3">
      <c r="C50" s="80"/>
      <c r="H50" s="81"/>
      <c r="I50" s="81"/>
      <c r="J50" s="81"/>
      <c r="K50" s="81"/>
      <c r="L50" s="82"/>
    </row>
    <row r="51" spans="1:13" s="85" customFormat="1" x14ac:dyDescent="0.3">
      <c r="C51" s="81"/>
      <c r="H51" s="81"/>
      <c r="I51" s="81"/>
      <c r="J51" s="81"/>
      <c r="K51" s="81"/>
      <c r="L51" s="82"/>
    </row>
    <row r="52" spans="1:13" s="85" customFormat="1" x14ac:dyDescent="0.3">
      <c r="C52" s="81"/>
      <c r="E52" s="80"/>
      <c r="H52" s="81"/>
      <c r="I52" s="81"/>
      <c r="J52" s="81"/>
      <c r="K52" s="81"/>
      <c r="L52" s="82"/>
    </row>
    <row r="53" spans="1:13" s="85" customFormat="1" x14ac:dyDescent="0.3">
      <c r="C53" s="81"/>
      <c r="E53" s="81"/>
      <c r="H53" s="81"/>
      <c r="I53" s="81"/>
      <c r="J53" s="81"/>
      <c r="K53" s="81"/>
      <c r="L53" s="82"/>
    </row>
    <row r="54" spans="1:13" s="85" customFormat="1" x14ac:dyDescent="0.3">
      <c r="C54" s="80"/>
      <c r="E54" s="81"/>
      <c r="H54" s="81"/>
      <c r="I54" s="81"/>
      <c r="J54" s="81"/>
      <c r="K54" s="81"/>
      <c r="L54" s="82"/>
    </row>
    <row r="55" spans="1:13" s="85" customFormat="1" x14ac:dyDescent="0.3">
      <c r="C55" s="81"/>
      <c r="E55" s="81"/>
      <c r="H55" s="81"/>
      <c r="I55" s="81"/>
      <c r="J55" s="81"/>
      <c r="K55" s="81"/>
      <c r="L55" s="82"/>
    </row>
    <row r="56" spans="1:13" x14ac:dyDescent="0.3">
      <c r="C56" s="80"/>
      <c r="E56" s="80"/>
    </row>
    <row r="57" spans="1:13" x14ac:dyDescent="0.3">
      <c r="C57" s="81"/>
      <c r="E57" s="81"/>
    </row>
    <row r="58" spans="1:13" x14ac:dyDescent="0.3">
      <c r="C58" s="81"/>
      <c r="E58" s="8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6" width="11.42578125" style="5"/>
    <col min="7" max="7" width="11.5703125" style="11" bestFit="1" customWidth="1"/>
    <col min="8" max="8" width="11.5703125" style="5" bestFit="1" customWidth="1"/>
    <col min="9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63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2006</v>
      </c>
      <c r="C6" s="6">
        <v>2007</v>
      </c>
      <c r="D6" s="7" t="s">
        <v>46</v>
      </c>
    </row>
    <row r="7" spans="1:4" x14ac:dyDescent="0.3">
      <c r="A7" s="18" t="s">
        <v>21</v>
      </c>
      <c r="B7" s="14">
        <v>33540</v>
      </c>
      <c r="C7" s="14">
        <v>1609</v>
      </c>
      <c r="D7" s="17">
        <f t="shared" ref="D7:D12" si="0">IF(B7&lt;&gt;0,(C7-B7)/B7,0)</f>
        <v>-0.9520274299344067</v>
      </c>
    </row>
    <row r="8" spans="1:4" x14ac:dyDescent="0.3">
      <c r="A8" s="18" t="s">
        <v>22</v>
      </c>
      <c r="B8" s="14">
        <v>2297612</v>
      </c>
      <c r="C8" s="14">
        <v>2666070</v>
      </c>
      <c r="D8" s="17">
        <f t="shared" si="0"/>
        <v>0.16036563179509855</v>
      </c>
    </row>
    <row r="9" spans="1:4" x14ac:dyDescent="0.3">
      <c r="A9" s="18" t="s">
        <v>23</v>
      </c>
      <c r="B9" s="14">
        <v>24472</v>
      </c>
      <c r="C9" s="14">
        <v>21521</v>
      </c>
      <c r="D9" s="17">
        <f t="shared" si="0"/>
        <v>-0.1205867930696306</v>
      </c>
    </row>
    <row r="10" spans="1:4" x14ac:dyDescent="0.3">
      <c r="A10" s="18" t="s">
        <v>59</v>
      </c>
      <c r="B10" s="14">
        <v>15710</v>
      </c>
      <c r="C10" s="14">
        <v>927</v>
      </c>
      <c r="D10" s="17">
        <f t="shared" si="0"/>
        <v>-0.94099299809038828</v>
      </c>
    </row>
    <row r="11" spans="1:4" x14ac:dyDescent="0.3">
      <c r="A11" s="18" t="s">
        <v>26</v>
      </c>
      <c r="B11" s="14">
        <v>844984</v>
      </c>
      <c r="C11" s="14">
        <v>1222939</v>
      </c>
      <c r="D11" s="17">
        <f t="shared" si="0"/>
        <v>0.44729249311229563</v>
      </c>
    </row>
    <row r="12" spans="1:4" ht="15.75" thickBot="1" x14ac:dyDescent="0.35">
      <c r="A12" s="26" t="s">
        <v>27</v>
      </c>
      <c r="B12" s="27">
        <f>SUM(B7:B11)</f>
        <v>3216318</v>
      </c>
      <c r="C12" s="27">
        <f>SUM(C7:C11)</f>
        <v>3913066</v>
      </c>
      <c r="D12" s="46">
        <f t="shared" si="0"/>
        <v>0.21662907709996337</v>
      </c>
    </row>
    <row r="14" spans="1:4" x14ac:dyDescent="0.3">
      <c r="A14" s="6" t="s">
        <v>48</v>
      </c>
      <c r="B14" s="6">
        <v>2006</v>
      </c>
      <c r="C14" s="6">
        <v>2007</v>
      </c>
      <c r="D14" s="7" t="s">
        <v>46</v>
      </c>
    </row>
    <row r="15" spans="1:4" x14ac:dyDescent="0.3">
      <c r="A15" s="18" t="s">
        <v>28</v>
      </c>
      <c r="B15" s="14"/>
      <c r="C15" s="14">
        <v>7000</v>
      </c>
      <c r="D15" s="17">
        <f t="shared" ref="D15:D23" si="1">IF(B15&lt;&gt;0,(C15-B15)/B15,0)</f>
        <v>0</v>
      </c>
    </row>
    <row r="16" spans="1:4" x14ac:dyDescent="0.3">
      <c r="A16" s="18" t="s">
        <v>29</v>
      </c>
      <c r="B16" s="14">
        <v>106792</v>
      </c>
      <c r="C16" s="14">
        <v>113296</v>
      </c>
      <c r="D16" s="17">
        <f t="shared" si="1"/>
        <v>6.0903438459809722E-2</v>
      </c>
    </row>
    <row r="17" spans="1:8" x14ac:dyDescent="0.3">
      <c r="A17" s="18" t="s">
        <v>30</v>
      </c>
      <c r="B17" s="14">
        <v>635</v>
      </c>
      <c r="C17" s="14">
        <v>157</v>
      </c>
      <c r="D17" s="17">
        <f t="shared" si="1"/>
        <v>-0.75275590551181104</v>
      </c>
    </row>
    <row r="18" spans="1:8" x14ac:dyDescent="0.3">
      <c r="A18" s="18" t="s">
        <v>31</v>
      </c>
      <c r="B18" s="14">
        <v>15</v>
      </c>
      <c r="C18" s="14">
        <v>176</v>
      </c>
      <c r="D18" s="17">
        <f t="shared" si="1"/>
        <v>10.733333333333333</v>
      </c>
    </row>
    <row r="19" spans="1:8" x14ac:dyDescent="0.3">
      <c r="A19" s="18" t="s">
        <v>32</v>
      </c>
      <c r="B19" s="14">
        <v>442</v>
      </c>
      <c r="C19" s="14">
        <v>293</v>
      </c>
      <c r="D19" s="17">
        <f t="shared" si="1"/>
        <v>-0.33710407239819007</v>
      </c>
    </row>
    <row r="20" spans="1:8" x14ac:dyDescent="0.3">
      <c r="A20" s="18" t="s">
        <v>24</v>
      </c>
      <c r="B20" s="14">
        <v>7528</v>
      </c>
      <c r="C20" s="14">
        <v>8132</v>
      </c>
      <c r="D20" s="17">
        <f t="shared" si="1"/>
        <v>8.0233793836344311E-2</v>
      </c>
    </row>
    <row r="21" spans="1:8" s="9" customFormat="1" x14ac:dyDescent="0.3">
      <c r="A21" s="29" t="s">
        <v>33</v>
      </c>
      <c r="B21" s="30">
        <f>SUM(B15:B20)</f>
        <v>115412</v>
      </c>
      <c r="C21" s="30">
        <f>SUM(C15:C20)</f>
        <v>129054</v>
      </c>
      <c r="D21" s="42">
        <f t="shared" si="1"/>
        <v>0.11820261324645617</v>
      </c>
      <c r="G21" s="12"/>
    </row>
    <row r="22" spans="1:8" s="9" customFormat="1" x14ac:dyDescent="0.3">
      <c r="A22" s="31" t="s">
        <v>34</v>
      </c>
      <c r="B22" s="32">
        <v>3100906</v>
      </c>
      <c r="C22" s="32">
        <v>3784012</v>
      </c>
      <c r="D22" s="47">
        <f t="shared" si="1"/>
        <v>0.22029239196544495</v>
      </c>
      <c r="G22" s="12"/>
      <c r="H22" s="12"/>
    </row>
    <row r="23" spans="1:8" s="9" customFormat="1" ht="15.75" thickBot="1" x14ac:dyDescent="0.35">
      <c r="A23" s="26" t="s">
        <v>35</v>
      </c>
      <c r="B23" s="27">
        <f>+B21+B22</f>
        <v>3216318</v>
      </c>
      <c r="C23" s="27">
        <f>+C21+C22</f>
        <v>3913066</v>
      </c>
      <c r="D23" s="45">
        <f t="shared" si="1"/>
        <v>0.21662907709996337</v>
      </c>
      <c r="G23" s="12"/>
      <c r="H23" s="12"/>
    </row>
    <row r="24" spans="1:8" x14ac:dyDescent="0.3">
      <c r="A24" s="18" t="s">
        <v>54</v>
      </c>
      <c r="B24" s="14">
        <v>435123458</v>
      </c>
      <c r="C24" s="14">
        <v>435123458</v>
      </c>
      <c r="D24" s="17"/>
      <c r="H24" s="11"/>
    </row>
    <row r="25" spans="1:8" x14ac:dyDescent="0.3">
      <c r="A25" s="18" t="s">
        <v>71</v>
      </c>
      <c r="B25" s="33">
        <f>+B22/+(B24/1000000)</f>
        <v>7126.4969584793098</v>
      </c>
      <c r="C25" s="33">
        <f>+C22/+(C24/1000000)</f>
        <v>8696.4100197971857</v>
      </c>
      <c r="D25" s="17"/>
      <c r="H25" s="11"/>
    </row>
    <row r="26" spans="1:8" x14ac:dyDescent="0.3">
      <c r="G26" s="13"/>
      <c r="H26" s="13"/>
    </row>
    <row r="27" spans="1:8" x14ac:dyDescent="0.3">
      <c r="A27" s="6" t="s">
        <v>70</v>
      </c>
      <c r="B27" s="6">
        <v>2006</v>
      </c>
      <c r="C27" s="6">
        <v>2007</v>
      </c>
      <c r="D27" s="7" t="s">
        <v>46</v>
      </c>
      <c r="H27" s="13"/>
    </row>
    <row r="28" spans="1:8" x14ac:dyDescent="0.3">
      <c r="A28" s="19" t="s">
        <v>64</v>
      </c>
      <c r="B28" s="14"/>
      <c r="C28" s="17"/>
      <c r="D28" s="34"/>
    </row>
    <row r="29" spans="1:8" x14ac:dyDescent="0.3">
      <c r="A29" s="19" t="s">
        <v>44</v>
      </c>
      <c r="B29" s="14"/>
      <c r="C29" s="17"/>
      <c r="D29" s="34"/>
    </row>
    <row r="30" spans="1:8" x14ac:dyDescent="0.3">
      <c r="A30" s="19" t="s">
        <v>45</v>
      </c>
      <c r="B30" s="14"/>
      <c r="C30" s="17"/>
      <c r="D30" s="34"/>
    </row>
    <row r="31" spans="1:8" s="9" customFormat="1" x14ac:dyDescent="0.3">
      <c r="A31" s="19" t="s">
        <v>72</v>
      </c>
      <c r="B31" s="30">
        <v>118009</v>
      </c>
      <c r="C31" s="30">
        <v>40263</v>
      </c>
      <c r="D31" s="25">
        <f t="shared" ref="D31:D42" si="2">IF(C31&lt;&gt;0,(C31-B31)/B31,0)</f>
        <v>-0.65881415824216794</v>
      </c>
      <c r="G31" s="12"/>
    </row>
    <row r="32" spans="1:8" s="9" customFormat="1" x14ac:dyDescent="0.3">
      <c r="A32" s="19" t="s">
        <v>5</v>
      </c>
      <c r="B32" s="14">
        <v>53203</v>
      </c>
      <c r="C32" s="14">
        <v>2701</v>
      </c>
      <c r="D32" s="25">
        <f t="shared" si="2"/>
        <v>-0.94923218615491611</v>
      </c>
      <c r="G32" s="12"/>
    </row>
    <row r="33" spans="1:7" s="9" customFormat="1" x14ac:dyDescent="0.3">
      <c r="A33" s="19" t="s">
        <v>57</v>
      </c>
      <c r="B33" s="14">
        <v>11665</v>
      </c>
      <c r="C33" s="14">
        <v>6224</v>
      </c>
      <c r="D33" s="25">
        <f t="shared" si="2"/>
        <v>-0.46643806258036863</v>
      </c>
      <c r="G33" s="12"/>
    </row>
    <row r="34" spans="1:7" s="9" customFormat="1" x14ac:dyDescent="0.3">
      <c r="A34" s="19" t="s">
        <v>56</v>
      </c>
      <c r="B34" s="14">
        <v>3524</v>
      </c>
      <c r="C34" s="14">
        <v>1991</v>
      </c>
      <c r="D34" s="25">
        <f t="shared" si="2"/>
        <v>-0.43501702610669696</v>
      </c>
      <c r="G34" s="12"/>
    </row>
    <row r="35" spans="1:7" s="9" customFormat="1" x14ac:dyDescent="0.3">
      <c r="A35" s="35" t="s">
        <v>4</v>
      </c>
      <c r="B35" s="30">
        <f>SUM(B31:B34)</f>
        <v>186401</v>
      </c>
      <c r="C35" s="30">
        <f>SUM(C31:C34)</f>
        <v>51179</v>
      </c>
      <c r="D35" s="25">
        <f t="shared" si="2"/>
        <v>-0.725436022338936</v>
      </c>
      <c r="G35" s="12"/>
    </row>
    <row r="36" spans="1:7" x14ac:dyDescent="0.3">
      <c r="A36" s="19" t="s">
        <v>58</v>
      </c>
      <c r="B36" s="14">
        <v>-3079</v>
      </c>
      <c r="C36" s="14">
        <v>-2954</v>
      </c>
      <c r="D36" s="25">
        <f t="shared" si="2"/>
        <v>-4.0597596622279963E-2</v>
      </c>
    </row>
    <row r="37" spans="1:7" s="9" customFormat="1" x14ac:dyDescent="0.3">
      <c r="A37" s="35" t="s">
        <v>42</v>
      </c>
      <c r="B37" s="30">
        <f>SUM(B35:B36)</f>
        <v>183322</v>
      </c>
      <c r="C37" s="30">
        <f>SUM(C35:C36)</f>
        <v>48225</v>
      </c>
      <c r="D37" s="25">
        <f t="shared" si="2"/>
        <v>-0.73693828345752288</v>
      </c>
      <c r="G37" s="12"/>
    </row>
    <row r="38" spans="1:7" x14ac:dyDescent="0.3">
      <c r="A38" s="19" t="s">
        <v>10</v>
      </c>
      <c r="B38" s="14">
        <f>3588+2715</f>
        <v>6303</v>
      </c>
      <c r="C38" s="14">
        <v>9</v>
      </c>
      <c r="D38" s="25">
        <f t="shared" si="2"/>
        <v>-0.99857210851975253</v>
      </c>
    </row>
    <row r="39" spans="1:7" s="9" customFormat="1" x14ac:dyDescent="0.3">
      <c r="A39" s="19" t="s">
        <v>13</v>
      </c>
      <c r="B39" s="14">
        <v>-8672</v>
      </c>
      <c r="C39" s="14">
        <v>-567</v>
      </c>
      <c r="D39" s="25">
        <f t="shared" si="2"/>
        <v>-0.93461715867158668</v>
      </c>
      <c r="G39" s="12"/>
    </row>
    <row r="40" spans="1:7" s="9" customFormat="1" x14ac:dyDescent="0.3">
      <c r="A40" s="35" t="s">
        <v>43</v>
      </c>
      <c r="B40" s="30">
        <f>SUM(B37:B39)</f>
        <v>180953</v>
      </c>
      <c r="C40" s="30">
        <f>SUM(C37:C39)</f>
        <v>47667</v>
      </c>
      <c r="D40" s="25">
        <f t="shared" si="2"/>
        <v>-0.73657800644366211</v>
      </c>
      <c r="G40" s="12"/>
    </row>
    <row r="41" spans="1:7" x14ac:dyDescent="0.3">
      <c r="A41" s="19" t="s">
        <v>15</v>
      </c>
      <c r="B41" s="14">
        <v>-110</v>
      </c>
      <c r="C41" s="14">
        <v>-108</v>
      </c>
      <c r="D41" s="25">
        <f t="shared" si="2"/>
        <v>-1.8181818181818181E-2</v>
      </c>
    </row>
    <row r="42" spans="1:7" ht="15.75" thickBot="1" x14ac:dyDescent="0.35">
      <c r="A42" s="36" t="s">
        <v>17</v>
      </c>
      <c r="B42" s="37">
        <f>SUM(B40:B41)</f>
        <v>180843</v>
      </c>
      <c r="C42" s="37">
        <f>SUM(C40:C41)</f>
        <v>47559</v>
      </c>
      <c r="D42" s="28">
        <f t="shared" si="2"/>
        <v>-0.73701497984439546</v>
      </c>
    </row>
    <row r="44" spans="1:7" x14ac:dyDescent="0.3">
      <c r="A44" s="19" t="s">
        <v>53</v>
      </c>
      <c r="B44" s="14"/>
      <c r="C44" s="14"/>
      <c r="D44" s="17"/>
    </row>
  </sheetData>
  <phoneticPr fontId="0" type="noConversion"/>
  <pageMargins left="0.7" right="0.7" top="0.75" bottom="0.75" header="0.3" footer="0.3"/>
  <legacy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82"/>
  <sheetViews>
    <sheetView workbookViewId="0">
      <selection activeCell="M20" sqref="M20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8" width="11.140625" style="74" bestFit="1" customWidth="1"/>
    <col min="9" max="9" width="10.42578125" style="74" bestFit="1" customWidth="1"/>
    <col min="10" max="11" width="10.42578125" style="74" customWidth="1"/>
    <col min="12" max="12" width="11.140625" style="75" bestFit="1" customWidth="1"/>
    <col min="13" max="13" width="10.28515625" style="75" bestFit="1" customWidth="1"/>
    <col min="14" max="14" width="9.28515625" style="76" bestFit="1" customWidth="1"/>
    <col min="15" max="15" width="4.7109375" style="76" bestFit="1" customWidth="1"/>
    <col min="16" max="16" width="5.7109375" style="73" customWidth="1"/>
    <col min="17" max="16384" width="11.42578125" style="73"/>
  </cols>
  <sheetData>
    <row r="6" spans="1:19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19" ht="15.75" x14ac:dyDescent="0.3">
      <c r="A7" s="78" t="s">
        <v>94</v>
      </c>
      <c r="B7" s="78"/>
      <c r="C7" s="78"/>
      <c r="D7" s="78"/>
      <c r="E7" s="78"/>
      <c r="F7" s="78"/>
      <c r="G7" s="78"/>
    </row>
    <row r="8" spans="1:19" x14ac:dyDescent="0.3">
      <c r="A8" s="79" t="s">
        <v>88</v>
      </c>
      <c r="B8" s="79"/>
      <c r="C8" s="79"/>
      <c r="D8" s="79"/>
      <c r="E8" s="79"/>
      <c r="F8" s="79"/>
      <c r="G8" s="79"/>
    </row>
    <row r="9" spans="1:19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19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45">
        <v>2011</v>
      </c>
      <c r="I10" s="145">
        <v>2012</v>
      </c>
      <c r="J10" s="145" t="s">
        <v>95</v>
      </c>
      <c r="K10" s="145" t="s">
        <v>95</v>
      </c>
      <c r="L10" s="146" t="s">
        <v>46</v>
      </c>
      <c r="M10" s="105"/>
      <c r="N10" s="83"/>
      <c r="O10" s="83"/>
      <c r="P10" s="106"/>
      <c r="Q10" s="84"/>
      <c r="R10" s="84"/>
      <c r="S10" s="84"/>
    </row>
    <row r="11" spans="1:19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21">
        <v>193087</v>
      </c>
      <c r="I11" s="117">
        <v>291812</v>
      </c>
      <c r="J11" s="117"/>
      <c r="K11" s="117"/>
      <c r="L11" s="129">
        <f>+(I11-H11)/H11</f>
        <v>0.51129801592028468</v>
      </c>
      <c r="M11" s="107"/>
      <c r="N11" s="83"/>
      <c r="O11" s="83"/>
      <c r="P11" s="108"/>
      <c r="Q11" s="84"/>
      <c r="R11" s="84"/>
      <c r="S11" s="84"/>
    </row>
    <row r="12" spans="1:19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21">
        <v>329071</v>
      </c>
      <c r="I12" s="117">
        <v>330090</v>
      </c>
      <c r="J12" s="117"/>
      <c r="K12" s="117"/>
      <c r="L12" s="129">
        <f t="shared" ref="L12:L20" si="0">+(I12-H12)/H12</f>
        <v>3.0965961752934777E-3</v>
      </c>
      <c r="M12" s="107"/>
      <c r="N12" s="170"/>
      <c r="O12" s="83"/>
      <c r="P12" s="106"/>
      <c r="Q12" s="84"/>
      <c r="R12" s="84"/>
      <c r="S12" s="84"/>
    </row>
    <row r="13" spans="1:19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21">
        <v>650631</v>
      </c>
      <c r="I13" s="117">
        <v>681860</v>
      </c>
      <c r="J13" s="117"/>
      <c r="K13" s="117"/>
      <c r="L13" s="129">
        <f t="shared" si="0"/>
        <v>4.7998020383289451E-2</v>
      </c>
      <c r="M13" s="107"/>
      <c r="N13" s="83"/>
      <c r="O13" s="83"/>
      <c r="P13" s="106"/>
      <c r="Q13" s="84"/>
      <c r="R13" s="84"/>
      <c r="S13" s="84"/>
    </row>
    <row r="14" spans="1:19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21">
        <v>601866</v>
      </c>
      <c r="I14" s="117">
        <v>555796</v>
      </c>
      <c r="J14" s="117"/>
      <c r="K14" s="117"/>
      <c r="L14" s="129">
        <f t="shared" si="0"/>
        <v>-7.6545277520245369E-2</v>
      </c>
      <c r="M14" s="107"/>
      <c r="N14" s="83"/>
      <c r="O14" s="83"/>
      <c r="P14" s="106"/>
      <c r="Q14" s="84"/>
      <c r="R14" s="84"/>
      <c r="S14" s="84"/>
    </row>
    <row r="15" spans="1:19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21">
        <v>1009855</v>
      </c>
      <c r="I15" s="117">
        <v>1135785</v>
      </c>
      <c r="J15" s="117"/>
      <c r="K15" s="117"/>
      <c r="L15" s="129">
        <f t="shared" si="0"/>
        <v>0.12470107094582886</v>
      </c>
      <c r="M15" s="107"/>
      <c r="N15" s="83"/>
      <c r="O15" s="83"/>
      <c r="P15" s="106"/>
      <c r="Q15" s="84"/>
      <c r="R15" s="84"/>
      <c r="S15" s="84"/>
    </row>
    <row r="16" spans="1:19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21">
        <v>900384</v>
      </c>
      <c r="I16" s="117">
        <v>1025441</v>
      </c>
      <c r="J16" s="117"/>
      <c r="K16" s="117"/>
      <c r="L16" s="129">
        <f t="shared" si="0"/>
        <v>0.13889296122543271</v>
      </c>
      <c r="M16" s="107"/>
      <c r="N16" s="83"/>
      <c r="O16" s="83"/>
      <c r="P16" s="106"/>
      <c r="Q16" s="84"/>
      <c r="R16" s="84"/>
      <c r="S16" s="84"/>
    </row>
    <row r="17" spans="1:19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21">
        <v>130401</v>
      </c>
      <c r="I17" s="117">
        <v>57452</v>
      </c>
      <c r="J17" s="117"/>
      <c r="K17" s="117"/>
      <c r="L17" s="129">
        <f t="shared" si="0"/>
        <v>-0.55942055659082368</v>
      </c>
      <c r="M17" s="107"/>
      <c r="N17" s="83"/>
      <c r="O17" s="83"/>
      <c r="P17" s="106"/>
      <c r="Q17" s="84"/>
      <c r="R17" s="84"/>
      <c r="S17" s="84"/>
    </row>
    <row r="18" spans="1:19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21">
        <v>18323</v>
      </c>
      <c r="I18" s="117">
        <v>6913</v>
      </c>
      <c r="J18" s="117"/>
      <c r="K18" s="117"/>
      <c r="L18" s="129">
        <f t="shared" si="0"/>
        <v>-0.62271462096818209</v>
      </c>
      <c r="M18" s="107"/>
      <c r="N18" s="83"/>
      <c r="O18" s="83"/>
      <c r="P18" s="106"/>
      <c r="Q18" s="84"/>
      <c r="R18" s="84"/>
      <c r="S18" s="84"/>
    </row>
    <row r="19" spans="1:19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21">
        <v>4097551</v>
      </c>
      <c r="I19" s="117">
        <v>4866415</v>
      </c>
      <c r="J19" s="117"/>
      <c r="K19" s="117"/>
      <c r="L19" s="129">
        <f t="shared" si="0"/>
        <v>0.18763988538519716</v>
      </c>
      <c r="M19" s="107"/>
      <c r="N19" s="83"/>
      <c r="O19" s="83"/>
      <c r="P19" s="106"/>
      <c r="Q19" s="84"/>
      <c r="R19" s="84"/>
      <c r="S19" s="84"/>
    </row>
    <row r="20" spans="1:19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122">
        <f>SUM(H11:H19)</f>
        <v>7931169</v>
      </c>
      <c r="I20" s="118">
        <f>SUM(I11:I19)</f>
        <v>8951564</v>
      </c>
      <c r="J20" s="118"/>
      <c r="K20" s="118"/>
      <c r="L20" s="130">
        <f t="shared" si="0"/>
        <v>0.12865631787697374</v>
      </c>
      <c r="M20" s="109"/>
      <c r="N20" s="83"/>
      <c r="O20" s="83"/>
      <c r="P20" s="106"/>
      <c r="Q20" s="84"/>
      <c r="R20" s="84"/>
      <c r="S20" s="84"/>
    </row>
    <row r="21" spans="1:19" s="85" customFormat="1" x14ac:dyDescent="0.3">
      <c r="A21" s="153"/>
      <c r="B21" s="81"/>
      <c r="C21" s="81"/>
      <c r="D21" s="81"/>
      <c r="E21" s="81"/>
      <c r="F21" s="81"/>
      <c r="G21" s="81"/>
      <c r="H21" s="121"/>
      <c r="I21" s="117"/>
      <c r="J21" s="117"/>
      <c r="K21" s="117"/>
      <c r="L21" s="129"/>
      <c r="M21" s="107"/>
      <c r="N21" s="83"/>
      <c r="O21" s="83"/>
      <c r="P21" s="106"/>
      <c r="Q21" s="84"/>
      <c r="R21" s="84"/>
      <c r="S21" s="84"/>
    </row>
    <row r="22" spans="1:19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126">
        <v>2011</v>
      </c>
      <c r="I22" s="127">
        <v>2012</v>
      </c>
      <c r="J22" s="127"/>
      <c r="K22" s="127"/>
      <c r="L22" s="128" t="s">
        <v>46</v>
      </c>
      <c r="M22" s="105"/>
      <c r="N22" s="83"/>
      <c r="O22" s="83"/>
      <c r="P22" s="108"/>
      <c r="Q22" s="84"/>
      <c r="R22" s="84"/>
      <c r="S22" s="84"/>
    </row>
    <row r="23" spans="1:19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21">
        <v>679598</v>
      </c>
      <c r="I23" s="117">
        <v>690354</v>
      </c>
      <c r="J23" s="117"/>
      <c r="K23" s="117"/>
      <c r="L23" s="129">
        <f t="shared" ref="L23:L34" si="1">+(I23-H23)/H23</f>
        <v>1.5827003610958242E-2</v>
      </c>
      <c r="M23" s="107"/>
      <c r="N23" s="83"/>
      <c r="O23" s="83"/>
      <c r="P23" s="106"/>
      <c r="Q23" s="84"/>
      <c r="R23" s="84"/>
      <c r="S23" s="84"/>
    </row>
    <row r="24" spans="1:19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21">
        <v>163168</v>
      </c>
      <c r="I24" s="117">
        <v>170648</v>
      </c>
      <c r="J24" s="117"/>
      <c r="K24" s="117"/>
      <c r="L24" s="129">
        <f t="shared" si="1"/>
        <v>4.5842322023926262E-2</v>
      </c>
      <c r="M24" s="107"/>
      <c r="N24" s="83"/>
      <c r="O24" s="83"/>
      <c r="P24" s="108"/>
      <c r="Q24" s="84"/>
      <c r="R24" s="84"/>
      <c r="S24" s="84"/>
    </row>
    <row r="25" spans="1:19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21">
        <v>217244</v>
      </c>
      <c r="I25" s="117">
        <v>259622</v>
      </c>
      <c r="J25" s="117"/>
      <c r="K25" s="117"/>
      <c r="L25" s="129">
        <f t="shared" si="1"/>
        <v>0.19507098009611312</v>
      </c>
      <c r="M25" s="107"/>
      <c r="N25" s="83"/>
      <c r="O25" s="83"/>
      <c r="P25" s="106"/>
      <c r="Q25" s="84"/>
      <c r="R25" s="84"/>
      <c r="S25" s="84"/>
    </row>
    <row r="26" spans="1:19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21">
        <v>132822</v>
      </c>
      <c r="I26" s="117">
        <v>138203</v>
      </c>
      <c r="J26" s="117"/>
      <c r="K26" s="117"/>
      <c r="L26" s="129">
        <f t="shared" si="1"/>
        <v>4.0512866844348072E-2</v>
      </c>
      <c r="M26" s="107"/>
      <c r="N26" s="83"/>
      <c r="O26" s="83"/>
      <c r="P26" s="106"/>
      <c r="Q26" s="84"/>
      <c r="R26" s="84"/>
      <c r="S26" s="84"/>
    </row>
    <row r="27" spans="1:19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21">
        <v>96429</v>
      </c>
      <c r="I27" s="117">
        <v>109969</v>
      </c>
      <c r="J27" s="117"/>
      <c r="K27" s="117"/>
      <c r="L27" s="129">
        <f t="shared" si="1"/>
        <v>0.1404141907517448</v>
      </c>
      <c r="M27" s="107"/>
      <c r="N27" s="83"/>
      <c r="O27" s="83"/>
      <c r="P27" s="106"/>
      <c r="Q27" s="84"/>
      <c r="R27" s="84"/>
      <c r="S27" s="84"/>
    </row>
    <row r="28" spans="1:19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21">
        <v>33608</v>
      </c>
      <c r="I28" s="117">
        <v>28288</v>
      </c>
      <c r="J28" s="117"/>
      <c r="K28" s="117"/>
      <c r="L28" s="129">
        <f t="shared" si="1"/>
        <v>-0.15829564389431089</v>
      </c>
      <c r="M28" s="107"/>
      <c r="N28" s="83"/>
      <c r="O28" s="83"/>
      <c r="P28" s="106"/>
      <c r="Q28" s="84"/>
      <c r="R28" s="84"/>
      <c r="S28" s="84"/>
    </row>
    <row r="29" spans="1:19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21">
        <v>112430</v>
      </c>
      <c r="I29" s="117">
        <v>125466</v>
      </c>
      <c r="J29" s="117"/>
      <c r="K29" s="117"/>
      <c r="L29" s="129">
        <f t="shared" si="1"/>
        <v>0.11594770079160366</v>
      </c>
      <c r="M29" s="107"/>
      <c r="N29" s="83"/>
      <c r="O29" s="83"/>
      <c r="P29" s="106"/>
      <c r="Q29" s="84"/>
      <c r="R29" s="84"/>
      <c r="S29" s="84"/>
    </row>
    <row r="30" spans="1:19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21">
        <v>5031</v>
      </c>
      <c r="I30" s="117">
        <v>3762</v>
      </c>
      <c r="J30" s="117"/>
      <c r="K30" s="117"/>
      <c r="L30" s="129">
        <f t="shared" si="1"/>
        <v>-0.25223613595706618</v>
      </c>
      <c r="M30" s="107"/>
      <c r="N30" s="83"/>
      <c r="O30" s="83"/>
      <c r="P30" s="106"/>
      <c r="Q30" s="84"/>
      <c r="R30" s="84"/>
      <c r="S30" s="84"/>
    </row>
    <row r="31" spans="1:19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123">
        <f>SUM(H23:H30)</f>
        <v>1440330</v>
      </c>
      <c r="I31" s="119">
        <f>SUM(I23:I30)</f>
        <v>1526312</v>
      </c>
      <c r="J31" s="119"/>
      <c r="K31" s="119"/>
      <c r="L31" s="129">
        <f t="shared" si="1"/>
        <v>5.9696041879291555E-2</v>
      </c>
      <c r="M31" s="107"/>
      <c r="N31" s="83"/>
      <c r="O31" s="83"/>
      <c r="P31" s="106"/>
      <c r="Q31" s="84"/>
      <c r="R31" s="84"/>
      <c r="S31" s="84"/>
    </row>
    <row r="32" spans="1:19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21">
        <v>16209</v>
      </c>
      <c r="I32" s="117">
        <v>16294</v>
      </c>
      <c r="J32" s="117"/>
      <c r="K32" s="117"/>
      <c r="L32" s="129">
        <f t="shared" si="1"/>
        <v>5.2440002467764825E-3</v>
      </c>
      <c r="M32" s="107"/>
      <c r="N32" s="83"/>
      <c r="O32" s="83"/>
      <c r="P32" s="106"/>
      <c r="Q32" s="84"/>
      <c r="R32" s="84"/>
      <c r="S32" s="84"/>
    </row>
    <row r="33" spans="1:19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124">
        <v>6474630</v>
      </c>
      <c r="I33" s="120">
        <v>7408958</v>
      </c>
      <c r="J33" s="120"/>
      <c r="K33" s="120"/>
      <c r="L33" s="131">
        <f t="shared" si="1"/>
        <v>0.14430600667528493</v>
      </c>
      <c r="M33" s="109"/>
      <c r="N33" s="83"/>
      <c r="O33" s="83"/>
      <c r="P33" s="108"/>
      <c r="Q33" s="84"/>
      <c r="R33" s="84"/>
      <c r="S33" s="84"/>
    </row>
    <row r="34" spans="1:19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122">
        <f>+H31+H32+H33</f>
        <v>7931169</v>
      </c>
      <c r="I34" s="118">
        <f>+I31+I32+I33</f>
        <v>8951564</v>
      </c>
      <c r="J34" s="118"/>
      <c r="K34" s="118"/>
      <c r="L34" s="130">
        <f t="shared" si="1"/>
        <v>0.12865631787697374</v>
      </c>
      <c r="M34" s="109"/>
      <c r="N34" s="83"/>
      <c r="O34" s="83"/>
      <c r="P34" s="108"/>
      <c r="Q34" s="84"/>
      <c r="R34" s="84"/>
      <c r="S34" s="84"/>
    </row>
    <row r="35" spans="1:19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84"/>
      <c r="R35" s="84"/>
      <c r="S35" s="84"/>
    </row>
    <row r="36" spans="1:19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19" ht="15.75" x14ac:dyDescent="0.3">
      <c r="A37" s="78" t="s">
        <v>93</v>
      </c>
      <c r="B37" s="78"/>
      <c r="C37" s="78"/>
      <c r="D37" s="78"/>
      <c r="E37" s="78"/>
      <c r="F37" s="78"/>
      <c r="G37" s="78"/>
    </row>
    <row r="38" spans="1:19" x14ac:dyDescent="0.3">
      <c r="A38" s="79" t="s">
        <v>88</v>
      </c>
      <c r="B38" s="79"/>
      <c r="C38" s="79"/>
      <c r="D38" s="79"/>
      <c r="E38" s="79"/>
      <c r="F38" s="79"/>
      <c r="G38" s="79"/>
    </row>
    <row r="39" spans="1:19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45">
        <v>2011</v>
      </c>
      <c r="I39" s="146" t="s">
        <v>55</v>
      </c>
      <c r="J39" s="146"/>
      <c r="K39" s="146"/>
      <c r="L39" s="145">
        <v>2012</v>
      </c>
      <c r="M39" s="146" t="s">
        <v>55</v>
      </c>
      <c r="N39" s="147" t="s">
        <v>46</v>
      </c>
      <c r="O39" s="101"/>
    </row>
    <row r="40" spans="1:19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141">
        <v>5057382.6182662696</v>
      </c>
      <c r="I40" s="138">
        <v>1</v>
      </c>
      <c r="J40" s="138"/>
      <c r="K40" s="138"/>
      <c r="L40" s="132">
        <v>5305782</v>
      </c>
      <c r="M40" s="138">
        <v>1</v>
      </c>
      <c r="N40" s="129">
        <f>IF(H40&lt;&gt;0,(L40-H40)/H40,0)</f>
        <v>4.9116193193799659E-2</v>
      </c>
      <c r="O40" s="111"/>
      <c r="P40" s="85"/>
    </row>
    <row r="41" spans="1:19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142">
        <v>-3030201.8461819952</v>
      </c>
      <c r="I41" s="129">
        <f>+H41/$H$40</f>
        <v>-0.59916404885750651</v>
      </c>
      <c r="J41" s="129"/>
      <c r="K41" s="129"/>
      <c r="L41" s="133">
        <v>-3064460</v>
      </c>
      <c r="M41" s="129">
        <f>+L41/$L$40</f>
        <v>-0.57756990392745122</v>
      </c>
      <c r="N41" s="129">
        <f t="shared" ref="N41:N57" si="2">IF(H41&lt;&gt;0,(L41-H41)/H41,0)</f>
        <v>1.1305568261457394E-2</v>
      </c>
      <c r="O41" s="101"/>
    </row>
    <row r="42" spans="1:19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123">
        <f>SUM(H40:H41)</f>
        <v>2027180.7720842743</v>
      </c>
      <c r="I42" s="138">
        <f t="shared" ref="I42:I59" si="3">+H42/$H$40</f>
        <v>0.40083595114249349</v>
      </c>
      <c r="J42" s="138"/>
      <c r="K42" s="138"/>
      <c r="L42" s="134">
        <f>SUM(L40:L41)</f>
        <v>2241322</v>
      </c>
      <c r="M42" s="138">
        <f t="shared" ref="M42:M59" si="4">+L42/$L$40</f>
        <v>0.42243009607254878</v>
      </c>
      <c r="N42" s="129">
        <f t="shared" si="2"/>
        <v>0.10563499361507526</v>
      </c>
      <c r="O42" s="111"/>
      <c r="P42" s="85"/>
    </row>
    <row r="43" spans="1:19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121">
        <v>-250061.17590559012</v>
      </c>
      <c r="I43" s="129">
        <f t="shared" si="3"/>
        <v>-4.9444780982640789E-2</v>
      </c>
      <c r="J43" s="129"/>
      <c r="K43" s="129"/>
      <c r="L43" s="135">
        <v>-270303</v>
      </c>
      <c r="M43" s="129">
        <f t="shared" si="4"/>
        <v>-5.0944987939572341E-2</v>
      </c>
      <c r="N43" s="129">
        <f t="shared" si="2"/>
        <v>8.0947488234047668E-2</v>
      </c>
      <c r="O43" s="101"/>
    </row>
    <row r="44" spans="1:19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121">
        <v>-1221301.5797654777</v>
      </c>
      <c r="I44" s="129">
        <f t="shared" si="3"/>
        <v>-0.24148886330141939</v>
      </c>
      <c r="J44" s="129"/>
      <c r="K44" s="129"/>
      <c r="L44" s="135">
        <v>-1326976</v>
      </c>
      <c r="M44" s="129">
        <f t="shared" si="4"/>
        <v>-0.25009998526136201</v>
      </c>
      <c r="N44" s="129">
        <f t="shared" si="2"/>
        <v>8.6526065294056695E-2</v>
      </c>
      <c r="O44" s="101"/>
    </row>
    <row r="45" spans="1:19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121">
        <v>-123323</v>
      </c>
      <c r="I45" s="129">
        <f t="shared" si="3"/>
        <v>-2.4384747864356085E-2</v>
      </c>
      <c r="J45" s="129"/>
      <c r="K45" s="129"/>
      <c r="L45" s="135">
        <v>-122931</v>
      </c>
      <c r="M45" s="129">
        <f t="shared" si="4"/>
        <v>-2.3169251959466106E-2</v>
      </c>
      <c r="N45" s="129">
        <f t="shared" si="2"/>
        <v>-3.178644697258419E-3</v>
      </c>
      <c r="O45" s="101"/>
    </row>
    <row r="46" spans="1:19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123">
        <f>SUM(H43:H45)</f>
        <v>-1594685.7556710679</v>
      </c>
      <c r="I46" s="138">
        <f t="shared" si="3"/>
        <v>-0.31531839214841628</v>
      </c>
      <c r="J46" s="138"/>
      <c r="K46" s="138"/>
      <c r="L46" s="134">
        <f>SUM(L43:L45)</f>
        <v>-1720210</v>
      </c>
      <c r="M46" s="138">
        <f t="shared" si="4"/>
        <v>-0.32421422516040049</v>
      </c>
      <c r="N46" s="129">
        <f t="shared" si="2"/>
        <v>7.8714093910062954E-2</v>
      </c>
      <c r="O46" s="111"/>
      <c r="P46" s="85"/>
    </row>
    <row r="47" spans="1:19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123">
        <f>+H42+H46</f>
        <v>432495.01641320647</v>
      </c>
      <c r="I47" s="138">
        <f t="shared" si="3"/>
        <v>8.5517558994077231E-2</v>
      </c>
      <c r="J47" s="138"/>
      <c r="K47" s="138"/>
      <c r="L47" s="134">
        <f>+L42+L46</f>
        <v>521112</v>
      </c>
      <c r="M47" s="138">
        <f t="shared" si="4"/>
        <v>9.8215870912148298E-2</v>
      </c>
      <c r="N47" s="129">
        <f t="shared" si="2"/>
        <v>0.2048971207153257</v>
      </c>
      <c r="O47" s="111"/>
      <c r="P47" s="85"/>
    </row>
    <row r="48" spans="1:19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121">
        <v>7592</v>
      </c>
      <c r="I48" s="129">
        <f t="shared" si="3"/>
        <v>1.5011717667117357E-3</v>
      </c>
      <c r="J48" s="129"/>
      <c r="K48" s="129"/>
      <c r="L48" s="135">
        <v>12296</v>
      </c>
      <c r="M48" s="129">
        <f t="shared" si="4"/>
        <v>2.3174717694771476E-3</v>
      </c>
      <c r="N48" s="129">
        <f t="shared" si="2"/>
        <v>0.61959957850368808</v>
      </c>
      <c r="O48" s="101"/>
    </row>
    <row r="49" spans="1:16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121">
        <v>-84666</v>
      </c>
      <c r="I49" s="129">
        <f t="shared" si="3"/>
        <v>-1.6741070706061095E-2</v>
      </c>
      <c r="J49" s="129"/>
      <c r="K49" s="129"/>
      <c r="L49" s="135">
        <v>-70722</v>
      </c>
      <c r="M49" s="129">
        <f t="shared" si="4"/>
        <v>-1.3329232147117993E-2</v>
      </c>
      <c r="N49" s="129">
        <f t="shared" si="2"/>
        <v>-0.16469421019063143</v>
      </c>
      <c r="O49" s="101"/>
    </row>
    <row r="50" spans="1:16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121">
        <v>-3636</v>
      </c>
      <c r="I50" s="129">
        <f t="shared" si="3"/>
        <v>-7.1894896519545195E-4</v>
      </c>
      <c r="J50" s="129"/>
      <c r="K50" s="129"/>
      <c r="L50" s="135">
        <v>1782</v>
      </c>
      <c r="M50" s="129">
        <f t="shared" si="4"/>
        <v>3.3586001083346433E-4</v>
      </c>
      <c r="N50" s="129">
        <f t="shared" si="2"/>
        <v>-1.4900990099009901</v>
      </c>
      <c r="O50" s="101"/>
    </row>
    <row r="51" spans="1:16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121">
        <v>-26933</v>
      </c>
      <c r="I51" s="129">
        <f t="shared" si="3"/>
        <v>-5.3254819800905139E-3</v>
      </c>
      <c r="J51" s="129"/>
      <c r="K51" s="129"/>
      <c r="L51" s="135">
        <v>-13536</v>
      </c>
      <c r="M51" s="129">
        <f t="shared" si="4"/>
        <v>-2.5511790721895471E-3</v>
      </c>
      <c r="N51" s="129">
        <f t="shared" si="2"/>
        <v>-0.49741952251884308</v>
      </c>
      <c r="O51" s="101"/>
    </row>
    <row r="52" spans="1:16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121">
        <v>33531</v>
      </c>
      <c r="I52" s="129">
        <f t="shared" si="3"/>
        <v>6.6301093927306652E-3</v>
      </c>
      <c r="J52" s="129"/>
      <c r="K52" s="129"/>
      <c r="L52" s="135">
        <v>35188</v>
      </c>
      <c r="M52" s="129">
        <f t="shared" si="4"/>
        <v>6.6320101353579929E-3</v>
      </c>
      <c r="N52" s="129">
        <f t="shared" si="2"/>
        <v>4.9416957442366766E-2</v>
      </c>
      <c r="O52" s="101"/>
    </row>
    <row r="53" spans="1:16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121">
        <v>11185</v>
      </c>
      <c r="I53" s="129">
        <f t="shared" si="3"/>
        <v>2.2116183101515761E-3</v>
      </c>
      <c r="J53" s="129"/>
      <c r="K53" s="129"/>
      <c r="L53" s="135">
        <v>0</v>
      </c>
      <c r="M53" s="129">
        <f t="shared" si="4"/>
        <v>0</v>
      </c>
      <c r="N53" s="129">
        <f t="shared" si="2"/>
        <v>-1</v>
      </c>
      <c r="O53" s="101"/>
    </row>
    <row r="54" spans="1:16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123">
        <f>SUM(H48:H53)</f>
        <v>-62927</v>
      </c>
      <c r="I54" s="138">
        <f t="shared" si="3"/>
        <v>-1.2442602181753082E-2</v>
      </c>
      <c r="J54" s="138"/>
      <c r="K54" s="138"/>
      <c r="L54" s="134">
        <f>SUM(L48:L53)</f>
        <v>-34992</v>
      </c>
      <c r="M54" s="138">
        <f t="shared" si="4"/>
        <v>-6.5950693036389355E-3</v>
      </c>
      <c r="N54" s="129">
        <f t="shared" si="2"/>
        <v>-0.44392709012029813</v>
      </c>
      <c r="O54" s="111"/>
      <c r="P54" s="85"/>
    </row>
    <row r="55" spans="1:16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123">
        <f>+H47+H54</f>
        <v>369568.01641320647</v>
      </c>
      <c r="I55" s="138">
        <f t="shared" si="3"/>
        <v>7.3074956812324149E-2</v>
      </c>
      <c r="J55" s="138"/>
      <c r="K55" s="138"/>
      <c r="L55" s="134">
        <f>+L47+L54</f>
        <v>486120</v>
      </c>
      <c r="M55" s="138">
        <f t="shared" si="4"/>
        <v>9.1620801608509356E-2</v>
      </c>
      <c r="N55" s="129">
        <f t="shared" si="2"/>
        <v>0.31537356700391284</v>
      </c>
      <c r="O55" s="111"/>
      <c r="P55" s="85"/>
    </row>
    <row r="56" spans="1:16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121">
        <v>-113919.04882074999</v>
      </c>
      <c r="I56" s="129">
        <f t="shared" si="3"/>
        <v>-2.2525297652840587E-2</v>
      </c>
      <c r="J56" s="129"/>
      <c r="K56" s="129"/>
      <c r="L56" s="135">
        <v>-138457</v>
      </c>
      <c r="M56" s="129">
        <f t="shared" si="4"/>
        <v>-2.609549355778281E-2</v>
      </c>
      <c r="N56" s="129">
        <f t="shared" si="2"/>
        <v>0.21539813958471626</v>
      </c>
      <c r="O56" s="101"/>
    </row>
    <row r="57" spans="1:16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121">
        <v>-2137.6216936399992</v>
      </c>
      <c r="I57" s="129">
        <f t="shared" si="3"/>
        <v>-4.2267351612261463E-4</v>
      </c>
      <c r="J57" s="129"/>
      <c r="K57" s="129"/>
      <c r="L57" s="135">
        <v>-2156</v>
      </c>
      <c r="M57" s="129">
        <f t="shared" si="4"/>
        <v>-4.0634914890962348E-4</v>
      </c>
      <c r="N57" s="129">
        <f t="shared" si="2"/>
        <v>8.5975485815292865E-3</v>
      </c>
      <c r="O57" s="101"/>
    </row>
    <row r="58" spans="1:16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143">
        <f>+H55+H56+H57</f>
        <v>253511.34589881651</v>
      </c>
      <c r="I58" s="139">
        <f t="shared" si="3"/>
        <v>5.0126985643360954E-2</v>
      </c>
      <c r="J58" s="139"/>
      <c r="K58" s="139"/>
      <c r="L58" s="136">
        <f>+L55+L56+L57</f>
        <v>345507</v>
      </c>
      <c r="M58" s="139">
        <f t="shared" si="4"/>
        <v>6.5118958901816917E-2</v>
      </c>
      <c r="N58" s="139">
        <f>+(L58-H58)/H58</f>
        <v>0.36288574688843134</v>
      </c>
      <c r="O58" s="111"/>
      <c r="P58" s="85"/>
    </row>
    <row r="59" spans="1:16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122">
        <v>568131.17041880696</v>
      </c>
      <c r="I59" s="140">
        <f t="shared" si="3"/>
        <v>0.11233699589325694</v>
      </c>
      <c r="J59" s="140"/>
      <c r="K59" s="140"/>
      <c r="L59" s="137">
        <v>671095</v>
      </c>
      <c r="M59" s="140">
        <f t="shared" si="4"/>
        <v>0.1264837115433691</v>
      </c>
      <c r="N59" s="130">
        <f>+(L59-H59)/H59</f>
        <v>0.18123249513891593</v>
      </c>
      <c r="O59" s="111"/>
      <c r="P59" s="85"/>
    </row>
    <row r="60" spans="1:16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16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16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16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16" s="85" customFormat="1" x14ac:dyDescent="0.3">
      <c r="H64" s="81"/>
      <c r="I64" s="81"/>
      <c r="J64" s="81"/>
      <c r="K64" s="81"/>
      <c r="L64" s="89"/>
      <c r="M64" s="82"/>
      <c r="N64" s="101"/>
      <c r="O64" s="101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pageSetup paperSize="11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E7" workbookViewId="0">
      <selection activeCell="Q26" sqref="Q26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19" x14ac:dyDescent="0.3">
      <c r="M1" s="75"/>
      <c r="N1" s="76"/>
      <c r="O1" s="76"/>
    </row>
    <row r="2" spans="1:19" x14ac:dyDescent="0.3">
      <c r="M2" s="75"/>
      <c r="N2" s="76"/>
      <c r="O2" s="76"/>
    </row>
    <row r="3" spans="1:19" x14ac:dyDescent="0.3">
      <c r="M3" s="75"/>
      <c r="N3" s="76"/>
      <c r="O3" s="76"/>
    </row>
    <row r="4" spans="1:19" x14ac:dyDescent="0.3">
      <c r="M4" s="75"/>
      <c r="N4" s="76"/>
      <c r="O4" s="76"/>
    </row>
    <row r="5" spans="1:19" x14ac:dyDescent="0.3">
      <c r="M5" s="75"/>
      <c r="N5" s="76"/>
      <c r="O5" s="76"/>
    </row>
    <row r="6" spans="1:19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19" ht="15.75" x14ac:dyDescent="0.3">
      <c r="A7" s="78" t="s">
        <v>67</v>
      </c>
      <c r="B7" s="78"/>
      <c r="C7" s="78"/>
      <c r="D7" s="78"/>
      <c r="E7" s="78"/>
      <c r="F7" s="78"/>
      <c r="G7" s="78"/>
      <c r="M7" s="75"/>
      <c r="N7" s="76"/>
      <c r="O7" s="76"/>
    </row>
    <row r="8" spans="1:19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19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19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57">
        <v>2011</v>
      </c>
      <c r="I10" s="157">
        <v>2012</v>
      </c>
      <c r="J10" s="158" t="s">
        <v>46</v>
      </c>
      <c r="K10" s="145" t="s">
        <v>96</v>
      </c>
      <c r="L10" s="145" t="s">
        <v>95</v>
      </c>
      <c r="M10" s="158" t="s">
        <v>46</v>
      </c>
    </row>
    <row r="11" spans="1:19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121">
        <v>94</v>
      </c>
      <c r="I11" s="135">
        <v>75</v>
      </c>
      <c r="J11" s="129">
        <f>IF(H11&lt;&gt;0,(I11-H11)/H11,0)</f>
        <v>-0.20212765957446807</v>
      </c>
      <c r="K11" s="135">
        <v>109</v>
      </c>
      <c r="L11" s="135">
        <v>183</v>
      </c>
      <c r="M11" s="129">
        <f>IF(K11&lt;&gt;0,(L11-K11)/K11,0)</f>
        <v>0.67889908256880738</v>
      </c>
      <c r="N11" s="82"/>
    </row>
    <row r="12" spans="1:19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121">
        <v>3554895</v>
      </c>
      <c r="I12" s="135">
        <v>3748345</v>
      </c>
      <c r="J12" s="129">
        <f t="shared" ref="J12:J17" si="0">IF(H12&lt;&gt;0,(I12-H12)/H12,0)</f>
        <v>5.4417922329632801E-2</v>
      </c>
      <c r="K12" s="135">
        <v>3542714</v>
      </c>
      <c r="L12" s="135">
        <v>3787717</v>
      </c>
      <c r="M12" s="129">
        <f t="shared" ref="M12:M17" si="1">IF(K12&lt;&gt;0,(L12-K12)/K12,0)</f>
        <v>6.9156866741148168E-2</v>
      </c>
      <c r="N12" s="82"/>
    </row>
    <row r="13" spans="1:19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121">
        <v>10662</v>
      </c>
      <c r="I13" s="135">
        <v>14922</v>
      </c>
      <c r="J13" s="129">
        <f t="shared" si="0"/>
        <v>0.39954980303882948</v>
      </c>
      <c r="K13" s="135">
        <v>57620</v>
      </c>
      <c r="L13" s="135">
        <v>53661</v>
      </c>
      <c r="M13" s="129">
        <f t="shared" si="1"/>
        <v>-6.8708781673030198E-2</v>
      </c>
      <c r="N13" s="82"/>
      <c r="O13" s="85"/>
      <c r="Q13" s="85"/>
      <c r="R13" s="85"/>
      <c r="S13" s="85"/>
    </row>
    <row r="14" spans="1:19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121">
        <v>0</v>
      </c>
      <c r="I14" s="135">
        <v>0</v>
      </c>
      <c r="J14" s="129">
        <f t="shared" si="0"/>
        <v>0</v>
      </c>
      <c r="K14" s="135">
        <v>0</v>
      </c>
      <c r="L14" s="135">
        <v>0</v>
      </c>
      <c r="M14" s="129">
        <f t="shared" si="1"/>
        <v>0</v>
      </c>
      <c r="N14" s="82"/>
      <c r="O14" s="85"/>
      <c r="Q14" s="85"/>
      <c r="R14" s="85"/>
      <c r="S14" s="85"/>
    </row>
    <row r="15" spans="1:19" s="89" customFormat="1" x14ac:dyDescent="0.3">
      <c r="A15" s="88" t="s">
        <v>59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121">
        <f>503+155</f>
        <v>658</v>
      </c>
      <c r="I15" s="135">
        <v>118</v>
      </c>
      <c r="J15" s="129">
        <f t="shared" si="0"/>
        <v>-0.82066869300911849</v>
      </c>
      <c r="K15" s="135">
        <v>751</v>
      </c>
      <c r="L15" s="135">
        <v>5049</v>
      </c>
      <c r="M15" s="129">
        <f t="shared" si="1"/>
        <v>5.7230359520639151</v>
      </c>
      <c r="N15" s="82"/>
      <c r="O15" s="85"/>
      <c r="Q15" s="85"/>
      <c r="R15" s="85"/>
      <c r="S15" s="85"/>
    </row>
    <row r="16" spans="1:19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121">
        <v>2979150</v>
      </c>
      <c r="I16" s="135">
        <v>3733696</v>
      </c>
      <c r="J16" s="129">
        <f t="shared" si="0"/>
        <v>0.25327559874460837</v>
      </c>
      <c r="K16" s="135">
        <v>2984131</v>
      </c>
      <c r="L16" s="135">
        <v>3775560</v>
      </c>
      <c r="M16" s="129">
        <f t="shared" si="1"/>
        <v>0.26521255266608607</v>
      </c>
      <c r="N16" s="82"/>
      <c r="O16" s="85"/>
      <c r="Q16" s="85"/>
      <c r="R16" s="85"/>
      <c r="S16" s="85"/>
    </row>
    <row r="17" spans="1:19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2">SUM(F11:F16)</f>
        <v>5514960</v>
      </c>
      <c r="G17" s="91">
        <f t="shared" si="2"/>
        <v>6403741</v>
      </c>
      <c r="H17" s="122">
        <f>SUM(H11:H16)</f>
        <v>6545459</v>
      </c>
      <c r="I17" s="137">
        <f>SUM(I11:I16)</f>
        <v>7497156</v>
      </c>
      <c r="J17" s="159">
        <f t="shared" si="0"/>
        <v>0.14539805382632448</v>
      </c>
      <c r="K17" s="137">
        <f>SUM(K11:K16)</f>
        <v>6585325</v>
      </c>
      <c r="L17" s="137">
        <f>SUM(L11:L16)</f>
        <v>7622170</v>
      </c>
      <c r="M17" s="159">
        <f t="shared" si="1"/>
        <v>0.15744781009289593</v>
      </c>
      <c r="N17" s="82"/>
      <c r="O17" s="85"/>
      <c r="Q17" s="85"/>
      <c r="R17" s="85"/>
      <c r="S17" s="85"/>
    </row>
    <row r="18" spans="1:19" s="85" customFormat="1" x14ac:dyDescent="0.3">
      <c r="B18" s="81"/>
      <c r="C18" s="81"/>
      <c r="D18" s="81"/>
      <c r="E18" s="81"/>
      <c r="F18" s="81"/>
      <c r="G18" s="81"/>
      <c r="H18" s="121"/>
      <c r="I18" s="135"/>
      <c r="J18" s="129"/>
      <c r="K18" s="135"/>
      <c r="L18" s="135"/>
      <c r="M18" s="129"/>
      <c r="N18" s="107"/>
    </row>
    <row r="19" spans="1:19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160">
        <v>2011</v>
      </c>
      <c r="I19" s="161">
        <v>2012</v>
      </c>
      <c r="J19" s="162" t="s">
        <v>46</v>
      </c>
      <c r="K19" s="161" t="s">
        <v>96</v>
      </c>
      <c r="L19" s="161" t="s">
        <v>95</v>
      </c>
      <c r="M19" s="162" t="s">
        <v>46</v>
      </c>
      <c r="N19" s="107"/>
      <c r="O19" s="85"/>
      <c r="Q19" s="85"/>
      <c r="R19" s="85"/>
      <c r="S19" s="85"/>
    </row>
    <row r="20" spans="1:19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121">
        <v>0</v>
      </c>
      <c r="I20" s="135">
        <v>7</v>
      </c>
      <c r="J20" s="129">
        <f t="shared" ref="J20:J28" si="3">IF(H20&lt;&gt;0,(I20-H20)/H20,0)</f>
        <v>0</v>
      </c>
      <c r="K20" s="135">
        <v>0</v>
      </c>
      <c r="L20" s="135">
        <v>0</v>
      </c>
      <c r="M20" s="129">
        <f t="shared" ref="M20:M28" si="4">IF(K20&lt;&gt;0,(L20-K20)/K20,0)</f>
        <v>0</v>
      </c>
      <c r="N20" s="82"/>
      <c r="O20" s="85"/>
      <c r="Q20" s="85"/>
      <c r="R20" s="85"/>
      <c r="S20" s="85"/>
    </row>
    <row r="21" spans="1:19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121">
        <v>59466</v>
      </c>
      <c r="I21" s="135">
        <v>65082</v>
      </c>
      <c r="J21" s="129">
        <f t="shared" si="3"/>
        <v>9.4440520633639391E-2</v>
      </c>
      <c r="K21" s="135">
        <v>196694</v>
      </c>
      <c r="L21" s="135">
        <v>221819</v>
      </c>
      <c r="M21" s="129">
        <f t="shared" si="4"/>
        <v>0.12773648408187338</v>
      </c>
      <c r="N21" s="82"/>
      <c r="O21" s="85"/>
      <c r="Q21" s="85"/>
      <c r="R21" s="85"/>
      <c r="S21" s="85"/>
    </row>
    <row r="22" spans="1:19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121">
        <v>585</v>
      </c>
      <c r="I22" s="135">
        <v>657</v>
      </c>
      <c r="J22" s="129">
        <f t="shared" si="3"/>
        <v>0.12307692307692308</v>
      </c>
      <c r="K22" s="135">
        <v>884</v>
      </c>
      <c r="L22" s="135">
        <v>1015</v>
      </c>
      <c r="M22" s="129">
        <f t="shared" si="4"/>
        <v>0.14819004524886878</v>
      </c>
      <c r="N22" s="82"/>
    </row>
    <row r="23" spans="1:19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121">
        <v>872</v>
      </c>
      <c r="I23" s="135">
        <v>481</v>
      </c>
      <c r="J23" s="129">
        <f t="shared" si="3"/>
        <v>-0.44839449541284404</v>
      </c>
      <c r="K23" s="135">
        <v>789</v>
      </c>
      <c r="L23" s="135">
        <v>482</v>
      </c>
      <c r="M23" s="129">
        <f t="shared" si="4"/>
        <v>-0.38910012674271227</v>
      </c>
      <c r="N23" s="82"/>
    </row>
    <row r="24" spans="1:19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121">
        <v>0</v>
      </c>
      <c r="I24" s="135">
        <v>0</v>
      </c>
      <c r="J24" s="129">
        <f t="shared" si="3"/>
        <v>0</v>
      </c>
      <c r="K24" s="135">
        <v>269</v>
      </c>
      <c r="L24" s="135">
        <v>2432</v>
      </c>
      <c r="M24" s="129">
        <f t="shared" si="4"/>
        <v>8.0408921933085509</v>
      </c>
      <c r="N24" s="82"/>
    </row>
    <row r="25" spans="1:19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121">
        <v>8296</v>
      </c>
      <c r="I25" s="135">
        <v>8803</v>
      </c>
      <c r="J25" s="129">
        <f t="shared" si="3"/>
        <v>6.1113789778206362E-2</v>
      </c>
      <c r="K25" s="135">
        <v>35612</v>
      </c>
      <c r="L25" s="135">
        <v>38966</v>
      </c>
      <c r="M25" s="129">
        <f t="shared" si="4"/>
        <v>9.4181736493316862E-2</v>
      </c>
      <c r="N25" s="82"/>
    </row>
    <row r="26" spans="1:19" s="95" customFormat="1" x14ac:dyDescent="0.3">
      <c r="A26" s="93" t="s">
        <v>33</v>
      </c>
      <c r="B26" s="80">
        <f t="shared" ref="B26:G26" si="5">SUM(B20:B25)</f>
        <v>43329</v>
      </c>
      <c r="C26" s="80">
        <f t="shared" si="5"/>
        <v>63235</v>
      </c>
      <c r="D26" s="80">
        <f t="shared" si="5"/>
        <v>73581</v>
      </c>
      <c r="E26" s="80">
        <f t="shared" si="5"/>
        <v>83903</v>
      </c>
      <c r="F26" s="80">
        <f t="shared" si="5"/>
        <v>115757</v>
      </c>
      <c r="G26" s="80">
        <f t="shared" si="5"/>
        <v>80066</v>
      </c>
      <c r="H26" s="123">
        <f>SUM(H20:H25)</f>
        <v>69219</v>
      </c>
      <c r="I26" s="134">
        <f>SUM(I20:I25)</f>
        <v>75030</v>
      </c>
      <c r="J26" s="138">
        <f t="shared" si="3"/>
        <v>8.3950938326182112E-2</v>
      </c>
      <c r="K26" s="134">
        <f>SUM(K20:K25)</f>
        <v>234248</v>
      </c>
      <c r="L26" s="134">
        <f>SUM(L20:L25)</f>
        <v>264714</v>
      </c>
      <c r="M26" s="138">
        <f t="shared" si="4"/>
        <v>0.13005874116321164</v>
      </c>
      <c r="N26" s="82"/>
      <c r="O26" s="85"/>
      <c r="Q26" s="85"/>
      <c r="R26" s="85"/>
      <c r="S26" s="85"/>
    </row>
    <row r="27" spans="1:19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124">
        <v>6476240</v>
      </c>
      <c r="I27" s="163">
        <v>7422126</v>
      </c>
      <c r="J27" s="131">
        <f t="shared" si="3"/>
        <v>0.14605480958086792</v>
      </c>
      <c r="K27" s="163">
        <v>6351077</v>
      </c>
      <c r="L27" s="163">
        <v>7357456</v>
      </c>
      <c r="M27" s="131">
        <f t="shared" si="4"/>
        <v>0.15845800641371535</v>
      </c>
      <c r="N27" s="82"/>
      <c r="O27" s="85"/>
      <c r="Q27" s="85"/>
      <c r="R27" s="85"/>
      <c r="S27" s="85"/>
    </row>
    <row r="28" spans="1:19" s="95" customFormat="1" ht="15.75" thickBot="1" x14ac:dyDescent="0.35">
      <c r="A28" s="90" t="s">
        <v>35</v>
      </c>
      <c r="B28" s="91">
        <f t="shared" ref="B28:G28" si="6">+B26+B27</f>
        <v>3744102</v>
      </c>
      <c r="C28" s="91">
        <f t="shared" si="6"/>
        <v>4028640</v>
      </c>
      <c r="D28" s="91">
        <f t="shared" si="6"/>
        <v>4241740</v>
      </c>
      <c r="E28" s="91">
        <f t="shared" si="6"/>
        <v>3957512</v>
      </c>
      <c r="F28" s="91">
        <f t="shared" si="6"/>
        <v>5514960</v>
      </c>
      <c r="G28" s="91">
        <f t="shared" si="6"/>
        <v>6403741</v>
      </c>
      <c r="H28" s="122">
        <f>+H26+H27</f>
        <v>6545459</v>
      </c>
      <c r="I28" s="137">
        <f>+I26+I27</f>
        <v>7497156</v>
      </c>
      <c r="J28" s="130">
        <f t="shared" si="3"/>
        <v>0.14539805382632448</v>
      </c>
      <c r="K28" s="137">
        <f>+K26+K27</f>
        <v>6585325</v>
      </c>
      <c r="L28" s="137">
        <f>+L26+L27</f>
        <v>7622170</v>
      </c>
      <c r="M28" s="130">
        <f t="shared" si="4"/>
        <v>0.15744781009289593</v>
      </c>
      <c r="N28" s="82"/>
      <c r="O28" s="85"/>
      <c r="Q28" s="85"/>
      <c r="R28" s="85"/>
      <c r="S28" s="85"/>
    </row>
    <row r="29" spans="1:19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121">
        <f>435123458+25000000</f>
        <v>460123458</v>
      </c>
      <c r="I29" s="135">
        <f>435123458+25000000</f>
        <v>460123458</v>
      </c>
      <c r="J29" s="129"/>
      <c r="K29" s="135">
        <f>435123458+25000000</f>
        <v>460123458</v>
      </c>
      <c r="L29" s="135">
        <f>435123458+25000000</f>
        <v>460123458</v>
      </c>
      <c r="M29" s="129"/>
      <c r="N29" s="107"/>
    </row>
    <row r="30" spans="1:19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7">+F27/+(F29/1000000)</f>
        <v>12408.439261851976</v>
      </c>
      <c r="G30" s="100">
        <f t="shared" si="7"/>
        <v>14533.059258781675</v>
      </c>
      <c r="H30" s="164">
        <f>+H27/+(H29/1000000)</f>
        <v>14075.005060924323</v>
      </c>
      <c r="I30" s="165">
        <f>+I27/+(I29/1000000)</f>
        <v>16130.727244947375</v>
      </c>
      <c r="J30" s="129"/>
      <c r="K30" s="165">
        <f>+K27/+(K29/1000000)</f>
        <v>13802.984589409914</v>
      </c>
      <c r="L30" s="165">
        <f>+L27/+(L29/1000000)</f>
        <v>15990.178010007045</v>
      </c>
      <c r="M30" s="129"/>
      <c r="N30" s="107"/>
    </row>
    <row r="31" spans="1:19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N31" s="107"/>
    </row>
    <row r="32" spans="1:19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N32" s="107"/>
    </row>
    <row r="33" spans="1:17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109"/>
      <c r="O33" s="76"/>
    </row>
    <row r="34" spans="1:17" ht="15.75" x14ac:dyDescent="0.3">
      <c r="A34" s="78" t="s">
        <v>93</v>
      </c>
      <c r="B34" s="78"/>
      <c r="C34" s="78"/>
      <c r="D34" s="78"/>
      <c r="E34" s="78"/>
      <c r="F34" s="78"/>
      <c r="G34" s="78"/>
      <c r="M34" s="75"/>
      <c r="N34" s="109"/>
      <c r="O34" s="76"/>
    </row>
    <row r="35" spans="1:17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109"/>
      <c r="O35" s="76"/>
    </row>
    <row r="36" spans="1:17" s="85" customFormat="1" x14ac:dyDescent="0.3">
      <c r="H36" s="81"/>
      <c r="I36" s="81"/>
      <c r="J36" s="81"/>
      <c r="K36" s="81"/>
      <c r="L36" s="82"/>
      <c r="N36" s="107"/>
    </row>
    <row r="37" spans="1:17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57">
        <v>2011</v>
      </c>
      <c r="I37" s="157">
        <v>2012</v>
      </c>
      <c r="J37" s="167" t="s">
        <v>46</v>
      </c>
      <c r="K37" s="145" t="s">
        <v>96</v>
      </c>
      <c r="L37" s="145" t="s">
        <v>95</v>
      </c>
      <c r="M37" s="167" t="s">
        <v>46</v>
      </c>
      <c r="O37" s="107"/>
    </row>
    <row r="38" spans="1:17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123">
        <v>223644</v>
      </c>
      <c r="I38" s="134">
        <v>312990</v>
      </c>
      <c r="J38" s="129">
        <f>IF(H38&lt;&gt;0,(I38-H38)/H38,0)</f>
        <v>0.39950099264903149</v>
      </c>
      <c r="K38" s="134">
        <v>55583</v>
      </c>
      <c r="L38" s="134">
        <v>77093</v>
      </c>
      <c r="M38" s="129">
        <f>IF(K38&lt;&gt;0,(L38-K38)/K38,0)</f>
        <v>0.38698882751920549</v>
      </c>
      <c r="N38" s="169"/>
      <c r="O38" s="85"/>
      <c r="P38" s="85"/>
      <c r="Q38" s="85"/>
    </row>
    <row r="39" spans="1:17" s="85" customFormat="1" x14ac:dyDescent="0.3">
      <c r="A39" s="85" t="s">
        <v>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121">
        <v>11024</v>
      </c>
      <c r="I39" s="135">
        <v>0</v>
      </c>
      <c r="J39" s="129">
        <f t="shared" ref="J39:J49" si="8">IF(H39&lt;&gt;0,(I39-H39)/H39,0)</f>
        <v>-1</v>
      </c>
      <c r="K39" s="135">
        <v>0</v>
      </c>
      <c r="L39" s="135">
        <v>0</v>
      </c>
      <c r="M39" s="129">
        <f t="shared" ref="M39:M49" si="9">IF(K39&lt;&gt;0,(L39-K39)/K39,0)</f>
        <v>0</v>
      </c>
      <c r="N39" s="169"/>
    </row>
    <row r="40" spans="1:17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121">
        <v>33432</v>
      </c>
      <c r="I40" s="135">
        <v>35105</v>
      </c>
      <c r="J40" s="129">
        <f t="shared" si="8"/>
        <v>5.0041876046901169E-2</v>
      </c>
      <c r="K40" s="135">
        <v>8296</v>
      </c>
      <c r="L40" s="135">
        <v>8803</v>
      </c>
      <c r="M40" s="129">
        <f t="shared" si="9"/>
        <v>6.1113789778206362E-2</v>
      </c>
      <c r="N40" s="169"/>
      <c r="O40" s="85"/>
      <c r="P40" s="85"/>
      <c r="Q40" s="85"/>
    </row>
    <row r="41" spans="1:17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121">
        <v>7221</v>
      </c>
      <c r="I41" s="135">
        <v>8379</v>
      </c>
      <c r="J41" s="129">
        <f t="shared" si="8"/>
        <v>0.16036560033236394</v>
      </c>
      <c r="K41" s="135">
        <v>2095</v>
      </c>
      <c r="L41" s="135">
        <v>2650</v>
      </c>
      <c r="M41" s="129">
        <f t="shared" si="9"/>
        <v>0.2649164677804296</v>
      </c>
      <c r="N41" s="169"/>
      <c r="O41" s="85"/>
      <c r="P41" s="85"/>
      <c r="Q41" s="85"/>
    </row>
    <row r="42" spans="1:17" s="95" customFormat="1" x14ac:dyDescent="0.3">
      <c r="A42" s="95" t="s">
        <v>4</v>
      </c>
      <c r="B42" s="80">
        <f t="shared" ref="B42:G42" si="10">SUM(B38:B41)</f>
        <v>190916</v>
      </c>
      <c r="C42" s="80">
        <f t="shared" si="10"/>
        <v>244001</v>
      </c>
      <c r="D42" s="80">
        <f t="shared" si="10"/>
        <v>251869</v>
      </c>
      <c r="E42" s="80">
        <f t="shared" si="10"/>
        <v>299526</v>
      </c>
      <c r="F42" s="80">
        <f t="shared" si="10"/>
        <v>235968</v>
      </c>
      <c r="G42" s="80">
        <f t="shared" si="10"/>
        <v>285499</v>
      </c>
      <c r="H42" s="123">
        <f>SUM(H38:H41)</f>
        <v>275321</v>
      </c>
      <c r="I42" s="134">
        <f>SUM(I38:I41)</f>
        <v>356474</v>
      </c>
      <c r="J42" s="129">
        <f t="shared" si="8"/>
        <v>0.29475775549267946</v>
      </c>
      <c r="K42" s="134">
        <f>SUM(K38:K41)</f>
        <v>65974</v>
      </c>
      <c r="L42" s="134">
        <f>SUM(L38:L41)</f>
        <v>88546</v>
      </c>
      <c r="M42" s="129">
        <f t="shared" si="9"/>
        <v>0.34213478036802375</v>
      </c>
      <c r="N42" s="169"/>
      <c r="O42" s="85"/>
      <c r="P42" s="85"/>
      <c r="Q42" s="85"/>
    </row>
    <row r="43" spans="1:17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121">
        <v>-9004</v>
      </c>
      <c r="I43" s="135">
        <v>-10090</v>
      </c>
      <c r="J43" s="129">
        <f t="shared" si="8"/>
        <v>0.12061306086183918</v>
      </c>
      <c r="K43" s="135">
        <v>-8176</v>
      </c>
      <c r="L43" s="135">
        <f>-2393-5938</f>
        <v>-8331</v>
      </c>
      <c r="M43" s="129">
        <f t="shared" si="9"/>
        <v>1.8957925636007827E-2</v>
      </c>
      <c r="N43" s="169"/>
    </row>
    <row r="44" spans="1:17" s="95" customFormat="1" x14ac:dyDescent="0.3">
      <c r="A44" s="95" t="s">
        <v>42</v>
      </c>
      <c r="B44" s="80">
        <f t="shared" ref="B44:G44" si="11">SUM(B42:B43)</f>
        <v>168810</v>
      </c>
      <c r="C44" s="80">
        <f t="shared" si="11"/>
        <v>202580</v>
      </c>
      <c r="D44" s="80">
        <f t="shared" si="11"/>
        <v>244681</v>
      </c>
      <c r="E44" s="80">
        <f t="shared" si="11"/>
        <v>290753</v>
      </c>
      <c r="F44" s="80">
        <f t="shared" si="11"/>
        <v>227228</v>
      </c>
      <c r="G44" s="80">
        <f t="shared" si="11"/>
        <v>273936</v>
      </c>
      <c r="H44" s="123">
        <f>SUM(H42:H43)</f>
        <v>266317</v>
      </c>
      <c r="I44" s="134">
        <f>SUM(I42:I43)</f>
        <v>346384</v>
      </c>
      <c r="J44" s="129">
        <f t="shared" si="8"/>
        <v>0.30064547137433961</v>
      </c>
      <c r="K44" s="134">
        <f>SUM(K42:K43)</f>
        <v>57798</v>
      </c>
      <c r="L44" s="134">
        <f>SUM(L42:L43)</f>
        <v>80215</v>
      </c>
      <c r="M44" s="129">
        <f t="shared" si="9"/>
        <v>0.38785079068479877</v>
      </c>
      <c r="N44" s="169"/>
      <c r="O44" s="85"/>
      <c r="P44" s="85"/>
      <c r="Q44" s="85"/>
    </row>
    <row r="45" spans="1:17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121">
        <v>814</v>
      </c>
      <c r="I45" s="135">
        <v>851</v>
      </c>
      <c r="J45" s="129">
        <f t="shared" si="8"/>
        <v>4.5454545454545456E-2</v>
      </c>
      <c r="K45" s="135">
        <v>652</v>
      </c>
      <c r="L45" s="135">
        <v>61</v>
      </c>
      <c r="M45" s="129">
        <f t="shared" si="9"/>
        <v>-0.90644171779141103</v>
      </c>
      <c r="N45" s="169"/>
      <c r="O45" s="85"/>
      <c r="P45" s="85"/>
      <c r="Q45" s="85"/>
    </row>
    <row r="46" spans="1:17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121">
        <v>-11022</v>
      </c>
      <c r="I46" s="135">
        <v>-1390</v>
      </c>
      <c r="J46" s="129">
        <f t="shared" si="8"/>
        <v>-0.87388858646343681</v>
      </c>
      <c r="K46" s="135">
        <v>-25</v>
      </c>
      <c r="L46" s="135">
        <v>-127</v>
      </c>
      <c r="M46" s="129">
        <f t="shared" si="9"/>
        <v>4.08</v>
      </c>
      <c r="N46" s="169"/>
    </row>
    <row r="47" spans="1:17" s="95" customFormat="1" x14ac:dyDescent="0.3">
      <c r="A47" s="95" t="s">
        <v>43</v>
      </c>
      <c r="B47" s="80">
        <f t="shared" ref="B47:G47" si="12">SUM(B44:B46)</f>
        <v>172912</v>
      </c>
      <c r="C47" s="80">
        <f t="shared" si="12"/>
        <v>210911</v>
      </c>
      <c r="D47" s="80">
        <f t="shared" si="12"/>
        <v>244482</v>
      </c>
      <c r="E47" s="80">
        <f t="shared" si="12"/>
        <v>291080</v>
      </c>
      <c r="F47" s="80">
        <f t="shared" si="12"/>
        <v>225701</v>
      </c>
      <c r="G47" s="80">
        <f t="shared" si="12"/>
        <v>280279</v>
      </c>
      <c r="H47" s="123">
        <f>SUM(H44:H46)</f>
        <v>256109</v>
      </c>
      <c r="I47" s="134">
        <f>SUM(I44:I46)</f>
        <v>345845</v>
      </c>
      <c r="J47" s="129">
        <f t="shared" si="8"/>
        <v>0.35038206388686066</v>
      </c>
      <c r="K47" s="134">
        <f>SUM(K44:K46)</f>
        <v>58425</v>
      </c>
      <c r="L47" s="134">
        <f>SUM(L44:L46)</f>
        <v>80149</v>
      </c>
      <c r="M47" s="129">
        <f t="shared" si="9"/>
        <v>0.37182712879760377</v>
      </c>
      <c r="N47" s="169"/>
      <c r="O47" s="85"/>
      <c r="P47" s="85"/>
      <c r="Q47" s="85"/>
    </row>
    <row r="48" spans="1:17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121">
        <v>-127</v>
      </c>
      <c r="I48" s="135">
        <v>-361</v>
      </c>
      <c r="J48" s="129">
        <f t="shared" si="8"/>
        <v>1.8425196850393701</v>
      </c>
      <c r="K48" s="135">
        <v>-8</v>
      </c>
      <c r="L48" s="135">
        <v>-2289</v>
      </c>
      <c r="M48" s="129">
        <f t="shared" si="9"/>
        <v>285.125</v>
      </c>
      <c r="N48" s="169"/>
    </row>
    <row r="49" spans="1:14" s="85" customFormat="1" ht="15.75" thickBot="1" x14ac:dyDescent="0.35">
      <c r="A49" s="102" t="s">
        <v>17</v>
      </c>
      <c r="B49" s="103">
        <f t="shared" ref="B49:G49" si="13">SUM(B47:B48)</f>
        <v>169411</v>
      </c>
      <c r="C49" s="103">
        <f t="shared" si="13"/>
        <v>210697</v>
      </c>
      <c r="D49" s="103">
        <f t="shared" si="13"/>
        <v>244292</v>
      </c>
      <c r="E49" s="103">
        <f t="shared" si="13"/>
        <v>291006</v>
      </c>
      <c r="F49" s="103">
        <f t="shared" si="13"/>
        <v>225496</v>
      </c>
      <c r="G49" s="103">
        <f t="shared" si="13"/>
        <v>278403</v>
      </c>
      <c r="H49" s="168">
        <f>SUM(H47:H48)</f>
        <v>255982</v>
      </c>
      <c r="I49" s="166">
        <f>SUM(I47:I48)</f>
        <v>345484</v>
      </c>
      <c r="J49" s="130">
        <f t="shared" si="8"/>
        <v>0.34964177168707172</v>
      </c>
      <c r="K49" s="166">
        <f>SUM(K47:K48)</f>
        <v>58417</v>
      </c>
      <c r="L49" s="166">
        <f>SUM(L47:L48)</f>
        <v>77860</v>
      </c>
      <c r="M49" s="130">
        <f t="shared" si="9"/>
        <v>0.33283119639830872</v>
      </c>
      <c r="N49" s="169"/>
    </row>
    <row r="50" spans="1:14" s="85" customFormat="1" x14ac:dyDescent="0.3">
      <c r="C50" s="80"/>
      <c r="H50" s="81"/>
      <c r="I50" s="81"/>
      <c r="J50" s="81"/>
      <c r="K50" s="81"/>
      <c r="L50" s="82"/>
    </row>
    <row r="51" spans="1:14" s="85" customFormat="1" x14ac:dyDescent="0.3">
      <c r="C51" s="81"/>
      <c r="H51" s="81"/>
      <c r="I51" s="81"/>
      <c r="J51" s="81"/>
      <c r="K51" s="81"/>
      <c r="L51" s="82"/>
    </row>
    <row r="52" spans="1:14" s="85" customFormat="1" x14ac:dyDescent="0.3">
      <c r="C52" s="81"/>
      <c r="E52" s="80"/>
      <c r="H52" s="81"/>
      <c r="I52" s="81"/>
      <c r="J52" s="81"/>
      <c r="K52" s="81"/>
      <c r="L52" s="82"/>
    </row>
    <row r="53" spans="1:14" s="85" customFormat="1" x14ac:dyDescent="0.3">
      <c r="C53" s="81"/>
      <c r="E53" s="81"/>
      <c r="H53" s="81"/>
      <c r="I53" s="81"/>
      <c r="J53" s="81"/>
      <c r="K53" s="81"/>
      <c r="L53" s="82"/>
    </row>
    <row r="54" spans="1:14" s="85" customFormat="1" x14ac:dyDescent="0.3">
      <c r="C54" s="80"/>
      <c r="E54" s="81"/>
      <c r="H54" s="81"/>
      <c r="I54" s="81"/>
      <c r="J54" s="81"/>
      <c r="K54" s="81"/>
      <c r="L54" s="82"/>
    </row>
    <row r="55" spans="1:14" s="85" customFormat="1" x14ac:dyDescent="0.3">
      <c r="C55" s="81"/>
      <c r="E55" s="81"/>
      <c r="H55" s="81"/>
      <c r="I55" s="81"/>
      <c r="J55" s="81"/>
      <c r="K55" s="81"/>
      <c r="L55" s="82"/>
    </row>
    <row r="56" spans="1:14" x14ac:dyDescent="0.3">
      <c r="C56" s="80"/>
      <c r="E56" s="80"/>
    </row>
    <row r="57" spans="1:14" x14ac:dyDescent="0.3">
      <c r="C57" s="81"/>
      <c r="E57" s="81"/>
    </row>
    <row r="58" spans="1:14" x14ac:dyDescent="0.3">
      <c r="C58" s="81"/>
      <c r="E58" s="80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82"/>
  <sheetViews>
    <sheetView topLeftCell="D7" workbookViewId="0">
      <selection activeCell="N20" sqref="N20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8" width="11.140625" style="74" bestFit="1" customWidth="1"/>
    <col min="9" max="9" width="10.42578125" style="74" bestFit="1" customWidth="1"/>
    <col min="10" max="10" width="11.140625" style="74" bestFit="1" customWidth="1"/>
    <col min="11" max="11" width="10.42578125" style="74" customWidth="1"/>
    <col min="12" max="12" width="11.140625" style="75" bestFit="1" customWidth="1"/>
    <col min="13" max="13" width="10.28515625" style="75" bestFit="1" customWidth="1"/>
    <col min="14" max="14" width="9.28515625" style="76" bestFit="1" customWidth="1"/>
    <col min="15" max="15" width="10.42578125" style="76" bestFit="1" customWidth="1"/>
    <col min="16" max="16" width="10.28515625" style="73" bestFit="1" customWidth="1"/>
    <col min="17" max="16384" width="11.42578125" style="73"/>
  </cols>
  <sheetData>
    <row r="6" spans="1:19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19" ht="15.75" x14ac:dyDescent="0.3">
      <c r="A7" s="78" t="s">
        <v>98</v>
      </c>
      <c r="B7" s="78"/>
      <c r="C7" s="78"/>
      <c r="D7" s="78"/>
      <c r="E7" s="78"/>
      <c r="F7" s="78"/>
      <c r="G7" s="78"/>
    </row>
    <row r="8" spans="1:19" x14ac:dyDescent="0.3">
      <c r="A8" s="79" t="s">
        <v>88</v>
      </c>
      <c r="B8" s="79"/>
      <c r="C8" s="79"/>
      <c r="D8" s="79"/>
      <c r="E8" s="79"/>
      <c r="F8" s="79"/>
      <c r="G8" s="79"/>
    </row>
    <row r="9" spans="1:19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19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45">
        <v>2011</v>
      </c>
      <c r="I10" s="145">
        <v>2012</v>
      </c>
      <c r="J10" s="146" t="s">
        <v>46</v>
      </c>
      <c r="K10" s="145" t="s">
        <v>96</v>
      </c>
      <c r="L10" s="145" t="s">
        <v>95</v>
      </c>
      <c r="M10" s="146" t="s">
        <v>46</v>
      </c>
      <c r="N10" s="83"/>
      <c r="O10" s="83"/>
      <c r="P10" s="106"/>
      <c r="Q10" s="84"/>
      <c r="R10" s="84"/>
      <c r="S10" s="84"/>
    </row>
    <row r="11" spans="1:19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21">
        <v>193087</v>
      </c>
      <c r="I11" s="117">
        <v>291812</v>
      </c>
      <c r="J11" s="129">
        <f t="shared" ref="J11:J20" si="0">+(I11-H11)/H11</f>
        <v>0.51129801592028468</v>
      </c>
      <c r="K11" s="117">
        <v>177321</v>
      </c>
      <c r="L11" s="117">
        <v>268522</v>
      </c>
      <c r="M11" s="129">
        <f>+(L11-K11)/K11</f>
        <v>0.51432712425488236</v>
      </c>
      <c r="N11" s="83"/>
      <c r="O11" s="83"/>
      <c r="P11" s="108"/>
      <c r="Q11" s="84"/>
      <c r="R11" s="84"/>
      <c r="S11" s="84"/>
    </row>
    <row r="12" spans="1:19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21">
        <v>329071</v>
      </c>
      <c r="I12" s="117">
        <v>330090</v>
      </c>
      <c r="J12" s="129">
        <f t="shared" si="0"/>
        <v>3.0965961752934777E-3</v>
      </c>
      <c r="K12" s="117">
        <v>329162</v>
      </c>
      <c r="L12" s="117">
        <v>356520</v>
      </c>
      <c r="M12" s="129">
        <f t="shared" ref="M12:M19" si="1">+(L12-K12)/K12</f>
        <v>8.3114089718740319E-2</v>
      </c>
      <c r="N12" s="170"/>
      <c r="O12" s="83"/>
      <c r="P12" s="106"/>
      <c r="Q12" s="84"/>
      <c r="R12" s="84"/>
      <c r="S12" s="84"/>
    </row>
    <row r="13" spans="1:19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21">
        <v>650631</v>
      </c>
      <c r="I13" s="117">
        <v>681860</v>
      </c>
      <c r="J13" s="129">
        <f t="shared" si="0"/>
        <v>4.7998020383289451E-2</v>
      </c>
      <c r="K13" s="117">
        <v>598382</v>
      </c>
      <c r="L13" s="117">
        <v>721224</v>
      </c>
      <c r="M13" s="129">
        <f t="shared" si="1"/>
        <v>0.20529026608420708</v>
      </c>
      <c r="N13" s="83"/>
      <c r="O13" s="83"/>
      <c r="P13" s="106"/>
      <c r="Q13" s="84"/>
      <c r="R13" s="84"/>
      <c r="S13" s="84"/>
    </row>
    <row r="14" spans="1:19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21">
        <v>601866</v>
      </c>
      <c r="I14" s="117">
        <v>555796</v>
      </c>
      <c r="J14" s="129">
        <f t="shared" si="0"/>
        <v>-7.6545277520245369E-2</v>
      </c>
      <c r="K14" s="117">
        <v>618213</v>
      </c>
      <c r="L14" s="117">
        <v>565079</v>
      </c>
      <c r="M14" s="129">
        <f t="shared" si="1"/>
        <v>-8.5947723519240127E-2</v>
      </c>
      <c r="N14" s="83"/>
      <c r="O14" s="83"/>
      <c r="P14" s="106"/>
      <c r="Q14" s="84"/>
      <c r="R14" s="84"/>
      <c r="S14" s="84"/>
    </row>
    <row r="15" spans="1:19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21">
        <v>1009855</v>
      </c>
      <c r="I15" s="117">
        <v>1135785</v>
      </c>
      <c r="J15" s="129">
        <f t="shared" si="0"/>
        <v>0.12470107094582886</v>
      </c>
      <c r="K15" s="117">
        <v>1001592</v>
      </c>
      <c r="L15" s="117">
        <v>1130203</v>
      </c>
      <c r="M15" s="129">
        <f t="shared" si="1"/>
        <v>0.12840657672984609</v>
      </c>
      <c r="N15" s="83"/>
      <c r="O15" s="83"/>
      <c r="P15" s="106"/>
      <c r="Q15" s="84"/>
      <c r="R15" s="84"/>
      <c r="S15" s="84"/>
    </row>
    <row r="16" spans="1:19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21">
        <v>900384</v>
      </c>
      <c r="I16" s="117">
        <v>1025441</v>
      </c>
      <c r="J16" s="129">
        <f t="shared" si="0"/>
        <v>0.13889296122543271</v>
      </c>
      <c r="K16" s="117">
        <v>874473</v>
      </c>
      <c r="L16" s="117">
        <v>1030021</v>
      </c>
      <c r="M16" s="129">
        <f t="shared" si="1"/>
        <v>0.17787627519660412</v>
      </c>
      <c r="N16" s="83"/>
      <c r="O16" s="83"/>
      <c r="P16" s="106"/>
      <c r="Q16" s="84"/>
      <c r="R16" s="84"/>
      <c r="S16" s="84"/>
    </row>
    <row r="17" spans="1:19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21">
        <v>130401</v>
      </c>
      <c r="I17" s="117">
        <v>57452</v>
      </c>
      <c r="J17" s="129">
        <f t="shared" si="0"/>
        <v>-0.55942055659082368</v>
      </c>
      <c r="K17" s="117">
        <v>130230</v>
      </c>
      <c r="L17" s="117">
        <v>53810</v>
      </c>
      <c r="M17" s="129">
        <f t="shared" si="1"/>
        <v>-0.58680795515626205</v>
      </c>
      <c r="N17" s="83"/>
      <c r="O17" s="83"/>
      <c r="P17" s="106"/>
      <c r="Q17" s="84"/>
      <c r="R17" s="84"/>
      <c r="S17" s="84"/>
    </row>
    <row r="18" spans="1:19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21">
        <v>18323</v>
      </c>
      <c r="I18" s="117">
        <v>6913</v>
      </c>
      <c r="J18" s="129">
        <f t="shared" si="0"/>
        <v>-0.62271462096818209</v>
      </c>
      <c r="K18" s="117">
        <v>3829</v>
      </c>
      <c r="L18" s="117">
        <v>6387</v>
      </c>
      <c r="M18" s="129">
        <f t="shared" si="1"/>
        <v>0.66805954557325675</v>
      </c>
      <c r="N18" s="83"/>
      <c r="O18" s="83"/>
      <c r="P18" s="106"/>
      <c r="Q18" s="84"/>
      <c r="R18" s="84"/>
      <c r="S18" s="84"/>
    </row>
    <row r="19" spans="1:19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21">
        <v>4097551</v>
      </c>
      <c r="I19" s="117">
        <v>4866415</v>
      </c>
      <c r="J19" s="129">
        <f t="shared" si="0"/>
        <v>0.18763988538519716</v>
      </c>
      <c r="K19" s="117">
        <v>4110159</v>
      </c>
      <c r="L19" s="117">
        <v>4924714</v>
      </c>
      <c r="M19" s="129">
        <f t="shared" si="1"/>
        <v>0.19818089762464178</v>
      </c>
      <c r="N19" s="83"/>
      <c r="O19" s="83"/>
      <c r="P19" s="106"/>
      <c r="Q19" s="84"/>
      <c r="R19" s="84"/>
      <c r="S19" s="84"/>
    </row>
    <row r="20" spans="1:19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122">
        <f>SUM(H11:H19)</f>
        <v>7931169</v>
      </c>
      <c r="I20" s="118">
        <f>SUM(I11:I19)</f>
        <v>8951564</v>
      </c>
      <c r="J20" s="130">
        <f t="shared" si="0"/>
        <v>0.12865631787697374</v>
      </c>
      <c r="K20" s="118">
        <f>SUM(K11:K19)</f>
        <v>7843361</v>
      </c>
      <c r="L20" s="118">
        <f>SUM(L11:L19)</f>
        <v>9056480</v>
      </c>
      <c r="M20" s="130">
        <f>+(L20-K20)/K20</f>
        <v>0.15466826020120711</v>
      </c>
      <c r="N20" s="83"/>
      <c r="O20" s="83"/>
      <c r="P20" s="106"/>
      <c r="Q20" s="84"/>
      <c r="R20" s="84"/>
      <c r="S20" s="84"/>
    </row>
    <row r="21" spans="1:19" s="85" customFormat="1" x14ac:dyDescent="0.3">
      <c r="A21" s="153"/>
      <c r="B21" s="81"/>
      <c r="C21" s="81"/>
      <c r="D21" s="81"/>
      <c r="E21" s="81"/>
      <c r="F21" s="81"/>
      <c r="G21" s="81"/>
      <c r="H21" s="121"/>
      <c r="I21" s="117"/>
      <c r="J21" s="129"/>
      <c r="K21" s="117"/>
      <c r="L21" s="117"/>
      <c r="M21" s="129"/>
      <c r="N21" s="83"/>
      <c r="O21" s="83"/>
      <c r="P21" s="106"/>
      <c r="Q21" s="84"/>
      <c r="R21" s="84"/>
      <c r="S21" s="84"/>
    </row>
    <row r="22" spans="1:19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126">
        <v>2011</v>
      </c>
      <c r="I22" s="127">
        <v>2012</v>
      </c>
      <c r="J22" s="128" t="s">
        <v>46</v>
      </c>
      <c r="K22" s="127" t="s">
        <v>96</v>
      </c>
      <c r="L22" s="127" t="s">
        <v>95</v>
      </c>
      <c r="M22" s="128" t="s">
        <v>46</v>
      </c>
      <c r="N22" s="83"/>
      <c r="O22" s="83"/>
      <c r="P22" s="108"/>
      <c r="Q22" s="84"/>
      <c r="R22" s="84"/>
      <c r="S22" s="84"/>
    </row>
    <row r="23" spans="1:19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21">
        <v>679598</v>
      </c>
      <c r="I23" s="117">
        <v>690354</v>
      </c>
      <c r="J23" s="129">
        <f t="shared" ref="J23:J34" si="2">+(I23-H23)/H23</f>
        <v>1.5827003610958242E-2</v>
      </c>
      <c r="K23" s="117">
        <v>642131</v>
      </c>
      <c r="L23" s="117">
        <v>698237</v>
      </c>
      <c r="M23" s="129">
        <f t="shared" ref="M23:M34" si="3">+(L23-K23)/K23</f>
        <v>8.7374694571668396E-2</v>
      </c>
      <c r="N23" s="83"/>
      <c r="O23" s="83"/>
      <c r="P23" s="106"/>
      <c r="Q23" s="84"/>
      <c r="R23" s="84"/>
      <c r="S23" s="84"/>
    </row>
    <row r="24" spans="1:19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21">
        <v>163168</v>
      </c>
      <c r="I24" s="117">
        <v>170648</v>
      </c>
      <c r="J24" s="129">
        <f t="shared" si="2"/>
        <v>4.5842322023926262E-2</v>
      </c>
      <c r="K24" s="117">
        <v>136657</v>
      </c>
      <c r="L24" s="117">
        <v>166315</v>
      </c>
      <c r="M24" s="129">
        <f t="shared" si="3"/>
        <v>0.21702510665388527</v>
      </c>
      <c r="N24" s="83"/>
      <c r="O24" s="83"/>
      <c r="P24" s="108"/>
      <c r="Q24" s="84"/>
      <c r="R24" s="84"/>
      <c r="S24" s="84"/>
    </row>
    <row r="25" spans="1:19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21">
        <v>217244</v>
      </c>
      <c r="I25" s="117">
        <v>259622</v>
      </c>
      <c r="J25" s="129">
        <f t="shared" si="2"/>
        <v>0.19507098009611312</v>
      </c>
      <c r="K25" s="117">
        <v>293302</v>
      </c>
      <c r="L25" s="117">
        <v>349442</v>
      </c>
      <c r="M25" s="129">
        <f t="shared" si="3"/>
        <v>0.19140680936372748</v>
      </c>
      <c r="N25" s="83"/>
      <c r="O25" s="83"/>
      <c r="P25" s="106"/>
      <c r="Q25" s="84"/>
      <c r="R25" s="84"/>
      <c r="S25" s="84"/>
    </row>
    <row r="26" spans="1:19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21">
        <v>132822</v>
      </c>
      <c r="I26" s="117">
        <v>138203</v>
      </c>
      <c r="J26" s="129">
        <f t="shared" si="2"/>
        <v>4.0512866844348072E-2</v>
      </c>
      <c r="K26" s="117">
        <v>99542</v>
      </c>
      <c r="L26" s="117">
        <v>103109</v>
      </c>
      <c r="M26" s="129">
        <f t="shared" si="3"/>
        <v>3.5834120270840451E-2</v>
      </c>
      <c r="N26" s="83"/>
      <c r="O26" s="83"/>
      <c r="P26" s="106"/>
      <c r="Q26" s="84"/>
      <c r="R26" s="84"/>
      <c r="S26" s="84"/>
    </row>
    <row r="27" spans="1:19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21">
        <v>96429</v>
      </c>
      <c r="I27" s="117">
        <v>109969</v>
      </c>
      <c r="J27" s="129">
        <f t="shared" si="2"/>
        <v>0.1404141907517448</v>
      </c>
      <c r="K27" s="117">
        <v>55807</v>
      </c>
      <c r="L27" s="117">
        <v>67660</v>
      </c>
      <c r="M27" s="129">
        <f t="shared" si="3"/>
        <v>0.21239271059186124</v>
      </c>
      <c r="N27" s="83"/>
      <c r="O27" s="83"/>
      <c r="P27" s="106"/>
      <c r="Q27" s="84"/>
      <c r="R27" s="84"/>
      <c r="S27" s="84"/>
    </row>
    <row r="28" spans="1:19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21">
        <v>33608</v>
      </c>
      <c r="I28" s="117">
        <v>28288</v>
      </c>
      <c r="J28" s="129">
        <f t="shared" si="2"/>
        <v>-0.15829564389431089</v>
      </c>
      <c r="K28" s="117">
        <v>120700</v>
      </c>
      <c r="L28" s="117">
        <v>156784</v>
      </c>
      <c r="M28" s="129">
        <f t="shared" si="3"/>
        <v>0.29895608947804475</v>
      </c>
      <c r="N28" s="83"/>
      <c r="O28" s="83"/>
      <c r="P28" s="106"/>
      <c r="Q28" s="84"/>
      <c r="R28" s="84"/>
      <c r="S28" s="84"/>
    </row>
    <row r="29" spans="1:19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21">
        <v>112430</v>
      </c>
      <c r="I29" s="117">
        <v>125466</v>
      </c>
      <c r="J29" s="129">
        <f t="shared" si="2"/>
        <v>0.11594770079160366</v>
      </c>
      <c r="K29" s="117">
        <v>124973</v>
      </c>
      <c r="L29" s="117">
        <v>160397</v>
      </c>
      <c r="M29" s="129">
        <f t="shared" si="3"/>
        <v>0.28345322589679373</v>
      </c>
      <c r="N29" s="83"/>
      <c r="O29" s="83"/>
      <c r="P29" s="106"/>
      <c r="Q29" s="84"/>
      <c r="R29" s="84"/>
      <c r="S29" s="84"/>
    </row>
    <row r="30" spans="1:19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21">
        <v>5031</v>
      </c>
      <c r="I30" s="117">
        <v>3762</v>
      </c>
      <c r="J30" s="129">
        <f t="shared" si="2"/>
        <v>-0.25223613595706618</v>
      </c>
      <c r="K30" s="117">
        <v>2698</v>
      </c>
      <c r="L30" s="117">
        <v>4320</v>
      </c>
      <c r="M30" s="129">
        <f t="shared" si="3"/>
        <v>0.60118606375092665</v>
      </c>
      <c r="N30" s="83"/>
      <c r="O30" s="83"/>
      <c r="P30" s="106"/>
      <c r="Q30" s="84"/>
      <c r="R30" s="84"/>
      <c r="S30" s="84"/>
    </row>
    <row r="31" spans="1:19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123">
        <f>SUM(H23:H30)</f>
        <v>1440330</v>
      </c>
      <c r="I31" s="119">
        <f>SUM(I23:I30)</f>
        <v>1526312</v>
      </c>
      <c r="J31" s="129">
        <f t="shared" si="2"/>
        <v>5.9696041879291555E-2</v>
      </c>
      <c r="K31" s="119">
        <f>SUM(K23:K30)</f>
        <v>1475810</v>
      </c>
      <c r="L31" s="119">
        <f>SUM(L23:L30)</f>
        <v>1706264</v>
      </c>
      <c r="M31" s="129">
        <f t="shared" si="3"/>
        <v>0.15615424749798415</v>
      </c>
      <c r="N31" s="83"/>
      <c r="O31" s="83"/>
      <c r="P31" s="106"/>
      <c r="Q31" s="84"/>
      <c r="R31" s="84"/>
      <c r="S31" s="84"/>
    </row>
    <row r="32" spans="1:19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21">
        <v>16209</v>
      </c>
      <c r="I32" s="117">
        <v>16294</v>
      </c>
      <c r="J32" s="129">
        <f t="shared" si="2"/>
        <v>5.2440002467764825E-3</v>
      </c>
      <c r="K32" s="117">
        <v>15020</v>
      </c>
      <c r="L32" s="117">
        <v>5700</v>
      </c>
      <c r="M32" s="129">
        <f t="shared" si="3"/>
        <v>-0.62050599201065249</v>
      </c>
      <c r="N32" s="83"/>
      <c r="O32" s="83"/>
      <c r="P32" s="106"/>
      <c r="Q32" s="84"/>
      <c r="R32" s="84"/>
      <c r="S32" s="84"/>
    </row>
    <row r="33" spans="1:19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124">
        <v>6474630</v>
      </c>
      <c r="I33" s="120">
        <v>7408958</v>
      </c>
      <c r="J33" s="131">
        <f t="shared" si="2"/>
        <v>0.14430600667528493</v>
      </c>
      <c r="K33" s="120">
        <v>6352531</v>
      </c>
      <c r="L33" s="120">
        <v>7344516</v>
      </c>
      <c r="M33" s="131">
        <f t="shared" si="3"/>
        <v>0.15615586921181496</v>
      </c>
      <c r="N33" s="83"/>
      <c r="O33" s="83"/>
      <c r="P33" s="108"/>
      <c r="Q33" s="84"/>
      <c r="R33" s="84"/>
      <c r="S33" s="84"/>
    </row>
    <row r="34" spans="1:19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122">
        <f>+H31+H32+H33</f>
        <v>7931169</v>
      </c>
      <c r="I34" s="118">
        <f>+I31+I32+I33</f>
        <v>8951564</v>
      </c>
      <c r="J34" s="130">
        <f t="shared" si="2"/>
        <v>0.12865631787697374</v>
      </c>
      <c r="K34" s="118">
        <f>+K31+K32+K33</f>
        <v>7843361</v>
      </c>
      <c r="L34" s="118">
        <f>+L31+L32+L33</f>
        <v>9056480</v>
      </c>
      <c r="M34" s="130">
        <f t="shared" si="3"/>
        <v>0.15466826020120711</v>
      </c>
      <c r="N34" s="83"/>
      <c r="O34" s="83"/>
      <c r="P34" s="108"/>
      <c r="Q34" s="84"/>
      <c r="R34" s="84"/>
      <c r="S34" s="84"/>
    </row>
    <row r="35" spans="1:19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84"/>
      <c r="R35" s="84"/>
      <c r="S35" s="84"/>
    </row>
    <row r="36" spans="1:19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19" ht="15.75" x14ac:dyDescent="0.3">
      <c r="A37" s="78" t="s">
        <v>97</v>
      </c>
      <c r="B37" s="78"/>
      <c r="C37" s="78"/>
      <c r="D37" s="78"/>
      <c r="E37" s="78"/>
      <c r="F37" s="78"/>
      <c r="G37" s="78"/>
    </row>
    <row r="38" spans="1:19" x14ac:dyDescent="0.3">
      <c r="A38" s="79" t="s">
        <v>88</v>
      </c>
      <c r="B38" s="79"/>
      <c r="C38" s="79"/>
      <c r="D38" s="79"/>
      <c r="E38" s="79"/>
      <c r="F38" s="79"/>
      <c r="G38" s="79"/>
    </row>
    <row r="39" spans="1:19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45">
        <v>2011</v>
      </c>
      <c r="I39" s="146" t="s">
        <v>55</v>
      </c>
      <c r="J39" s="145">
        <v>2012</v>
      </c>
      <c r="K39" s="146" t="s">
        <v>55</v>
      </c>
      <c r="L39" s="147" t="s">
        <v>46</v>
      </c>
      <c r="M39" s="145" t="s">
        <v>96</v>
      </c>
      <c r="N39" s="146" t="s">
        <v>55</v>
      </c>
      <c r="O39" s="145" t="s">
        <v>95</v>
      </c>
      <c r="P39" s="146" t="s">
        <v>55</v>
      </c>
      <c r="Q39" s="147" t="s">
        <v>46</v>
      </c>
      <c r="R39" s="144"/>
    </row>
    <row r="40" spans="1:19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141">
        <v>5057382.6182662696</v>
      </c>
      <c r="I40" s="138">
        <v>1</v>
      </c>
      <c r="J40" s="132">
        <v>5305782</v>
      </c>
      <c r="K40" s="138">
        <v>1</v>
      </c>
      <c r="L40" s="129">
        <f t="shared" ref="L40:L57" si="4">IF(H40&lt;&gt;0,(J40-H40)/H40,0)</f>
        <v>4.9116193193799659E-2</v>
      </c>
      <c r="M40" s="132">
        <v>1237546</v>
      </c>
      <c r="N40" s="138">
        <v>1</v>
      </c>
      <c r="O40" s="132">
        <v>1242052</v>
      </c>
      <c r="P40" s="138">
        <v>1</v>
      </c>
      <c r="Q40" s="129">
        <f t="shared" ref="Q40:Q57" si="5">IF(M40&lt;&gt;0,(O40-M40)/M40,0)</f>
        <v>3.6410767761359984E-3</v>
      </c>
      <c r="R40" s="111"/>
      <c r="S40" s="85"/>
    </row>
    <row r="41" spans="1:19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142">
        <v>-3030201.8461819952</v>
      </c>
      <c r="I41" s="129">
        <f>+H41/$H$40</f>
        <v>-0.59916404885750651</v>
      </c>
      <c r="J41" s="133">
        <v>-3064460</v>
      </c>
      <c r="K41" s="129">
        <f t="shared" ref="K41:K59" si="6">+J41/$J$40</f>
        <v>-0.57756990392745122</v>
      </c>
      <c r="L41" s="129">
        <f t="shared" si="4"/>
        <v>1.1305568261457394E-2</v>
      </c>
      <c r="M41" s="133">
        <v>-724520</v>
      </c>
      <c r="N41" s="129">
        <f>+M41/$M$40</f>
        <v>-0.58544894492810773</v>
      </c>
      <c r="O41" s="133">
        <v>-682801</v>
      </c>
      <c r="P41" s="129">
        <f>+O41/$O$40</f>
        <v>-0.54973624292702716</v>
      </c>
      <c r="Q41" s="129">
        <f t="shared" si="5"/>
        <v>-5.7581571247170539E-2</v>
      </c>
      <c r="R41" s="101"/>
    </row>
    <row r="42" spans="1:19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123">
        <f>SUM(H40:H41)</f>
        <v>2027180.7720842743</v>
      </c>
      <c r="I42" s="138">
        <f t="shared" ref="I42:I59" si="7">+H42/$H$40</f>
        <v>0.40083595114249349</v>
      </c>
      <c r="J42" s="134">
        <f>SUM(J40:J41)</f>
        <v>2241322</v>
      </c>
      <c r="K42" s="138">
        <f t="shared" si="6"/>
        <v>0.42243009607254878</v>
      </c>
      <c r="L42" s="129">
        <f t="shared" si="4"/>
        <v>0.10563499361507526</v>
      </c>
      <c r="M42" s="134">
        <f>SUM(M40:M41)</f>
        <v>513026</v>
      </c>
      <c r="N42" s="138">
        <f t="shared" ref="N42:N59" si="8">+M42/$M$40</f>
        <v>0.41455105507189227</v>
      </c>
      <c r="O42" s="134">
        <f>SUM(O40:O41)</f>
        <v>559251</v>
      </c>
      <c r="P42" s="138">
        <f t="shared" ref="P42:P59" si="9">+O42/$O$40</f>
        <v>0.45026375707297278</v>
      </c>
      <c r="Q42" s="129">
        <f t="shared" si="5"/>
        <v>9.0102645869799977E-2</v>
      </c>
      <c r="R42" s="111"/>
      <c r="S42" s="85"/>
    </row>
    <row r="43" spans="1:19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121">
        <v>-250061.17590559012</v>
      </c>
      <c r="I43" s="129">
        <f t="shared" si="7"/>
        <v>-4.9444780982640789E-2</v>
      </c>
      <c r="J43" s="135">
        <v>-270303</v>
      </c>
      <c r="K43" s="129">
        <f t="shared" si="6"/>
        <v>-5.0944987939572341E-2</v>
      </c>
      <c r="L43" s="129">
        <f t="shared" si="4"/>
        <v>8.0947488234047668E-2</v>
      </c>
      <c r="M43" s="135">
        <v>-59529</v>
      </c>
      <c r="N43" s="129">
        <f t="shared" si="8"/>
        <v>-4.8102454373413192E-2</v>
      </c>
      <c r="O43" s="135">
        <v>-64873</v>
      </c>
      <c r="P43" s="129">
        <f t="shared" si="9"/>
        <v>-5.223050242662948E-2</v>
      </c>
      <c r="Q43" s="129">
        <f t="shared" si="5"/>
        <v>8.9771371936367153E-2</v>
      </c>
      <c r="R43" s="101"/>
    </row>
    <row r="44" spans="1:19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121">
        <v>-1221301.5797654777</v>
      </c>
      <c r="I44" s="129">
        <f t="shared" si="7"/>
        <v>-0.24148886330141939</v>
      </c>
      <c r="J44" s="135">
        <v>-1326976</v>
      </c>
      <c r="K44" s="129">
        <f t="shared" si="6"/>
        <v>-0.25009998526136201</v>
      </c>
      <c r="L44" s="129">
        <f t="shared" si="4"/>
        <v>8.6526065294056695E-2</v>
      </c>
      <c r="M44" s="135">
        <v>-305689</v>
      </c>
      <c r="N44" s="129">
        <f t="shared" si="8"/>
        <v>-0.24701223227257815</v>
      </c>
      <c r="O44" s="135">
        <v>-325559</v>
      </c>
      <c r="P44" s="129">
        <f t="shared" si="9"/>
        <v>-0.26211382454196763</v>
      </c>
      <c r="Q44" s="129">
        <f t="shared" si="5"/>
        <v>6.500070332920059E-2</v>
      </c>
      <c r="R44" s="101"/>
    </row>
    <row r="45" spans="1:19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121">
        <v>-123323</v>
      </c>
      <c r="I45" s="129">
        <f t="shared" si="7"/>
        <v>-2.4384747864356085E-2</v>
      </c>
      <c r="J45" s="135">
        <v>-122931</v>
      </c>
      <c r="K45" s="129">
        <f t="shared" si="6"/>
        <v>-2.3169251959466106E-2</v>
      </c>
      <c r="L45" s="129">
        <f t="shared" si="4"/>
        <v>-3.178644697258419E-3</v>
      </c>
      <c r="M45" s="135">
        <v>-33091</v>
      </c>
      <c r="N45" s="129">
        <f t="shared" si="8"/>
        <v>-2.6739208077921951E-2</v>
      </c>
      <c r="O45" s="135">
        <v>-27738</v>
      </c>
      <c r="P45" s="129">
        <f t="shared" si="9"/>
        <v>-2.2332398321487344E-2</v>
      </c>
      <c r="Q45" s="129">
        <f t="shared" si="5"/>
        <v>-0.16176603910428816</v>
      </c>
      <c r="R45" s="101"/>
    </row>
    <row r="46" spans="1:19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123">
        <f>SUM(H43:H45)</f>
        <v>-1594685.7556710679</v>
      </c>
      <c r="I46" s="138">
        <f t="shared" si="7"/>
        <v>-0.31531839214841628</v>
      </c>
      <c r="J46" s="134">
        <f>SUM(J43:J45)</f>
        <v>-1720210</v>
      </c>
      <c r="K46" s="138">
        <f t="shared" si="6"/>
        <v>-0.32421422516040049</v>
      </c>
      <c r="L46" s="129">
        <f t="shared" si="4"/>
        <v>7.8714093910062954E-2</v>
      </c>
      <c r="M46" s="134">
        <f>SUM(M43:M45)</f>
        <v>-398309</v>
      </c>
      <c r="N46" s="138">
        <f t="shared" si="8"/>
        <v>-0.32185389472391329</v>
      </c>
      <c r="O46" s="134">
        <f>SUM(O43:O45)</f>
        <v>-418170</v>
      </c>
      <c r="P46" s="138">
        <f t="shared" si="9"/>
        <v>-0.33667672529008447</v>
      </c>
      <c r="Q46" s="129">
        <f t="shared" si="5"/>
        <v>4.9863297088441387E-2</v>
      </c>
      <c r="R46" s="111"/>
      <c r="S46" s="85"/>
    </row>
    <row r="47" spans="1:19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123">
        <f>+H42+H46</f>
        <v>432495.01641320647</v>
      </c>
      <c r="I47" s="138">
        <f t="shared" si="7"/>
        <v>8.5517558994077231E-2</v>
      </c>
      <c r="J47" s="134">
        <f>+J42+J46</f>
        <v>521112</v>
      </c>
      <c r="K47" s="138">
        <f t="shared" si="6"/>
        <v>9.8215870912148298E-2</v>
      </c>
      <c r="L47" s="129">
        <f t="shared" si="4"/>
        <v>0.2048971207153257</v>
      </c>
      <c r="M47" s="134">
        <f>+M42+M46</f>
        <v>114717</v>
      </c>
      <c r="N47" s="138">
        <f t="shared" si="8"/>
        <v>9.269716034797898E-2</v>
      </c>
      <c r="O47" s="134">
        <f>+O42+O46</f>
        <v>141081</v>
      </c>
      <c r="P47" s="138">
        <f t="shared" si="9"/>
        <v>0.11358703178288831</v>
      </c>
      <c r="Q47" s="129">
        <f t="shared" si="5"/>
        <v>0.22981772535892675</v>
      </c>
      <c r="R47" s="111"/>
      <c r="S47" s="85"/>
    </row>
    <row r="48" spans="1:19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121">
        <v>7592</v>
      </c>
      <c r="I48" s="129">
        <f t="shared" si="7"/>
        <v>1.5011717667117357E-3</v>
      </c>
      <c r="J48" s="135">
        <v>12296</v>
      </c>
      <c r="K48" s="129">
        <f t="shared" si="6"/>
        <v>2.3174717694771476E-3</v>
      </c>
      <c r="L48" s="129">
        <f t="shared" si="4"/>
        <v>0.61959957850368808</v>
      </c>
      <c r="M48" s="135">
        <v>2281</v>
      </c>
      <c r="N48" s="129">
        <f t="shared" si="8"/>
        <v>1.843163809668489E-3</v>
      </c>
      <c r="O48" s="135">
        <v>2375</v>
      </c>
      <c r="P48" s="129">
        <f t="shared" si="9"/>
        <v>1.912158267125692E-3</v>
      </c>
      <c r="Q48" s="129">
        <f t="shared" si="5"/>
        <v>4.1209995615957916E-2</v>
      </c>
      <c r="R48" s="101"/>
    </row>
    <row r="49" spans="1:19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121">
        <v>-84666</v>
      </c>
      <c r="I49" s="129">
        <f t="shared" si="7"/>
        <v>-1.6741070706061095E-2</v>
      </c>
      <c r="J49" s="135">
        <v>-70722</v>
      </c>
      <c r="K49" s="129">
        <f t="shared" si="6"/>
        <v>-1.3329232147117993E-2</v>
      </c>
      <c r="L49" s="129">
        <f t="shared" si="4"/>
        <v>-0.16469421019063143</v>
      </c>
      <c r="M49" s="135">
        <v>-18188</v>
      </c>
      <c r="N49" s="129">
        <f t="shared" si="8"/>
        <v>-1.4696827431061148E-2</v>
      </c>
      <c r="O49" s="135">
        <v>-16818</v>
      </c>
      <c r="P49" s="129">
        <f t="shared" si="9"/>
        <v>-1.3540495889061005E-2</v>
      </c>
      <c r="Q49" s="129">
        <f t="shared" si="5"/>
        <v>-7.5324389707499453E-2</v>
      </c>
      <c r="R49" s="101"/>
    </row>
    <row r="50" spans="1:19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121">
        <v>-3636</v>
      </c>
      <c r="I50" s="129">
        <f t="shared" si="7"/>
        <v>-7.1894896519545195E-4</v>
      </c>
      <c r="J50" s="135">
        <v>1782</v>
      </c>
      <c r="K50" s="129">
        <f t="shared" si="6"/>
        <v>3.3586001083346433E-4</v>
      </c>
      <c r="L50" s="129">
        <f t="shared" si="4"/>
        <v>-1.4900990099009901</v>
      </c>
      <c r="M50" s="135">
        <v>-1259</v>
      </c>
      <c r="N50" s="129">
        <f t="shared" si="8"/>
        <v>-1.0173359212506041E-3</v>
      </c>
      <c r="O50" s="135">
        <v>-1758</v>
      </c>
      <c r="P50" s="129">
        <f t="shared" si="9"/>
        <v>-1.4153996773081964E-3</v>
      </c>
      <c r="Q50" s="129">
        <f t="shared" si="5"/>
        <v>0.39634630659253378</v>
      </c>
      <c r="R50" s="101"/>
    </row>
    <row r="51" spans="1:19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121">
        <v>-26933</v>
      </c>
      <c r="I51" s="129">
        <f t="shared" si="7"/>
        <v>-5.3254819800905139E-3</v>
      </c>
      <c r="J51" s="135">
        <v>-13536</v>
      </c>
      <c r="K51" s="129">
        <f t="shared" si="6"/>
        <v>-2.5511790721895471E-3</v>
      </c>
      <c r="L51" s="129">
        <f t="shared" si="4"/>
        <v>-0.49741952251884308</v>
      </c>
      <c r="M51" s="135">
        <v>-5552</v>
      </c>
      <c r="N51" s="129">
        <f t="shared" si="8"/>
        <v>-4.4862978830685889E-3</v>
      </c>
      <c r="O51" s="135">
        <v>-7981</v>
      </c>
      <c r="P51" s="129">
        <f t="shared" si="9"/>
        <v>-6.4256568968126936E-3</v>
      </c>
      <c r="Q51" s="129">
        <f t="shared" si="5"/>
        <v>0.4375</v>
      </c>
      <c r="R51" s="101"/>
    </row>
    <row r="52" spans="1:19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121">
        <v>33531</v>
      </c>
      <c r="I52" s="129">
        <f t="shared" si="7"/>
        <v>6.6301093927306652E-3</v>
      </c>
      <c r="J52" s="135">
        <v>35188</v>
      </c>
      <c r="K52" s="129">
        <f t="shared" si="6"/>
        <v>6.6320101353579929E-3</v>
      </c>
      <c r="L52" s="129">
        <f t="shared" si="4"/>
        <v>4.9416957442366766E-2</v>
      </c>
      <c r="M52" s="135">
        <v>8296</v>
      </c>
      <c r="N52" s="129">
        <f t="shared" si="8"/>
        <v>6.7035891999166096E-3</v>
      </c>
      <c r="O52" s="135">
        <v>8803</v>
      </c>
      <c r="P52" s="129">
        <f t="shared" si="9"/>
        <v>7.0874649370557758E-3</v>
      </c>
      <c r="Q52" s="129">
        <f t="shared" si="5"/>
        <v>6.1113789778206362E-2</v>
      </c>
      <c r="R52" s="101"/>
    </row>
    <row r="53" spans="1:19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121">
        <v>11185</v>
      </c>
      <c r="I53" s="129">
        <f t="shared" si="7"/>
        <v>2.2116183101515761E-3</v>
      </c>
      <c r="J53" s="135">
        <v>0</v>
      </c>
      <c r="K53" s="129">
        <f t="shared" si="6"/>
        <v>0</v>
      </c>
      <c r="L53" s="129">
        <f t="shared" si="4"/>
        <v>-1</v>
      </c>
      <c r="M53" s="135">
        <v>-1</v>
      </c>
      <c r="N53" s="129">
        <f t="shared" si="8"/>
        <v>-8.0805077144607146E-7</v>
      </c>
      <c r="O53" s="135">
        <v>0</v>
      </c>
      <c r="P53" s="129">
        <f t="shared" si="9"/>
        <v>0</v>
      </c>
      <c r="Q53" s="129">
        <f t="shared" si="5"/>
        <v>-1</v>
      </c>
      <c r="R53" s="101"/>
    </row>
    <row r="54" spans="1:19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123">
        <f>SUM(H48:H53)</f>
        <v>-62927</v>
      </c>
      <c r="I54" s="138">
        <f t="shared" si="7"/>
        <v>-1.2442602181753082E-2</v>
      </c>
      <c r="J54" s="134">
        <f>SUM(J48:J53)</f>
        <v>-34992</v>
      </c>
      <c r="K54" s="138">
        <f t="shared" si="6"/>
        <v>-6.5950693036389355E-3</v>
      </c>
      <c r="L54" s="129">
        <f t="shared" si="4"/>
        <v>-0.44392709012029813</v>
      </c>
      <c r="M54" s="134">
        <f>SUM(M48:M53)</f>
        <v>-14423</v>
      </c>
      <c r="N54" s="138">
        <f t="shared" si="8"/>
        <v>-1.165451627656669E-2</v>
      </c>
      <c r="O54" s="134">
        <f>SUM(O48:O53)</f>
        <v>-15379</v>
      </c>
      <c r="P54" s="138">
        <f t="shared" si="9"/>
        <v>-1.2381929259000429E-2</v>
      </c>
      <c r="Q54" s="129">
        <f t="shared" si="5"/>
        <v>6.6283020176107613E-2</v>
      </c>
      <c r="R54" s="111"/>
      <c r="S54" s="85"/>
    </row>
    <row r="55" spans="1:19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123">
        <f>+H47+H54</f>
        <v>369568.01641320647</v>
      </c>
      <c r="I55" s="138">
        <f t="shared" si="7"/>
        <v>7.3074956812324149E-2</v>
      </c>
      <c r="J55" s="134">
        <f>+J47+J54</f>
        <v>486120</v>
      </c>
      <c r="K55" s="138">
        <f t="shared" si="6"/>
        <v>9.1620801608509356E-2</v>
      </c>
      <c r="L55" s="129">
        <f t="shared" si="4"/>
        <v>0.31537356700391284</v>
      </c>
      <c r="M55" s="134">
        <f>+M47+M54</f>
        <v>100294</v>
      </c>
      <c r="N55" s="138">
        <f t="shared" si="8"/>
        <v>8.104264407141229E-2</v>
      </c>
      <c r="O55" s="134">
        <f>+O47+O54</f>
        <v>125702</v>
      </c>
      <c r="P55" s="138">
        <f t="shared" si="9"/>
        <v>0.10120510252388788</v>
      </c>
      <c r="Q55" s="129">
        <f t="shared" si="5"/>
        <v>0.25333519452808745</v>
      </c>
      <c r="R55" s="111"/>
      <c r="S55" s="85"/>
    </row>
    <row r="56" spans="1:19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121">
        <v>-113919.04882074999</v>
      </c>
      <c r="I56" s="129">
        <f t="shared" si="7"/>
        <v>-2.2525297652840587E-2</v>
      </c>
      <c r="J56" s="135">
        <v>-138457</v>
      </c>
      <c r="K56" s="129">
        <f t="shared" si="6"/>
        <v>-2.609549355778281E-2</v>
      </c>
      <c r="L56" s="129">
        <f t="shared" si="4"/>
        <v>0.21539813958471626</v>
      </c>
      <c r="M56" s="135">
        <v>-39773</v>
      </c>
      <c r="N56" s="129">
        <f t="shared" si="8"/>
        <v>-3.21386033327246E-2</v>
      </c>
      <c r="O56" s="135">
        <v>-46692</v>
      </c>
      <c r="P56" s="129">
        <f t="shared" si="9"/>
        <v>-3.7592628972055918E-2</v>
      </c>
      <c r="Q56" s="129">
        <f t="shared" si="5"/>
        <v>0.17396223568752672</v>
      </c>
      <c r="R56" s="101"/>
    </row>
    <row r="57" spans="1:19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121">
        <v>-2137.6216936399992</v>
      </c>
      <c r="I57" s="129">
        <f t="shared" si="7"/>
        <v>-4.2267351612261463E-4</v>
      </c>
      <c r="J57" s="135">
        <v>-2156</v>
      </c>
      <c r="K57" s="129">
        <f t="shared" si="6"/>
        <v>-4.0634914890962348E-4</v>
      </c>
      <c r="L57" s="129">
        <f t="shared" si="4"/>
        <v>8.5975485815292865E-3</v>
      </c>
      <c r="M57" s="135">
        <v>-917</v>
      </c>
      <c r="N57" s="129">
        <f t="shared" si="8"/>
        <v>-7.4098255741604751E-4</v>
      </c>
      <c r="O57" s="135">
        <v>276</v>
      </c>
      <c r="P57" s="129">
        <f t="shared" si="9"/>
        <v>2.2221291862176463E-4</v>
      </c>
      <c r="Q57" s="129">
        <f t="shared" si="5"/>
        <v>-1.3009814612868047</v>
      </c>
      <c r="R57" s="101"/>
    </row>
    <row r="58" spans="1:19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143">
        <f>+H55+H56+H57</f>
        <v>253511.34589881651</v>
      </c>
      <c r="I58" s="139">
        <f t="shared" si="7"/>
        <v>5.0126985643360954E-2</v>
      </c>
      <c r="J58" s="136">
        <f>+J55+J56+J57</f>
        <v>345507</v>
      </c>
      <c r="K58" s="139">
        <f t="shared" si="6"/>
        <v>6.5118958901816917E-2</v>
      </c>
      <c r="L58" s="139">
        <f>+(J58-H58)/H58</f>
        <v>0.36288574688843134</v>
      </c>
      <c r="M58" s="136">
        <f>+M55+M56+M57</f>
        <v>59604</v>
      </c>
      <c r="N58" s="139">
        <f t="shared" si="8"/>
        <v>4.8163058181271645E-2</v>
      </c>
      <c r="O58" s="136">
        <f>+O55+O56+O57</f>
        <v>79286</v>
      </c>
      <c r="P58" s="139">
        <f t="shared" si="9"/>
        <v>6.3834686470453733E-2</v>
      </c>
      <c r="Q58" s="139">
        <f>+(O58-M58)/M58</f>
        <v>0.33021273740017448</v>
      </c>
      <c r="R58" s="111"/>
      <c r="S58" s="85"/>
    </row>
    <row r="59" spans="1:19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122">
        <v>568131.17041880696</v>
      </c>
      <c r="I59" s="140">
        <f t="shared" si="7"/>
        <v>0.11233699589325694</v>
      </c>
      <c r="J59" s="137">
        <v>671095</v>
      </c>
      <c r="K59" s="140">
        <f t="shared" si="6"/>
        <v>0.1264837115433691</v>
      </c>
      <c r="L59" s="130">
        <f>+(J59-H59)/H59</f>
        <v>0.18123249513891593</v>
      </c>
      <c r="M59" s="137">
        <v>150246</v>
      </c>
      <c r="N59" s="140">
        <f t="shared" si="8"/>
        <v>0.12140639620668646</v>
      </c>
      <c r="O59" s="137">
        <v>179705</v>
      </c>
      <c r="P59" s="140">
        <f t="shared" si="9"/>
        <v>0.14468395848160948</v>
      </c>
      <c r="Q59" s="130">
        <f>+(O59-M59)/M59</f>
        <v>0.19607177562131436</v>
      </c>
      <c r="R59" s="111"/>
      <c r="S59" s="85"/>
    </row>
    <row r="60" spans="1:19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19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19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19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19" s="85" customFormat="1" x14ac:dyDescent="0.3">
      <c r="H64" s="81"/>
      <c r="I64" s="81"/>
      <c r="J64" s="81"/>
      <c r="K64" s="81"/>
      <c r="L64" s="89"/>
      <c r="M64" s="82"/>
      <c r="N64" s="101"/>
      <c r="O64" s="101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activeCell="A4" sqref="A4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19" x14ac:dyDescent="0.3">
      <c r="M1" s="75"/>
      <c r="N1" s="76"/>
      <c r="O1" s="76"/>
    </row>
    <row r="2" spans="1:19" x14ac:dyDescent="0.3">
      <c r="M2" s="75"/>
      <c r="N2" s="76"/>
      <c r="O2" s="76"/>
    </row>
    <row r="3" spans="1:19" x14ac:dyDescent="0.3">
      <c r="M3" s="75"/>
      <c r="N3" s="76"/>
      <c r="O3" s="76"/>
    </row>
    <row r="4" spans="1:19" x14ac:dyDescent="0.3">
      <c r="M4" s="75"/>
      <c r="N4" s="76"/>
      <c r="O4" s="76"/>
    </row>
    <row r="5" spans="1:19" x14ac:dyDescent="0.3">
      <c r="M5" s="75"/>
      <c r="N5" s="76"/>
      <c r="O5" s="76"/>
    </row>
    <row r="6" spans="1:19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19" ht="15.75" x14ac:dyDescent="0.3">
      <c r="A7" s="78" t="s">
        <v>102</v>
      </c>
      <c r="B7" s="78"/>
      <c r="C7" s="78"/>
      <c r="D7" s="78"/>
      <c r="E7" s="78"/>
      <c r="F7" s="78"/>
      <c r="G7" s="78"/>
      <c r="M7" s="75"/>
      <c r="N7" s="76"/>
      <c r="O7" s="76"/>
    </row>
    <row r="8" spans="1:19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19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19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56">
        <v>2011</v>
      </c>
      <c r="I10" s="156">
        <v>2012</v>
      </c>
      <c r="J10" s="145">
        <v>2012</v>
      </c>
      <c r="K10" s="145">
        <v>2013</v>
      </c>
      <c r="L10" s="158" t="s">
        <v>46</v>
      </c>
    </row>
    <row r="11" spans="1:19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81">
        <v>94</v>
      </c>
      <c r="I11" s="81">
        <v>75</v>
      </c>
      <c r="J11" s="135">
        <v>209</v>
      </c>
      <c r="K11" s="135">
        <v>54</v>
      </c>
      <c r="L11" s="129">
        <f t="shared" ref="L11:L17" si="0">IF(J11&lt;&gt;0,(K11-J11)/J11,0)</f>
        <v>-0.74162679425837319</v>
      </c>
    </row>
    <row r="12" spans="1:19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81">
        <v>3554895</v>
      </c>
      <c r="I12" s="81">
        <v>3748345</v>
      </c>
      <c r="J12" s="135">
        <v>3600105</v>
      </c>
      <c r="K12" s="135">
        <v>3874040</v>
      </c>
      <c r="L12" s="129">
        <f t="shared" si="0"/>
        <v>7.6090836239498569E-2</v>
      </c>
    </row>
    <row r="13" spans="1:19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81">
        <v>10662</v>
      </c>
      <c r="I13" s="81">
        <v>14922</v>
      </c>
      <c r="J13" s="135">
        <v>31083</v>
      </c>
      <c r="K13" s="135">
        <v>38038</v>
      </c>
      <c r="L13" s="129">
        <f t="shared" si="0"/>
        <v>0.22375575073191134</v>
      </c>
      <c r="Q13" s="85"/>
      <c r="R13" s="85"/>
      <c r="S13" s="85"/>
    </row>
    <row r="14" spans="1:19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81">
        <v>0</v>
      </c>
      <c r="I14" s="81">
        <v>0</v>
      </c>
      <c r="J14" s="135">
        <v>0</v>
      </c>
      <c r="K14" s="135">
        <v>0</v>
      </c>
      <c r="L14" s="129">
        <f t="shared" si="0"/>
        <v>0</v>
      </c>
      <c r="Q14" s="85"/>
      <c r="R14" s="85"/>
      <c r="S14" s="85"/>
    </row>
    <row r="15" spans="1:19" s="89" customFormat="1" x14ac:dyDescent="0.3">
      <c r="A15" s="88" t="s">
        <v>59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81">
        <f>503+155</f>
        <v>658</v>
      </c>
      <c r="I15" s="81">
        <v>118</v>
      </c>
      <c r="J15" s="135">
        <v>686</v>
      </c>
      <c r="K15" s="135">
        <v>4843</v>
      </c>
      <c r="L15" s="129">
        <f t="shared" si="0"/>
        <v>6.0597667638483967</v>
      </c>
      <c r="Q15" s="85"/>
      <c r="R15" s="85"/>
      <c r="S15" s="85"/>
    </row>
    <row r="16" spans="1:19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81">
        <v>2979150</v>
      </c>
      <c r="I16" s="81">
        <v>3733696</v>
      </c>
      <c r="J16" s="135">
        <v>2941364</v>
      </c>
      <c r="K16" s="135">
        <v>3555923</v>
      </c>
      <c r="L16" s="129">
        <f t="shared" si="0"/>
        <v>0.20893673819357278</v>
      </c>
      <c r="Q16" s="85"/>
      <c r="R16" s="85"/>
      <c r="S16" s="85"/>
    </row>
    <row r="17" spans="1:19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1">SUM(F11:F16)</f>
        <v>5514960</v>
      </c>
      <c r="G17" s="91">
        <f t="shared" si="1"/>
        <v>6403741</v>
      </c>
      <c r="H17" s="91">
        <f>SUM(H11:H16)</f>
        <v>6545459</v>
      </c>
      <c r="I17" s="91">
        <f>SUM(I11:I16)</f>
        <v>7497156</v>
      </c>
      <c r="J17" s="137">
        <f>SUM(J11:J16)</f>
        <v>6573447</v>
      </c>
      <c r="K17" s="137">
        <f>SUM(K11:K16)</f>
        <v>7472898</v>
      </c>
      <c r="L17" s="159">
        <f t="shared" si="0"/>
        <v>0.13683095033701495</v>
      </c>
      <c r="Q17" s="85"/>
      <c r="R17" s="85"/>
      <c r="S17" s="85"/>
    </row>
    <row r="18" spans="1:19" s="85" customFormat="1" x14ac:dyDescent="0.3">
      <c r="B18" s="81"/>
      <c r="C18" s="81"/>
      <c r="D18" s="81"/>
      <c r="E18" s="81"/>
      <c r="F18" s="81"/>
      <c r="G18" s="81"/>
      <c r="H18" s="81"/>
      <c r="I18" s="81"/>
      <c r="J18" s="135"/>
      <c r="K18" s="135"/>
      <c r="L18" s="129"/>
    </row>
    <row r="19" spans="1:19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86">
        <v>2011</v>
      </c>
      <c r="I19" s="86">
        <v>2012</v>
      </c>
      <c r="J19" s="161" t="s">
        <v>99</v>
      </c>
      <c r="K19" s="161" t="s">
        <v>100</v>
      </c>
      <c r="L19" s="162" t="s">
        <v>46</v>
      </c>
      <c r="Q19" s="85"/>
      <c r="R19" s="85"/>
      <c r="S19" s="85"/>
    </row>
    <row r="20" spans="1:19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81">
        <v>0</v>
      </c>
      <c r="I20" s="81">
        <v>7</v>
      </c>
      <c r="J20" s="135">
        <v>0</v>
      </c>
      <c r="K20" s="135">
        <v>0</v>
      </c>
      <c r="L20" s="129">
        <f t="shared" ref="L20:L28" si="2">IF(J20&lt;&gt;0,(K20-J20)/J20,0)</f>
        <v>0</v>
      </c>
      <c r="Q20" s="85"/>
      <c r="R20" s="85"/>
      <c r="S20" s="85"/>
    </row>
    <row r="21" spans="1:19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81">
        <v>59466</v>
      </c>
      <c r="I21" s="81">
        <v>65082</v>
      </c>
      <c r="J21" s="135">
        <v>145568</v>
      </c>
      <c r="K21" s="135">
        <v>174106</v>
      </c>
      <c r="L21" s="129">
        <f t="shared" si="2"/>
        <v>0.19604583424928557</v>
      </c>
      <c r="Q21" s="85"/>
      <c r="R21" s="85"/>
      <c r="S21" s="85"/>
    </row>
    <row r="22" spans="1:19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81">
        <v>585</v>
      </c>
      <c r="I22" s="81">
        <v>657</v>
      </c>
      <c r="J22" s="135">
        <v>1442</v>
      </c>
      <c r="K22" s="135">
        <v>1200</v>
      </c>
      <c r="L22" s="129">
        <f t="shared" si="2"/>
        <v>-0.16782246879334259</v>
      </c>
    </row>
    <row r="23" spans="1:19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81">
        <v>872</v>
      </c>
      <c r="I23" s="81">
        <v>481</v>
      </c>
      <c r="J23" s="135">
        <v>182</v>
      </c>
      <c r="K23" s="135">
        <v>112</v>
      </c>
      <c r="L23" s="129">
        <f t="shared" si="2"/>
        <v>-0.38461538461538464</v>
      </c>
    </row>
    <row r="24" spans="1:19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81">
        <v>0</v>
      </c>
      <c r="I24" s="81">
        <v>0</v>
      </c>
      <c r="J24" s="135">
        <v>524</v>
      </c>
      <c r="K24" s="135">
        <v>1718</v>
      </c>
      <c r="L24" s="129">
        <f t="shared" si="2"/>
        <v>2.2786259541984735</v>
      </c>
    </row>
    <row r="25" spans="1:19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81">
        <v>8296</v>
      </c>
      <c r="I25" s="81">
        <v>8803</v>
      </c>
      <c r="J25" s="135">
        <v>26456</v>
      </c>
      <c r="K25" s="135">
        <v>30384</v>
      </c>
      <c r="L25" s="129">
        <f t="shared" si="2"/>
        <v>0.14847293619594798</v>
      </c>
    </row>
    <row r="26" spans="1:19" s="95" customFormat="1" x14ac:dyDescent="0.3">
      <c r="A26" s="93" t="s">
        <v>33</v>
      </c>
      <c r="B26" s="80">
        <f t="shared" ref="B26:G26" si="3">SUM(B20:B25)</f>
        <v>43329</v>
      </c>
      <c r="C26" s="80">
        <f t="shared" si="3"/>
        <v>63235</v>
      </c>
      <c r="D26" s="80">
        <f t="shared" si="3"/>
        <v>73581</v>
      </c>
      <c r="E26" s="80">
        <f t="shared" si="3"/>
        <v>83903</v>
      </c>
      <c r="F26" s="80">
        <f t="shared" si="3"/>
        <v>115757</v>
      </c>
      <c r="G26" s="80">
        <f t="shared" si="3"/>
        <v>80066</v>
      </c>
      <c r="H26" s="80">
        <f>SUM(H20:H25)</f>
        <v>69219</v>
      </c>
      <c r="I26" s="80">
        <f>SUM(I20:I25)</f>
        <v>75030</v>
      </c>
      <c r="J26" s="134">
        <f>SUM(J20:J25)</f>
        <v>174172</v>
      </c>
      <c r="K26" s="134">
        <f>SUM(K20:K25)</f>
        <v>207520</v>
      </c>
      <c r="L26" s="138">
        <f t="shared" si="2"/>
        <v>0.19146590726408377</v>
      </c>
      <c r="Q26" s="85"/>
      <c r="R26" s="85"/>
      <c r="S26" s="85"/>
    </row>
    <row r="27" spans="1:19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97">
        <v>6476240</v>
      </c>
      <c r="I27" s="97">
        <v>7422126</v>
      </c>
      <c r="J27" s="163">
        <v>6399275</v>
      </c>
      <c r="K27" s="163">
        <v>7265378</v>
      </c>
      <c r="L27" s="131">
        <f t="shared" si="2"/>
        <v>0.13534392567908082</v>
      </c>
      <c r="Q27" s="85"/>
      <c r="R27" s="85"/>
      <c r="S27" s="85"/>
    </row>
    <row r="28" spans="1:19" s="95" customFormat="1" ht="15.75" thickBot="1" x14ac:dyDescent="0.35">
      <c r="A28" s="90" t="s">
        <v>35</v>
      </c>
      <c r="B28" s="91">
        <f t="shared" ref="B28:G28" si="4">+B26+B27</f>
        <v>3744102</v>
      </c>
      <c r="C28" s="91">
        <f t="shared" si="4"/>
        <v>4028640</v>
      </c>
      <c r="D28" s="91">
        <f t="shared" si="4"/>
        <v>4241740</v>
      </c>
      <c r="E28" s="91">
        <f t="shared" si="4"/>
        <v>3957512</v>
      </c>
      <c r="F28" s="91">
        <f t="shared" si="4"/>
        <v>5514960</v>
      </c>
      <c r="G28" s="91">
        <f t="shared" si="4"/>
        <v>6403741</v>
      </c>
      <c r="H28" s="91">
        <f>+H26+H27</f>
        <v>6545459</v>
      </c>
      <c r="I28" s="91">
        <f>+I26+I27</f>
        <v>7497156</v>
      </c>
      <c r="J28" s="137">
        <f>+J26+J27</f>
        <v>6573447</v>
      </c>
      <c r="K28" s="137">
        <f>+K26+K27</f>
        <v>7472898</v>
      </c>
      <c r="L28" s="130">
        <f t="shared" si="2"/>
        <v>0.13683095033701495</v>
      </c>
      <c r="Q28" s="85"/>
      <c r="R28" s="85"/>
      <c r="S28" s="85"/>
    </row>
    <row r="29" spans="1:19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81">
        <f>435123458+25000000</f>
        <v>460123458</v>
      </c>
      <c r="I29" s="81">
        <f>435123458+25000000</f>
        <v>460123458</v>
      </c>
      <c r="J29" s="135">
        <f>435123458+25000000</f>
        <v>460123458</v>
      </c>
      <c r="K29" s="135">
        <f>435123458+25000000</f>
        <v>460123458</v>
      </c>
      <c r="L29" s="129"/>
    </row>
    <row r="30" spans="1:19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5">+F27/+(F29/1000000)</f>
        <v>12408.439261851976</v>
      </c>
      <c r="G30" s="100">
        <f t="shared" si="5"/>
        <v>14533.059258781675</v>
      </c>
      <c r="H30" s="100">
        <f>+H27/+(H29/1000000)</f>
        <v>14075.005060924323</v>
      </c>
      <c r="I30" s="100">
        <f>+I27/+(I29/1000000)</f>
        <v>16130.727244947375</v>
      </c>
      <c r="J30" s="165">
        <f>+J27/+(J29/1000000)</f>
        <v>13907.73473670625</v>
      </c>
      <c r="K30" s="165">
        <f>+K27/+(K29/1000000)</f>
        <v>15790.062153275392</v>
      </c>
      <c r="L30" s="129"/>
    </row>
    <row r="31" spans="1:19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N31" s="107"/>
    </row>
    <row r="32" spans="1:19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N32" s="107"/>
    </row>
    <row r="33" spans="1:17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109"/>
      <c r="O33" s="76"/>
    </row>
    <row r="34" spans="1:17" ht="15.75" x14ac:dyDescent="0.3">
      <c r="A34" s="78" t="s">
        <v>103</v>
      </c>
      <c r="B34" s="78"/>
      <c r="C34" s="78"/>
      <c r="D34" s="78"/>
      <c r="E34" s="78"/>
      <c r="F34" s="78"/>
      <c r="G34" s="78"/>
      <c r="M34" s="75"/>
      <c r="N34" s="109"/>
      <c r="O34" s="76"/>
    </row>
    <row r="35" spans="1:17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109"/>
      <c r="O35" s="76"/>
    </row>
    <row r="36" spans="1:17" s="85" customFormat="1" x14ac:dyDescent="0.3">
      <c r="H36" s="81"/>
      <c r="I36" s="81"/>
      <c r="J36" s="81"/>
      <c r="K36" s="81"/>
      <c r="L36" s="82"/>
      <c r="N36" s="107"/>
    </row>
    <row r="37" spans="1:17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56">
        <v>2011</v>
      </c>
      <c r="I37" s="156">
        <v>2012</v>
      </c>
      <c r="J37" s="145" t="s">
        <v>96</v>
      </c>
      <c r="K37" s="145" t="s">
        <v>95</v>
      </c>
      <c r="L37" s="145" t="s">
        <v>99</v>
      </c>
      <c r="M37" s="145" t="s">
        <v>100</v>
      </c>
      <c r="N37" s="167" t="s">
        <v>46</v>
      </c>
      <c r="O37" s="176" t="s">
        <v>106</v>
      </c>
      <c r="P37" s="176" t="s">
        <v>107</v>
      </c>
      <c r="Q37" s="167" t="s">
        <v>46</v>
      </c>
    </row>
    <row r="38" spans="1:17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80">
        <v>223644</v>
      </c>
      <c r="I38" s="80">
        <v>312990</v>
      </c>
      <c r="J38" s="134">
        <v>55583</v>
      </c>
      <c r="K38" s="134">
        <v>77093</v>
      </c>
      <c r="L38" s="134">
        <f>130102-J38</f>
        <v>74519</v>
      </c>
      <c r="M38" s="134">
        <f>165449-K38</f>
        <v>88356</v>
      </c>
      <c r="N38" s="129">
        <f>IF(L38&lt;&gt;0,(M38-L38)/L38,0)</f>
        <v>0.18568418792522712</v>
      </c>
      <c r="O38" s="180">
        <f>130102</f>
        <v>130102</v>
      </c>
      <c r="P38" s="180">
        <f>165449</f>
        <v>165449</v>
      </c>
      <c r="Q38" s="129">
        <f>IF(O38&lt;&gt;0,(P38-O38)/O38,0)</f>
        <v>0.27168683033312324</v>
      </c>
    </row>
    <row r="39" spans="1:17" s="85" customFormat="1" x14ac:dyDescent="0.3">
      <c r="A39" s="85" t="s">
        <v>105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81">
        <v>11024</v>
      </c>
      <c r="I39" s="81">
        <v>0</v>
      </c>
      <c r="J39" s="135">
        <v>0</v>
      </c>
      <c r="K39" s="135">
        <v>0</v>
      </c>
      <c r="L39" s="135">
        <v>0</v>
      </c>
      <c r="M39" s="135">
        <v>-176</v>
      </c>
      <c r="N39" s="129">
        <f t="shared" ref="N39:N49" si="6">IF(L39&lt;&gt;0,(M39-L39)/L39,0)</f>
        <v>0</v>
      </c>
      <c r="O39" s="177">
        <v>0</v>
      </c>
      <c r="P39" s="177">
        <v>-176</v>
      </c>
      <c r="Q39" s="129">
        <f t="shared" ref="Q39:Q49" si="7">IF(O39&lt;&gt;0,(P39-O39)/O39,0)</f>
        <v>0</v>
      </c>
    </row>
    <row r="40" spans="1:17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81">
        <v>33432</v>
      </c>
      <c r="I40" s="81">
        <v>35105</v>
      </c>
      <c r="J40" s="135">
        <v>8296</v>
      </c>
      <c r="K40" s="135">
        <v>8803</v>
      </c>
      <c r="L40" s="135">
        <f>17500-J40</f>
        <v>9204</v>
      </c>
      <c r="M40" s="135">
        <f>18664-K40</f>
        <v>9861</v>
      </c>
      <c r="N40" s="129">
        <f t="shared" si="6"/>
        <v>7.1382007822685792E-2</v>
      </c>
      <c r="O40" s="177">
        <f>17500</f>
        <v>17500</v>
      </c>
      <c r="P40" s="177">
        <f>18664</f>
        <v>18664</v>
      </c>
      <c r="Q40" s="129">
        <f t="shared" si="7"/>
        <v>6.651428571428572E-2</v>
      </c>
    </row>
    <row r="41" spans="1:17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81">
        <v>7221</v>
      </c>
      <c r="I41" s="81">
        <v>8379</v>
      </c>
      <c r="J41" s="135">
        <v>2095</v>
      </c>
      <c r="K41" s="135">
        <v>2650</v>
      </c>
      <c r="L41" s="135">
        <f>4189-J41</f>
        <v>2094</v>
      </c>
      <c r="M41" s="135">
        <f>5570-K41</f>
        <v>2920</v>
      </c>
      <c r="N41" s="129">
        <f t="shared" si="6"/>
        <v>0.39446036294173831</v>
      </c>
      <c r="O41" s="177">
        <f>4189</f>
        <v>4189</v>
      </c>
      <c r="P41" s="177">
        <f>5570</f>
        <v>5570</v>
      </c>
      <c r="Q41" s="129">
        <f t="shared" si="7"/>
        <v>0.32967295297206972</v>
      </c>
    </row>
    <row r="42" spans="1:17" s="95" customFormat="1" x14ac:dyDescent="0.3">
      <c r="A42" s="95" t="s">
        <v>4</v>
      </c>
      <c r="B42" s="80">
        <f t="shared" ref="B42:M42" si="8">SUM(B38:B41)</f>
        <v>190916</v>
      </c>
      <c r="C42" s="80">
        <f t="shared" si="8"/>
        <v>244001</v>
      </c>
      <c r="D42" s="80">
        <f t="shared" si="8"/>
        <v>251869</v>
      </c>
      <c r="E42" s="80">
        <f t="shared" si="8"/>
        <v>299526</v>
      </c>
      <c r="F42" s="80">
        <f t="shared" si="8"/>
        <v>235968</v>
      </c>
      <c r="G42" s="80">
        <f t="shared" si="8"/>
        <v>285499</v>
      </c>
      <c r="H42" s="80">
        <f t="shared" si="8"/>
        <v>275321</v>
      </c>
      <c r="I42" s="80">
        <f t="shared" si="8"/>
        <v>356474</v>
      </c>
      <c r="J42" s="134">
        <f t="shared" si="8"/>
        <v>65974</v>
      </c>
      <c r="K42" s="134">
        <f t="shared" si="8"/>
        <v>88546</v>
      </c>
      <c r="L42" s="134">
        <f t="shared" si="8"/>
        <v>85817</v>
      </c>
      <c r="M42" s="134">
        <f t="shared" si="8"/>
        <v>100961</v>
      </c>
      <c r="N42" s="129">
        <f t="shared" si="6"/>
        <v>0.17646853187596864</v>
      </c>
      <c r="O42" s="180">
        <f t="shared" ref="O42:P42" si="9">SUM(O38:O41)</f>
        <v>151791</v>
      </c>
      <c r="P42" s="180">
        <f t="shared" si="9"/>
        <v>189507</v>
      </c>
      <c r="Q42" s="129">
        <f t="shared" si="7"/>
        <v>0.24847322963812082</v>
      </c>
    </row>
    <row r="43" spans="1:17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81">
        <v>-9004</v>
      </c>
      <c r="I43" s="81">
        <v>-10090</v>
      </c>
      <c r="J43" s="135">
        <v>-8176</v>
      </c>
      <c r="K43" s="135">
        <f>-2393-5938</f>
        <v>-8331</v>
      </c>
      <c r="L43" s="135">
        <f>-4827.592907-J43</f>
        <v>3348.4070929999998</v>
      </c>
      <c r="M43" s="135">
        <f>-6685-K43</f>
        <v>1646</v>
      </c>
      <c r="N43" s="129">
        <f t="shared" si="6"/>
        <v>-0.50842297418344407</v>
      </c>
      <c r="O43" s="177">
        <v>-4828</v>
      </c>
      <c r="P43" s="177">
        <f>-6685</f>
        <v>-6685</v>
      </c>
      <c r="Q43" s="129">
        <f t="shared" si="7"/>
        <v>0.38463131731565864</v>
      </c>
    </row>
    <row r="44" spans="1:17" s="95" customFormat="1" x14ac:dyDescent="0.3">
      <c r="A44" s="95" t="s">
        <v>42</v>
      </c>
      <c r="B44" s="80">
        <f t="shared" ref="B44:G44" si="10">SUM(B42:B43)</f>
        <v>168810</v>
      </c>
      <c r="C44" s="80">
        <f t="shared" si="10"/>
        <v>202580</v>
      </c>
      <c r="D44" s="80">
        <f t="shared" si="10"/>
        <v>244681</v>
      </c>
      <c r="E44" s="80">
        <f t="shared" si="10"/>
        <v>290753</v>
      </c>
      <c r="F44" s="80">
        <f t="shared" si="10"/>
        <v>227228</v>
      </c>
      <c r="G44" s="80">
        <f t="shared" si="10"/>
        <v>273936</v>
      </c>
      <c r="H44" s="80">
        <f t="shared" ref="H44:M44" si="11">SUM(H42:H43)</f>
        <v>266317</v>
      </c>
      <c r="I44" s="80">
        <f t="shared" si="11"/>
        <v>346384</v>
      </c>
      <c r="J44" s="134">
        <f t="shared" si="11"/>
        <v>57798</v>
      </c>
      <c r="K44" s="134">
        <f t="shared" si="11"/>
        <v>80215</v>
      </c>
      <c r="L44" s="134">
        <f t="shared" si="11"/>
        <v>89165.407093000002</v>
      </c>
      <c r="M44" s="134">
        <f t="shared" si="11"/>
        <v>102607</v>
      </c>
      <c r="N44" s="129">
        <f t="shared" si="6"/>
        <v>0.15074896582909494</v>
      </c>
      <c r="O44" s="180">
        <f t="shared" ref="O44:P44" si="12">SUM(O42:O43)</f>
        <v>146963</v>
      </c>
      <c r="P44" s="180">
        <f t="shared" si="12"/>
        <v>182822</v>
      </c>
      <c r="Q44" s="129">
        <f t="shared" si="7"/>
        <v>0.24400019052414554</v>
      </c>
    </row>
    <row r="45" spans="1:17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81">
        <v>814</v>
      </c>
      <c r="I45" s="81">
        <v>851</v>
      </c>
      <c r="J45" s="135">
        <v>652</v>
      </c>
      <c r="K45" s="135">
        <v>61</v>
      </c>
      <c r="L45" s="135">
        <f>743.423097-J45</f>
        <v>91.423096999999984</v>
      </c>
      <c r="M45" s="135">
        <f>112-K45</f>
        <v>51</v>
      </c>
      <c r="N45" s="129">
        <f t="shared" si="6"/>
        <v>-0.44215409810498973</v>
      </c>
      <c r="O45" s="177">
        <f>743</f>
        <v>743</v>
      </c>
      <c r="P45" s="177">
        <f>112</f>
        <v>112</v>
      </c>
      <c r="Q45" s="129">
        <f t="shared" si="7"/>
        <v>-0.84925975773889639</v>
      </c>
    </row>
    <row r="46" spans="1:17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81">
        <v>-11022</v>
      </c>
      <c r="I46" s="81">
        <v>-1390</v>
      </c>
      <c r="J46" s="135">
        <v>-25</v>
      </c>
      <c r="K46" s="135">
        <v>-127</v>
      </c>
      <c r="L46" s="135">
        <f>-599.521351-J46</f>
        <v>-574.52135099999998</v>
      </c>
      <c r="M46" s="135">
        <f>-2966-K46</f>
        <v>-2839</v>
      </c>
      <c r="N46" s="129">
        <f t="shared" si="6"/>
        <v>3.9415047762080477</v>
      </c>
      <c r="O46" s="177">
        <f>-600</f>
        <v>-600</v>
      </c>
      <c r="P46" s="177">
        <f>-2966</f>
        <v>-2966</v>
      </c>
      <c r="Q46" s="129">
        <f t="shared" si="7"/>
        <v>3.9433333333333334</v>
      </c>
    </row>
    <row r="47" spans="1:17" s="95" customFormat="1" x14ac:dyDescent="0.3">
      <c r="A47" s="95" t="s">
        <v>43</v>
      </c>
      <c r="B47" s="80">
        <f t="shared" ref="B47:G47" si="13">SUM(B44:B46)</f>
        <v>172912</v>
      </c>
      <c r="C47" s="80">
        <f t="shared" si="13"/>
        <v>210911</v>
      </c>
      <c r="D47" s="80">
        <f t="shared" si="13"/>
        <v>244482</v>
      </c>
      <c r="E47" s="80">
        <f t="shared" si="13"/>
        <v>291080</v>
      </c>
      <c r="F47" s="80">
        <f t="shared" si="13"/>
        <v>225701</v>
      </c>
      <c r="G47" s="80">
        <f t="shared" si="13"/>
        <v>280279</v>
      </c>
      <c r="H47" s="80">
        <f t="shared" ref="H47:M47" si="14">SUM(H44:H46)</f>
        <v>256109</v>
      </c>
      <c r="I47" s="80">
        <f t="shared" si="14"/>
        <v>345845</v>
      </c>
      <c r="J47" s="134">
        <f t="shared" si="14"/>
        <v>58425</v>
      </c>
      <c r="K47" s="134">
        <f t="shared" si="14"/>
        <v>80149</v>
      </c>
      <c r="L47" s="134">
        <f t="shared" si="14"/>
        <v>88682.308839000005</v>
      </c>
      <c r="M47" s="134">
        <f t="shared" si="14"/>
        <v>99819</v>
      </c>
      <c r="N47" s="129">
        <f t="shared" si="6"/>
        <v>0.12557962582163162</v>
      </c>
      <c r="O47" s="180">
        <f t="shared" ref="O47:P47" si="15">SUM(O44:O46)</f>
        <v>147106</v>
      </c>
      <c r="P47" s="180">
        <f t="shared" si="15"/>
        <v>179968</v>
      </c>
      <c r="Q47" s="129">
        <f t="shared" si="7"/>
        <v>0.22338993650836811</v>
      </c>
    </row>
    <row r="48" spans="1:17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81">
        <v>-127</v>
      </c>
      <c r="I48" s="81">
        <v>-361</v>
      </c>
      <c r="J48" s="135">
        <v>-8</v>
      </c>
      <c r="K48" s="135">
        <v>-2289</v>
      </c>
      <c r="L48" s="135">
        <f>-18.162-J48</f>
        <v>-10.161999999999999</v>
      </c>
      <c r="M48" s="135">
        <f>-1378-K48</f>
        <v>911</v>
      </c>
      <c r="N48" s="129">
        <f t="shared" si="6"/>
        <v>-90.647707144262952</v>
      </c>
      <c r="O48" s="177">
        <f>-18</f>
        <v>-18</v>
      </c>
      <c r="P48" s="177">
        <f>-1378</f>
        <v>-1378</v>
      </c>
      <c r="Q48" s="129">
        <f>IF(O48&lt;&gt;0,(P48-O48)/O48,0)</f>
        <v>75.555555555555557</v>
      </c>
    </row>
    <row r="49" spans="1:17" s="85" customFormat="1" ht="15.75" thickBot="1" x14ac:dyDescent="0.35">
      <c r="A49" s="102" t="s">
        <v>17</v>
      </c>
      <c r="B49" s="103">
        <f t="shared" ref="B49:G49" si="16">SUM(B47:B48)</f>
        <v>169411</v>
      </c>
      <c r="C49" s="103">
        <f t="shared" si="16"/>
        <v>210697</v>
      </c>
      <c r="D49" s="103">
        <f t="shared" si="16"/>
        <v>244292</v>
      </c>
      <c r="E49" s="103">
        <f t="shared" si="16"/>
        <v>291006</v>
      </c>
      <c r="F49" s="103">
        <f t="shared" si="16"/>
        <v>225496</v>
      </c>
      <c r="G49" s="103">
        <f t="shared" si="16"/>
        <v>278403</v>
      </c>
      <c r="H49" s="103">
        <f t="shared" ref="H49:M49" si="17">SUM(H47:H48)</f>
        <v>255982</v>
      </c>
      <c r="I49" s="103">
        <f t="shared" si="17"/>
        <v>345484</v>
      </c>
      <c r="J49" s="166">
        <f t="shared" si="17"/>
        <v>58417</v>
      </c>
      <c r="K49" s="166">
        <f t="shared" si="17"/>
        <v>77860</v>
      </c>
      <c r="L49" s="166">
        <f t="shared" si="17"/>
        <v>88672.146839000008</v>
      </c>
      <c r="M49" s="166">
        <f t="shared" si="17"/>
        <v>100730</v>
      </c>
      <c r="N49" s="130">
        <f t="shared" si="6"/>
        <v>0.13598242053271994</v>
      </c>
      <c r="O49" s="182">
        <f t="shared" ref="O49:P49" si="18">SUM(O47:O48)</f>
        <v>147088</v>
      </c>
      <c r="P49" s="182">
        <f t="shared" si="18"/>
        <v>178590</v>
      </c>
      <c r="Q49" s="130">
        <f t="shared" si="7"/>
        <v>0.21417110845208312</v>
      </c>
    </row>
    <row r="50" spans="1:17" s="85" customFormat="1" x14ac:dyDescent="0.3">
      <c r="C50" s="80"/>
      <c r="H50" s="81"/>
      <c r="I50" s="81"/>
      <c r="J50" s="81"/>
      <c r="K50" s="81"/>
      <c r="L50" s="82"/>
    </row>
    <row r="51" spans="1:17" s="85" customFormat="1" x14ac:dyDescent="0.3">
      <c r="C51" s="81"/>
      <c r="H51" s="81"/>
      <c r="I51" s="81"/>
      <c r="J51" s="81"/>
      <c r="K51" s="81"/>
      <c r="L51" s="82"/>
    </row>
    <row r="52" spans="1:17" s="85" customFormat="1" x14ac:dyDescent="0.3">
      <c r="C52" s="81"/>
      <c r="E52" s="80"/>
      <c r="H52" s="81"/>
      <c r="I52" s="81"/>
      <c r="J52" s="81"/>
      <c r="K52" s="81"/>
      <c r="L52" s="82"/>
    </row>
    <row r="53" spans="1:17" s="85" customFormat="1" x14ac:dyDescent="0.3">
      <c r="C53" s="81"/>
      <c r="E53" s="81"/>
      <c r="H53" s="81"/>
      <c r="I53" s="81"/>
      <c r="J53" s="81"/>
      <c r="K53" s="81"/>
      <c r="L53" s="82"/>
    </row>
    <row r="54" spans="1:17" s="85" customFormat="1" x14ac:dyDescent="0.3">
      <c r="C54" s="80"/>
      <c r="E54" s="81"/>
      <c r="H54" s="81"/>
      <c r="I54" s="81"/>
      <c r="J54" s="81"/>
      <c r="K54" s="81"/>
      <c r="L54" s="82"/>
    </row>
    <row r="55" spans="1:17" s="85" customFormat="1" x14ac:dyDescent="0.3">
      <c r="C55" s="81"/>
      <c r="E55" s="81"/>
      <c r="H55" s="81"/>
      <c r="I55" s="81"/>
      <c r="J55" s="81"/>
      <c r="K55" s="81"/>
      <c r="L55" s="82"/>
    </row>
    <row r="56" spans="1:17" x14ac:dyDescent="0.3">
      <c r="C56" s="80"/>
      <c r="E56" s="80"/>
    </row>
    <row r="57" spans="1:17" x14ac:dyDescent="0.3">
      <c r="C57" s="81"/>
      <c r="E57" s="81"/>
    </row>
    <row r="58" spans="1:17" x14ac:dyDescent="0.3">
      <c r="C58" s="81"/>
      <c r="E58" s="80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82"/>
  <sheetViews>
    <sheetView topLeftCell="A31" workbookViewId="0">
      <selection activeCell="L39" sqref="L39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10" width="11.140625" style="74" bestFit="1" customWidth="1"/>
    <col min="11" max="11" width="10.42578125" style="74" customWidth="1"/>
    <col min="12" max="12" width="11.140625" style="75" bestFit="1" customWidth="1"/>
    <col min="13" max="13" width="10.28515625" style="75" bestFit="1" customWidth="1"/>
    <col min="14" max="15" width="10.42578125" style="76" bestFit="1" customWidth="1"/>
    <col min="16" max="16" width="10.28515625" style="73" bestFit="1" customWidth="1"/>
    <col min="17" max="16384" width="11.42578125" style="73"/>
  </cols>
  <sheetData>
    <row r="6" spans="1:19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19" ht="15.75" x14ac:dyDescent="0.3">
      <c r="A7" s="78" t="s">
        <v>101</v>
      </c>
      <c r="B7" s="78"/>
      <c r="C7" s="78"/>
      <c r="D7" s="78"/>
      <c r="E7" s="78"/>
      <c r="F7" s="78"/>
      <c r="G7" s="78"/>
    </row>
    <row r="8" spans="1:19" x14ac:dyDescent="0.3">
      <c r="A8" s="79" t="s">
        <v>88</v>
      </c>
      <c r="B8" s="79"/>
      <c r="C8" s="79"/>
      <c r="D8" s="79"/>
      <c r="E8" s="79"/>
      <c r="F8" s="79"/>
      <c r="G8" s="79"/>
    </row>
    <row r="9" spans="1:19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19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44">
        <v>2011</v>
      </c>
      <c r="I10" s="144">
        <v>2012</v>
      </c>
      <c r="J10" s="176">
        <v>2012</v>
      </c>
      <c r="K10" s="145">
        <v>2013</v>
      </c>
      <c r="L10" s="146" t="s">
        <v>46</v>
      </c>
      <c r="N10" s="83"/>
      <c r="O10" s="83"/>
      <c r="P10" s="106"/>
      <c r="Q10" s="84"/>
      <c r="R10" s="84"/>
      <c r="S10" s="84"/>
    </row>
    <row r="11" spans="1:19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71">
        <v>193087</v>
      </c>
      <c r="I11" s="171">
        <v>291812</v>
      </c>
      <c r="J11" s="177">
        <v>289563</v>
      </c>
      <c r="K11" s="117">
        <v>313031</v>
      </c>
      <c r="L11" s="129">
        <f>+(K11-J11)/J11</f>
        <v>8.1046266270207168E-2</v>
      </c>
      <c r="N11" s="83"/>
      <c r="O11" s="83"/>
      <c r="P11" s="108"/>
      <c r="Q11" s="84"/>
      <c r="R11" s="84"/>
      <c r="S11" s="84"/>
    </row>
    <row r="12" spans="1:19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71">
        <v>329071</v>
      </c>
      <c r="I12" s="171">
        <v>330090</v>
      </c>
      <c r="J12" s="177">
        <v>329212</v>
      </c>
      <c r="K12" s="117">
        <v>357100</v>
      </c>
      <c r="L12" s="129">
        <f>+(K12-J12)/J12</f>
        <v>8.47113713959394E-2</v>
      </c>
      <c r="N12" s="170"/>
      <c r="O12" s="83"/>
      <c r="P12" s="106"/>
      <c r="Q12" s="84"/>
      <c r="R12" s="84"/>
      <c r="S12" s="84"/>
    </row>
    <row r="13" spans="1:19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71">
        <v>650631</v>
      </c>
      <c r="I13" s="171">
        <v>681860</v>
      </c>
      <c r="J13" s="177">
        <v>604733</v>
      </c>
      <c r="K13" s="117">
        <v>709725</v>
      </c>
      <c r="L13" s="129">
        <f t="shared" ref="L13:L19" si="0">+(K13-J13)/J13</f>
        <v>0.17361711697559087</v>
      </c>
      <c r="N13" s="83"/>
      <c r="O13" s="83"/>
      <c r="P13" s="106"/>
      <c r="Q13" s="84"/>
      <c r="R13" s="84"/>
      <c r="S13" s="84"/>
    </row>
    <row r="14" spans="1:19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71">
        <v>601866</v>
      </c>
      <c r="I14" s="171">
        <v>555796</v>
      </c>
      <c r="J14" s="177">
        <v>607704</v>
      </c>
      <c r="K14" s="117">
        <v>629949</v>
      </c>
      <c r="L14" s="129">
        <f t="shared" si="0"/>
        <v>3.6604991903953242E-2</v>
      </c>
      <c r="N14" s="83"/>
      <c r="O14" s="83"/>
      <c r="P14" s="106"/>
      <c r="Q14" s="84"/>
      <c r="R14" s="84"/>
      <c r="S14" s="84"/>
    </row>
    <row r="15" spans="1:19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71">
        <v>1009855</v>
      </c>
      <c r="I15" s="171">
        <v>1135785</v>
      </c>
      <c r="J15" s="177">
        <v>1049217</v>
      </c>
      <c r="K15" s="117">
        <v>1171045</v>
      </c>
      <c r="L15" s="129">
        <f t="shared" si="0"/>
        <v>0.11611325397891951</v>
      </c>
      <c r="N15" s="83"/>
      <c r="O15" s="83"/>
      <c r="P15" s="106"/>
      <c r="Q15" s="84"/>
      <c r="R15" s="84"/>
      <c r="S15" s="84"/>
    </row>
    <row r="16" spans="1:19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71">
        <v>900384</v>
      </c>
      <c r="I16" s="171">
        <v>1025441</v>
      </c>
      <c r="J16" s="177">
        <v>874918</v>
      </c>
      <c r="K16" s="117">
        <v>1027805</v>
      </c>
      <c r="L16" s="129">
        <f t="shared" si="0"/>
        <v>0.17474437604438359</v>
      </c>
      <c r="N16" s="83"/>
      <c r="O16" s="83"/>
      <c r="P16" s="106"/>
      <c r="Q16" s="84"/>
      <c r="R16" s="84"/>
      <c r="S16" s="84"/>
    </row>
    <row r="17" spans="1:19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71">
        <v>130401</v>
      </c>
      <c r="I17" s="171">
        <v>57452</v>
      </c>
      <c r="J17" s="177">
        <v>126372</v>
      </c>
      <c r="K17" s="117">
        <v>56987</v>
      </c>
      <c r="L17" s="129">
        <f t="shared" si="0"/>
        <v>-0.54905358782008673</v>
      </c>
      <c r="N17" s="83"/>
      <c r="O17" s="83"/>
      <c r="P17" s="106"/>
      <c r="Q17" s="84"/>
      <c r="R17" s="84"/>
      <c r="S17" s="84"/>
    </row>
    <row r="18" spans="1:19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71">
        <v>18323</v>
      </c>
      <c r="I18" s="171">
        <v>6913</v>
      </c>
      <c r="J18" s="177">
        <v>4313</v>
      </c>
      <c r="K18" s="117">
        <v>6728</v>
      </c>
      <c r="L18" s="129">
        <f t="shared" si="0"/>
        <v>0.55993507999072567</v>
      </c>
      <c r="N18" s="83"/>
      <c r="O18" s="83"/>
      <c r="P18" s="106"/>
      <c r="Q18" s="84"/>
      <c r="R18" s="84"/>
      <c r="S18" s="84"/>
    </row>
    <row r="19" spans="1:19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71">
        <v>4097551</v>
      </c>
      <c r="I19" s="171">
        <v>4866415</v>
      </c>
      <c r="J19" s="177">
        <v>4015093</v>
      </c>
      <c r="K19" s="117">
        <v>4679552</v>
      </c>
      <c r="L19" s="129">
        <f t="shared" si="0"/>
        <v>0.16549031367392986</v>
      </c>
      <c r="N19" s="83"/>
      <c r="O19" s="83"/>
      <c r="P19" s="106"/>
      <c r="Q19" s="84"/>
      <c r="R19" s="84"/>
      <c r="S19" s="84"/>
    </row>
    <row r="20" spans="1:19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172">
        <f>SUM(H11:H19)</f>
        <v>7931169</v>
      </c>
      <c r="I20" s="172">
        <f>SUM(I11:I19)</f>
        <v>8951564</v>
      </c>
      <c r="J20" s="178">
        <f>SUM(J11:J19)</f>
        <v>7901125</v>
      </c>
      <c r="K20" s="118">
        <f>SUM(K11:K19)</f>
        <v>8951922</v>
      </c>
      <c r="L20" s="130">
        <f>+(K20-J20)/J20</f>
        <v>0.13299333955607587</v>
      </c>
      <c r="N20" s="83"/>
      <c r="O20" s="83"/>
      <c r="P20" s="106"/>
      <c r="Q20" s="84"/>
      <c r="R20" s="84"/>
      <c r="S20" s="84"/>
    </row>
    <row r="21" spans="1:19" s="85" customFormat="1" x14ac:dyDescent="0.3">
      <c r="A21" s="153"/>
      <c r="B21" s="81"/>
      <c r="C21" s="81"/>
      <c r="D21" s="81"/>
      <c r="E21" s="81"/>
      <c r="F21" s="81"/>
      <c r="G21" s="81"/>
      <c r="H21" s="171"/>
      <c r="I21" s="171"/>
      <c r="J21" s="177"/>
      <c r="K21" s="117"/>
      <c r="L21" s="129"/>
      <c r="N21" s="83"/>
      <c r="O21" s="83"/>
      <c r="P21" s="106"/>
      <c r="Q21" s="84"/>
      <c r="R21" s="84"/>
      <c r="S21" s="84"/>
    </row>
    <row r="22" spans="1:19" s="85" customFormat="1" ht="15.75" thickBot="1" x14ac:dyDescent="0.35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173">
        <v>2011</v>
      </c>
      <c r="I22" s="173">
        <v>2012</v>
      </c>
      <c r="J22" s="176">
        <v>2012</v>
      </c>
      <c r="K22" s="145">
        <v>2013</v>
      </c>
      <c r="L22" s="128" t="s">
        <v>46</v>
      </c>
      <c r="N22" s="83"/>
      <c r="O22" s="83"/>
      <c r="P22" s="108"/>
      <c r="Q22" s="84"/>
      <c r="R22" s="84"/>
      <c r="S22" s="84"/>
    </row>
    <row r="23" spans="1:19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71">
        <v>679598</v>
      </c>
      <c r="I23" s="171">
        <v>690354</v>
      </c>
      <c r="J23" s="177">
        <v>638431</v>
      </c>
      <c r="K23" s="117">
        <v>682715</v>
      </c>
      <c r="L23" s="129">
        <f t="shared" ref="L23:L34" si="1">+(K23-J23)/J23</f>
        <v>6.9363799690177946E-2</v>
      </c>
      <c r="N23" s="83"/>
      <c r="O23" s="83"/>
      <c r="P23" s="106"/>
      <c r="Q23" s="84"/>
      <c r="R23" s="84"/>
      <c r="S23" s="84"/>
    </row>
    <row r="24" spans="1:19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71">
        <v>163168</v>
      </c>
      <c r="I24" s="171">
        <v>170648</v>
      </c>
      <c r="J24" s="177">
        <v>144053</v>
      </c>
      <c r="K24" s="117">
        <v>170685</v>
      </c>
      <c r="L24" s="129">
        <f t="shared" si="1"/>
        <v>0.18487639965845903</v>
      </c>
      <c r="N24" s="83"/>
      <c r="O24" s="83"/>
      <c r="P24" s="108"/>
      <c r="Q24" s="84"/>
      <c r="R24" s="84"/>
      <c r="S24" s="84"/>
    </row>
    <row r="25" spans="1:19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71">
        <v>217244</v>
      </c>
      <c r="I25" s="171">
        <v>259622</v>
      </c>
      <c r="J25" s="177">
        <v>263965</v>
      </c>
      <c r="K25" s="117">
        <v>300091</v>
      </c>
      <c r="L25" s="129">
        <f t="shared" si="1"/>
        <v>0.13685905328357925</v>
      </c>
      <c r="N25" s="83"/>
      <c r="O25" s="83"/>
      <c r="P25" s="106"/>
      <c r="Q25" s="84"/>
      <c r="R25" s="84"/>
      <c r="S25" s="84"/>
    </row>
    <row r="26" spans="1:19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71">
        <v>132822</v>
      </c>
      <c r="I26" s="171">
        <v>138203</v>
      </c>
      <c r="J26" s="177">
        <v>110220</v>
      </c>
      <c r="K26" s="117">
        <v>97757</v>
      </c>
      <c r="L26" s="129">
        <f t="shared" si="1"/>
        <v>-0.11307385229540919</v>
      </c>
      <c r="N26" s="83"/>
      <c r="O26" s="83"/>
      <c r="P26" s="106"/>
      <c r="Q26" s="84"/>
      <c r="R26" s="84"/>
      <c r="S26" s="84"/>
    </row>
    <row r="27" spans="1:19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71">
        <v>96429</v>
      </c>
      <c r="I27" s="171">
        <v>109969</v>
      </c>
      <c r="J27" s="177">
        <v>44736</v>
      </c>
      <c r="K27" s="117">
        <v>56009</v>
      </c>
      <c r="L27" s="129">
        <f t="shared" si="1"/>
        <v>0.25198944921316169</v>
      </c>
      <c r="N27" s="83"/>
      <c r="O27" s="83"/>
      <c r="P27" s="106"/>
      <c r="Q27" s="84"/>
      <c r="R27" s="84"/>
      <c r="S27" s="84"/>
    </row>
    <row r="28" spans="1:19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71">
        <v>33608</v>
      </c>
      <c r="I28" s="171">
        <v>28288</v>
      </c>
      <c r="J28" s="177">
        <v>179052</v>
      </c>
      <c r="K28" s="117">
        <v>237495</v>
      </c>
      <c r="L28" s="129">
        <f t="shared" si="1"/>
        <v>0.32640238589906845</v>
      </c>
      <c r="N28" s="83"/>
      <c r="O28" s="83"/>
      <c r="P28" s="106"/>
      <c r="Q28" s="84"/>
      <c r="R28" s="84"/>
      <c r="S28" s="84"/>
    </row>
    <row r="29" spans="1:19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71">
        <v>112430</v>
      </c>
      <c r="I29" s="171">
        <v>125466</v>
      </c>
      <c r="J29" s="177">
        <v>101892</v>
      </c>
      <c r="K29" s="117">
        <v>149022</v>
      </c>
      <c r="L29" s="129">
        <f t="shared" si="1"/>
        <v>0.46254858085031209</v>
      </c>
      <c r="N29" s="83"/>
      <c r="O29" s="83"/>
      <c r="P29" s="106"/>
      <c r="Q29" s="84"/>
      <c r="R29" s="84"/>
      <c r="S29" s="84"/>
    </row>
    <row r="30" spans="1:19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71">
        <v>5031</v>
      </c>
      <c r="I30" s="171">
        <v>3762</v>
      </c>
      <c r="J30" s="177">
        <v>2803</v>
      </c>
      <c r="K30" s="117">
        <v>2354</v>
      </c>
      <c r="L30" s="129">
        <f t="shared" si="1"/>
        <v>-0.16018551551908669</v>
      </c>
      <c r="N30" s="83"/>
      <c r="O30" s="83"/>
      <c r="P30" s="106"/>
      <c r="Q30" s="84"/>
      <c r="R30" s="84"/>
      <c r="S30" s="84"/>
    </row>
    <row r="31" spans="1:19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174">
        <f>SUM(H23:H30)</f>
        <v>1440330</v>
      </c>
      <c r="I31" s="174">
        <f>SUM(I23:I30)</f>
        <v>1526312</v>
      </c>
      <c r="J31" s="180">
        <f>SUM(J23:J30)</f>
        <v>1485152</v>
      </c>
      <c r="K31" s="119">
        <f>SUM(K23:K30)</f>
        <v>1696128</v>
      </c>
      <c r="L31" s="129">
        <f t="shared" si="1"/>
        <v>0.1420568399732822</v>
      </c>
      <c r="N31" s="83"/>
      <c r="O31" s="83"/>
      <c r="P31" s="106"/>
      <c r="Q31" s="84"/>
      <c r="R31" s="84"/>
      <c r="S31" s="84"/>
    </row>
    <row r="32" spans="1:19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71">
        <v>16209</v>
      </c>
      <c r="I32" s="171">
        <v>16294</v>
      </c>
      <c r="J32" s="177">
        <v>15516</v>
      </c>
      <c r="K32" s="117">
        <v>3799</v>
      </c>
      <c r="L32" s="129">
        <f t="shared" si="1"/>
        <v>-0.75515596803299823</v>
      </c>
      <c r="N32" s="83"/>
      <c r="O32" s="83"/>
      <c r="P32" s="106"/>
      <c r="Q32" s="84"/>
      <c r="R32" s="84"/>
      <c r="S32" s="84"/>
    </row>
    <row r="33" spans="1:21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175">
        <v>6474630</v>
      </c>
      <c r="I33" s="175">
        <v>7408958</v>
      </c>
      <c r="J33" s="181">
        <v>6400457</v>
      </c>
      <c r="K33" s="120">
        <v>7251995</v>
      </c>
      <c r="L33" s="131">
        <f t="shared" si="1"/>
        <v>0.13304331237597566</v>
      </c>
      <c r="N33" s="83"/>
      <c r="O33" s="83"/>
      <c r="P33" s="108"/>
      <c r="Q33" s="84"/>
      <c r="R33" s="84"/>
      <c r="S33" s="84"/>
    </row>
    <row r="34" spans="1:21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172">
        <f>+H31+H32+H33</f>
        <v>7931169</v>
      </c>
      <c r="I34" s="172">
        <f>+I31+I32+I33</f>
        <v>8951564</v>
      </c>
      <c r="J34" s="178">
        <f>+J31+J32+J33</f>
        <v>7901125</v>
      </c>
      <c r="K34" s="118">
        <f>+K31+K32+K33</f>
        <v>8951922</v>
      </c>
      <c r="L34" s="130">
        <f t="shared" si="1"/>
        <v>0.13299333955607587</v>
      </c>
      <c r="N34" s="83"/>
      <c r="O34" s="83"/>
      <c r="P34" s="108"/>
      <c r="Q34" s="84"/>
      <c r="R34" s="84"/>
      <c r="S34" s="84"/>
    </row>
    <row r="35" spans="1:21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84"/>
      <c r="R35" s="84"/>
      <c r="S35" s="84"/>
    </row>
    <row r="36" spans="1:21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1" ht="15.75" x14ac:dyDescent="0.3">
      <c r="A37" s="78" t="s">
        <v>104</v>
      </c>
      <c r="B37" s="78"/>
      <c r="C37" s="78"/>
      <c r="D37" s="78"/>
      <c r="E37" s="78"/>
      <c r="F37" s="78"/>
      <c r="G37" s="78"/>
    </row>
    <row r="38" spans="1:21" x14ac:dyDescent="0.3">
      <c r="A38" s="79" t="s">
        <v>88</v>
      </c>
      <c r="B38" s="79"/>
      <c r="C38" s="79"/>
      <c r="D38" s="79"/>
      <c r="E38" s="79"/>
      <c r="F38" s="79"/>
      <c r="G38" s="79"/>
    </row>
    <row r="39" spans="1:21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44">
        <v>2011</v>
      </c>
      <c r="I39" s="144">
        <v>2012</v>
      </c>
      <c r="J39" s="145" t="s">
        <v>96</v>
      </c>
      <c r="K39" s="145" t="s">
        <v>95</v>
      </c>
      <c r="L39" s="145" t="s">
        <v>99</v>
      </c>
      <c r="M39" s="146" t="s">
        <v>55</v>
      </c>
      <c r="N39" s="145" t="s">
        <v>100</v>
      </c>
      <c r="O39" s="146" t="s">
        <v>55</v>
      </c>
      <c r="P39" s="147" t="s">
        <v>46</v>
      </c>
      <c r="Q39" s="176" t="s">
        <v>108</v>
      </c>
      <c r="R39" s="183" t="s">
        <v>55</v>
      </c>
      <c r="S39" s="176" t="s">
        <v>109</v>
      </c>
      <c r="T39" s="183" t="s">
        <v>55</v>
      </c>
      <c r="U39" s="184" t="s">
        <v>46</v>
      </c>
    </row>
    <row r="40" spans="1:21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110">
        <v>5057382.6182662696</v>
      </c>
      <c r="I40" s="110">
        <v>5305782</v>
      </c>
      <c r="J40" s="132">
        <v>1237546</v>
      </c>
      <c r="K40" s="132">
        <v>1242052</v>
      </c>
      <c r="L40" s="132">
        <v>1265469</v>
      </c>
      <c r="M40" s="138">
        <v>1</v>
      </c>
      <c r="N40" s="132">
        <v>1370524</v>
      </c>
      <c r="O40" s="138">
        <v>1</v>
      </c>
      <c r="P40" s="129">
        <f t="shared" ref="P40:P57" si="2">IF(L40&lt;&gt;0,(N40-L40)/L40,0)</f>
        <v>8.3016652324158086E-2</v>
      </c>
      <c r="Q40" s="185">
        <v>2503015</v>
      </c>
      <c r="R40" s="186">
        <v>1</v>
      </c>
      <c r="S40" s="185">
        <v>2612576</v>
      </c>
      <c r="T40" s="186">
        <v>1</v>
      </c>
      <c r="U40" s="187">
        <f>IF(Q40&lt;&gt;0,(S40-Q40)/Q40,0)</f>
        <v>4.3771611436607454E-2</v>
      </c>
    </row>
    <row r="41" spans="1:21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112">
        <v>-3030201.8461819952</v>
      </c>
      <c r="I41" s="112">
        <v>-3064460</v>
      </c>
      <c r="J41" s="133">
        <v>-724520</v>
      </c>
      <c r="K41" s="133">
        <v>-682801</v>
      </c>
      <c r="L41" s="133">
        <v>-728867</v>
      </c>
      <c r="M41" s="129">
        <f t="shared" ref="M41:M59" si="3">+L41/$L$40</f>
        <v>-0.57596590671126668</v>
      </c>
      <c r="N41" s="133">
        <v>-750580</v>
      </c>
      <c r="O41" s="129">
        <f t="shared" ref="O41:O59" si="4">+N41/$N$40</f>
        <v>-0.5476591435100735</v>
      </c>
      <c r="P41" s="129">
        <f t="shared" si="2"/>
        <v>2.9790071439645367E-2</v>
      </c>
      <c r="Q41" s="188">
        <v>-1453387</v>
      </c>
      <c r="R41" s="187">
        <f t="shared" ref="R41:R59" si="5">+Q41/$Q$40</f>
        <v>-0.58065453063605288</v>
      </c>
      <c r="S41" s="188">
        <v>-1433381</v>
      </c>
      <c r="T41" s="187">
        <f t="shared" ref="T41:T59" si="6">+S41/$S$40</f>
        <v>-0.5486466231030217</v>
      </c>
      <c r="U41" s="187">
        <f>IF(Q41&lt;&gt;0,(S41-Q41)/Q41,0)</f>
        <v>-1.3765088032299725E-2</v>
      </c>
    </row>
    <row r="42" spans="1:21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80">
        <f>SUM(H40:H41)</f>
        <v>2027180.7720842743</v>
      </c>
      <c r="I42" s="80">
        <f>SUM(I40:I41)</f>
        <v>2241322</v>
      </c>
      <c r="J42" s="134">
        <f>SUM(J40:J41)</f>
        <v>513026</v>
      </c>
      <c r="K42" s="134">
        <f>SUM(K40:K41)</f>
        <v>559251</v>
      </c>
      <c r="L42" s="134">
        <f>SUM(L40:L41)</f>
        <v>536602</v>
      </c>
      <c r="M42" s="138">
        <f t="shared" si="3"/>
        <v>0.42403409328873326</v>
      </c>
      <c r="N42" s="134">
        <f>SUM(N40:N41)</f>
        <v>619944</v>
      </c>
      <c r="O42" s="138">
        <f t="shared" si="4"/>
        <v>0.4523408564899265</v>
      </c>
      <c r="P42" s="129">
        <f t="shared" si="2"/>
        <v>0.15531436707280255</v>
      </c>
      <c r="Q42" s="180">
        <f>SUM(Q40:Q41)</f>
        <v>1049628</v>
      </c>
      <c r="R42" s="187">
        <f t="shared" si="5"/>
        <v>0.41934546936394707</v>
      </c>
      <c r="S42" s="180">
        <f>SUM(S40:S41)</f>
        <v>1179195</v>
      </c>
      <c r="T42" s="187">
        <f t="shared" si="6"/>
        <v>0.4513533768969783</v>
      </c>
      <c r="U42" s="187">
        <f>IF(Q42&lt;&gt;0,(S42-Q42)/Q42,0)</f>
        <v>0.12344087619613806</v>
      </c>
    </row>
    <row r="43" spans="1:21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81">
        <v>-250061.17590559012</v>
      </c>
      <c r="I43" s="81">
        <v>-270303</v>
      </c>
      <c r="J43" s="135">
        <v>-59529</v>
      </c>
      <c r="K43" s="135">
        <v>-64873</v>
      </c>
      <c r="L43" s="135">
        <v>-62802</v>
      </c>
      <c r="M43" s="129">
        <f t="shared" si="3"/>
        <v>-4.9627450376105615E-2</v>
      </c>
      <c r="N43" s="135">
        <v>-73939</v>
      </c>
      <c r="O43" s="129">
        <f t="shared" si="4"/>
        <v>-5.3949438317023271E-2</v>
      </c>
      <c r="P43" s="129">
        <f t="shared" si="2"/>
        <v>0.17733511671602814</v>
      </c>
      <c r="Q43" s="177">
        <v>-122331</v>
      </c>
      <c r="R43" s="187">
        <f t="shared" si="5"/>
        <v>-4.8873458608917647E-2</v>
      </c>
      <c r="S43" s="177">
        <v>-138812</v>
      </c>
      <c r="T43" s="187">
        <f t="shared" si="6"/>
        <v>-5.3132234239310169E-2</v>
      </c>
      <c r="U43" s="187">
        <f>IF(Q43&lt;&gt;0,(S43-Q43)/Q43,0)</f>
        <v>0.13472464052447866</v>
      </c>
    </row>
    <row r="44" spans="1:21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81">
        <v>-1221301.5797654777</v>
      </c>
      <c r="I44" s="81">
        <v>-1326976</v>
      </c>
      <c r="J44" s="135">
        <v>-305689</v>
      </c>
      <c r="K44" s="135">
        <v>-325559</v>
      </c>
      <c r="L44" s="135">
        <v>-310054</v>
      </c>
      <c r="M44" s="129">
        <f t="shared" si="3"/>
        <v>-0.24501113816300518</v>
      </c>
      <c r="N44" s="135">
        <v>-355546</v>
      </c>
      <c r="O44" s="129">
        <f t="shared" si="4"/>
        <v>-0.25942340301957501</v>
      </c>
      <c r="P44" s="129">
        <f t="shared" si="2"/>
        <v>0.14672282892657407</v>
      </c>
      <c r="Q44" s="177">
        <v>-615743</v>
      </c>
      <c r="R44" s="187">
        <f t="shared" si="5"/>
        <v>-0.2460005233688172</v>
      </c>
      <c r="S44" s="177">
        <v>-681105</v>
      </c>
      <c r="T44" s="187">
        <f t="shared" si="6"/>
        <v>-0.2607024637752165</v>
      </c>
      <c r="U44" s="187">
        <f>IF(Q44&lt;&gt;0,(S44-Q44)/Q44,0)</f>
        <v>0.10615143006091828</v>
      </c>
    </row>
    <row r="45" spans="1:21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81">
        <v>-123323</v>
      </c>
      <c r="I45" s="81">
        <v>-122931</v>
      </c>
      <c r="J45" s="135">
        <v>-33091</v>
      </c>
      <c r="K45" s="135">
        <v>-27738</v>
      </c>
      <c r="L45" s="135">
        <v>-37645</v>
      </c>
      <c r="M45" s="129">
        <f t="shared" si="3"/>
        <v>-2.9747864230573802E-2</v>
      </c>
      <c r="N45" s="135">
        <v>-33697</v>
      </c>
      <c r="O45" s="129">
        <f t="shared" si="4"/>
        <v>-2.4586946306668106E-2</v>
      </c>
      <c r="P45" s="129">
        <f t="shared" si="2"/>
        <v>-0.10487448532341613</v>
      </c>
      <c r="Q45" s="177">
        <v>-70736</v>
      </c>
      <c r="R45" s="187">
        <f t="shared" si="5"/>
        <v>-2.8260318056423952E-2</v>
      </c>
      <c r="S45" s="177">
        <v>-61435</v>
      </c>
      <c r="T45" s="187">
        <f t="shared" si="6"/>
        <v>-2.3515105397890819E-2</v>
      </c>
      <c r="U45" s="187">
        <f t="shared" ref="U45:U57" si="7">IF(Q45&lt;&gt;0,(S45-Q45)/Q45,0)</f>
        <v>-0.13148891653472064</v>
      </c>
    </row>
    <row r="46" spans="1:21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80">
        <f>SUM(H43:H45)</f>
        <v>-1594685.7556710679</v>
      </c>
      <c r="I46" s="80">
        <f>SUM(I43:I45)</f>
        <v>-1720210</v>
      </c>
      <c r="J46" s="134">
        <f>SUM(J43:J45)</f>
        <v>-398309</v>
      </c>
      <c r="K46" s="134">
        <f>SUM(K43:K45)</f>
        <v>-418170</v>
      </c>
      <c r="L46" s="134">
        <f>SUM(L43:L45)</f>
        <v>-410501</v>
      </c>
      <c r="M46" s="138">
        <f t="shared" si="3"/>
        <v>-0.32438645276968459</v>
      </c>
      <c r="N46" s="134">
        <f>SUM(N43:N45)</f>
        <v>-463182</v>
      </c>
      <c r="O46" s="138">
        <f t="shared" si="4"/>
        <v>-0.3379597876432664</v>
      </c>
      <c r="P46" s="129">
        <f t="shared" si="2"/>
        <v>0.12833342671516026</v>
      </c>
      <c r="Q46" s="180">
        <f>SUM(Q43:Q45)</f>
        <v>-808810</v>
      </c>
      <c r="R46" s="187">
        <f t="shared" si="5"/>
        <v>-0.32313430003415883</v>
      </c>
      <c r="S46" s="180">
        <f>SUM(S43:S45)</f>
        <v>-881352</v>
      </c>
      <c r="T46" s="187">
        <f t="shared" si="6"/>
        <v>-0.33734980341241749</v>
      </c>
      <c r="U46" s="187">
        <f t="shared" si="7"/>
        <v>8.9689791174688741E-2</v>
      </c>
    </row>
    <row r="47" spans="1:21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80">
        <f>+H42+H46</f>
        <v>432495.01641320647</v>
      </c>
      <c r="I47" s="80">
        <f>+I42+I46</f>
        <v>521112</v>
      </c>
      <c r="J47" s="134">
        <f>+J42+J46</f>
        <v>114717</v>
      </c>
      <c r="K47" s="134">
        <f>+K42+K46</f>
        <v>141081</v>
      </c>
      <c r="L47" s="134">
        <f>+L42+L46</f>
        <v>126101</v>
      </c>
      <c r="M47" s="138">
        <f t="shared" si="3"/>
        <v>9.9647640519048675E-2</v>
      </c>
      <c r="N47" s="134">
        <f>+N42+N46</f>
        <v>156762</v>
      </c>
      <c r="O47" s="138">
        <f t="shared" si="4"/>
        <v>0.11438106884666011</v>
      </c>
      <c r="P47" s="129">
        <f t="shared" si="2"/>
        <v>0.2431463668012149</v>
      </c>
      <c r="Q47" s="180">
        <f>+Q42+Q46</f>
        <v>240818</v>
      </c>
      <c r="R47" s="187">
        <f t="shared" si="5"/>
        <v>9.6211169329788279E-2</v>
      </c>
      <c r="S47" s="180">
        <f>+S42+S46</f>
        <v>297843</v>
      </c>
      <c r="T47" s="187">
        <f t="shared" si="6"/>
        <v>0.11400357348456083</v>
      </c>
      <c r="U47" s="187">
        <f t="shared" si="7"/>
        <v>0.23679708327450605</v>
      </c>
    </row>
    <row r="48" spans="1:21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81">
        <v>7592</v>
      </c>
      <c r="I48" s="81">
        <v>12296</v>
      </c>
      <c r="J48" s="135">
        <v>2281</v>
      </c>
      <c r="K48" s="135">
        <v>2375</v>
      </c>
      <c r="L48" s="135">
        <v>2318</v>
      </c>
      <c r="M48" s="129">
        <f t="shared" si="3"/>
        <v>1.8317319507629188E-3</v>
      </c>
      <c r="N48" s="135">
        <v>2770</v>
      </c>
      <c r="O48" s="129">
        <f t="shared" si="4"/>
        <v>2.0211247668774864E-3</v>
      </c>
      <c r="P48" s="129">
        <f t="shared" si="2"/>
        <v>0.19499568593615185</v>
      </c>
      <c r="Q48" s="177">
        <v>4599</v>
      </c>
      <c r="R48" s="187">
        <f t="shared" si="5"/>
        <v>1.8373841147576024E-3</v>
      </c>
      <c r="S48" s="177">
        <v>5145</v>
      </c>
      <c r="T48" s="187">
        <f t="shared" si="6"/>
        <v>1.9693207011011356E-3</v>
      </c>
      <c r="U48" s="187">
        <f t="shared" si="7"/>
        <v>0.11872146118721461</v>
      </c>
    </row>
    <row r="49" spans="1:21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81">
        <v>-84666</v>
      </c>
      <c r="I49" s="81">
        <v>-70722</v>
      </c>
      <c r="J49" s="135">
        <v>-18188</v>
      </c>
      <c r="K49" s="135">
        <v>-16818</v>
      </c>
      <c r="L49" s="135">
        <v>-17611</v>
      </c>
      <c r="M49" s="129">
        <f t="shared" si="3"/>
        <v>-1.3916579544816982E-2</v>
      </c>
      <c r="N49" s="135">
        <v>-17303</v>
      </c>
      <c r="O49" s="129">
        <f t="shared" si="4"/>
        <v>-1.2625098137646623E-2</v>
      </c>
      <c r="P49" s="129">
        <f t="shared" si="2"/>
        <v>-1.7489069331667707E-2</v>
      </c>
      <c r="Q49" s="177">
        <v>-35799</v>
      </c>
      <c r="R49" s="187">
        <f t="shared" si="5"/>
        <v>-1.4302351364254709E-2</v>
      </c>
      <c r="S49" s="177">
        <v>-34121</v>
      </c>
      <c r="T49" s="187">
        <f t="shared" si="6"/>
        <v>-1.3060289920752545E-2</v>
      </c>
      <c r="U49" s="187">
        <f t="shared" si="7"/>
        <v>-4.6872817676471411E-2</v>
      </c>
    </row>
    <row r="50" spans="1:21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81">
        <v>-3636</v>
      </c>
      <c r="I50" s="81">
        <v>1782</v>
      </c>
      <c r="J50" s="135">
        <v>-1259</v>
      </c>
      <c r="K50" s="135">
        <v>-1758</v>
      </c>
      <c r="L50" s="135">
        <v>13430</v>
      </c>
      <c r="M50" s="129">
        <f t="shared" si="3"/>
        <v>1.0612666134057808E-2</v>
      </c>
      <c r="N50" s="135">
        <v>4040</v>
      </c>
      <c r="O50" s="129">
        <f t="shared" si="4"/>
        <v>2.9477776383339512E-3</v>
      </c>
      <c r="P50" s="129">
        <f t="shared" si="2"/>
        <v>-0.69918093819806404</v>
      </c>
      <c r="Q50" s="177">
        <v>12171</v>
      </c>
      <c r="R50" s="187">
        <f t="shared" si="5"/>
        <v>4.8625357818470926E-3</v>
      </c>
      <c r="S50" s="177">
        <v>2282</v>
      </c>
      <c r="T50" s="187">
        <f t="shared" si="6"/>
        <v>8.7346741300540153E-4</v>
      </c>
      <c r="U50" s="187">
        <f t="shared" si="7"/>
        <v>-0.81250513515734124</v>
      </c>
    </row>
    <row r="51" spans="1:21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81">
        <v>-26933</v>
      </c>
      <c r="I51" s="81">
        <v>-13536</v>
      </c>
      <c r="J51" s="135">
        <v>-5552</v>
      </c>
      <c r="K51" s="135">
        <v>-7981</v>
      </c>
      <c r="L51" s="135">
        <v>-7455</v>
      </c>
      <c r="M51" s="129">
        <f t="shared" si="3"/>
        <v>-5.8910965025615013E-3</v>
      </c>
      <c r="N51" s="135">
        <v>-15076</v>
      </c>
      <c r="O51" s="129">
        <f t="shared" si="4"/>
        <v>-1.1000172196911547E-2</v>
      </c>
      <c r="P51" s="129">
        <f t="shared" si="2"/>
        <v>1.0222669349429914</v>
      </c>
      <c r="Q51" s="177">
        <v>-13007</v>
      </c>
      <c r="R51" s="187">
        <f t="shared" si="5"/>
        <v>-5.1965329812246434E-3</v>
      </c>
      <c r="S51" s="177">
        <v>-23057</v>
      </c>
      <c r="T51" s="187">
        <f t="shared" si="6"/>
        <v>-8.8253891944196066E-3</v>
      </c>
      <c r="U51" s="187">
        <f t="shared" si="7"/>
        <v>0.7726608749135081</v>
      </c>
    </row>
    <row r="52" spans="1:21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81">
        <v>33531</v>
      </c>
      <c r="I52" s="81">
        <v>35188</v>
      </c>
      <c r="J52" s="135">
        <v>8296</v>
      </c>
      <c r="K52" s="135">
        <v>8803</v>
      </c>
      <c r="L52" s="135">
        <v>9263</v>
      </c>
      <c r="M52" s="129">
        <f t="shared" si="3"/>
        <v>7.3198158153222241E-3</v>
      </c>
      <c r="N52" s="135">
        <v>9924</v>
      </c>
      <c r="O52" s="129">
        <f t="shared" si="4"/>
        <v>7.2410260601054781E-3</v>
      </c>
      <c r="P52" s="129">
        <f t="shared" si="2"/>
        <v>7.135917089495844E-2</v>
      </c>
      <c r="Q52" s="177">
        <v>17559</v>
      </c>
      <c r="R52" s="187">
        <f t="shared" si="5"/>
        <v>7.0151397414717851E-3</v>
      </c>
      <c r="S52" s="177">
        <v>18727</v>
      </c>
      <c r="T52" s="187">
        <f t="shared" si="6"/>
        <v>7.1680211408204006E-3</v>
      </c>
      <c r="U52" s="187">
        <f t="shared" si="7"/>
        <v>6.6518594452987079E-2</v>
      </c>
    </row>
    <row r="53" spans="1:21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81">
        <v>11185</v>
      </c>
      <c r="I53" s="81">
        <v>0</v>
      </c>
      <c r="J53" s="135">
        <v>-1</v>
      </c>
      <c r="K53" s="135">
        <v>0</v>
      </c>
      <c r="L53" s="135">
        <v>36</v>
      </c>
      <c r="M53" s="129">
        <f t="shared" si="3"/>
        <v>2.8447950917802017E-5</v>
      </c>
      <c r="N53" s="135">
        <v>107</v>
      </c>
      <c r="O53" s="129">
        <f t="shared" si="4"/>
        <v>7.807232854003286E-5</v>
      </c>
      <c r="P53" s="129">
        <f t="shared" si="2"/>
        <v>1.9722222222222223</v>
      </c>
      <c r="Q53" s="177">
        <v>35</v>
      </c>
      <c r="R53" s="187">
        <f t="shared" si="5"/>
        <v>1.3983136337576882E-5</v>
      </c>
      <c r="S53" s="177">
        <v>107</v>
      </c>
      <c r="T53" s="187">
        <f t="shared" si="6"/>
        <v>4.095574635914898E-5</v>
      </c>
      <c r="U53" s="187">
        <f t="shared" si="7"/>
        <v>2.0571428571428569</v>
      </c>
    </row>
    <row r="54" spans="1:21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80">
        <f>SUM(H48:H53)</f>
        <v>-62927</v>
      </c>
      <c r="I54" s="80">
        <f>SUM(I48:I53)</f>
        <v>-34992</v>
      </c>
      <c r="J54" s="134">
        <f>SUM(J48:J53)</f>
        <v>-14423</v>
      </c>
      <c r="K54" s="134">
        <f>SUM(K48:K53)</f>
        <v>-15379</v>
      </c>
      <c r="L54" s="134">
        <f>SUM(L48:L53)</f>
        <v>-19</v>
      </c>
      <c r="M54" s="138">
        <f t="shared" si="3"/>
        <v>-1.5014196317728842E-5</v>
      </c>
      <c r="N54" s="134">
        <f>SUM(N48:N53)</f>
        <v>-15538</v>
      </c>
      <c r="O54" s="138">
        <f t="shared" si="4"/>
        <v>-1.133726954070122E-2</v>
      </c>
      <c r="P54" s="129">
        <f t="shared" si="2"/>
        <v>816.78947368421052</v>
      </c>
      <c r="Q54" s="180">
        <f>SUM(Q48:Q53)</f>
        <v>-14442</v>
      </c>
      <c r="R54" s="187">
        <f t="shared" si="5"/>
        <v>-5.7698415710652953E-3</v>
      </c>
      <c r="S54" s="180">
        <f>SUM(S48:S53)</f>
        <v>-30917</v>
      </c>
      <c r="T54" s="187">
        <f t="shared" si="6"/>
        <v>-1.1833914113886065E-2</v>
      </c>
      <c r="U54" s="187">
        <f t="shared" si="7"/>
        <v>1.1407699764575543</v>
      </c>
    </row>
    <row r="55" spans="1:21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80">
        <f>+H47+H54</f>
        <v>369568.01641320647</v>
      </c>
      <c r="I55" s="80">
        <f>+I47+I54</f>
        <v>486120</v>
      </c>
      <c r="J55" s="134">
        <f>+J47+J54</f>
        <v>100294</v>
      </c>
      <c r="K55" s="134">
        <f>+K47+K54</f>
        <v>125702</v>
      </c>
      <c r="L55" s="134">
        <f>+L47+L54</f>
        <v>126082</v>
      </c>
      <c r="M55" s="138">
        <f t="shared" si="3"/>
        <v>9.9632626322730941E-2</v>
      </c>
      <c r="N55" s="134">
        <f>+N47+N54</f>
        <v>141224</v>
      </c>
      <c r="O55" s="138">
        <f t="shared" si="4"/>
        <v>0.10304379930595889</v>
      </c>
      <c r="P55" s="129">
        <f t="shared" si="2"/>
        <v>0.12009644517060326</v>
      </c>
      <c r="Q55" s="180">
        <f>+Q47+Q54</f>
        <v>226376</v>
      </c>
      <c r="R55" s="187">
        <f t="shared" si="5"/>
        <v>9.0441327758722975E-2</v>
      </c>
      <c r="S55" s="180">
        <f>+S47+S54</f>
        <v>266926</v>
      </c>
      <c r="T55" s="187">
        <f t="shared" si="6"/>
        <v>0.10216965937067476</v>
      </c>
      <c r="U55" s="187">
        <f t="shared" si="7"/>
        <v>0.17912676255433438</v>
      </c>
    </row>
    <row r="56" spans="1:21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81">
        <v>-113919.04882074999</v>
      </c>
      <c r="I56" s="81">
        <v>-138457</v>
      </c>
      <c r="J56" s="135">
        <v>-39773</v>
      </c>
      <c r="K56" s="135">
        <v>-46692</v>
      </c>
      <c r="L56" s="135">
        <v>-37735</v>
      </c>
      <c r="M56" s="129">
        <f t="shared" si="3"/>
        <v>-2.9818984107868308E-2</v>
      </c>
      <c r="N56" s="135">
        <v>-44055</v>
      </c>
      <c r="O56" s="129">
        <f t="shared" si="4"/>
        <v>-3.2144639568515397E-2</v>
      </c>
      <c r="P56" s="129">
        <f t="shared" si="2"/>
        <v>0.16748376838478865</v>
      </c>
      <c r="Q56" s="177">
        <v>-77508</v>
      </c>
      <c r="R56" s="187">
        <f t="shared" si="5"/>
        <v>-3.0965855178654543E-2</v>
      </c>
      <c r="S56" s="177">
        <v>-90747</v>
      </c>
      <c r="T56" s="187">
        <f t="shared" si="6"/>
        <v>-3.4734683316389646E-2</v>
      </c>
      <c r="U56" s="187">
        <f t="shared" si="7"/>
        <v>0.17080817464003717</v>
      </c>
    </row>
    <row r="57" spans="1:21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81">
        <v>-2137.6216936399992</v>
      </c>
      <c r="I57" s="81">
        <v>-2156</v>
      </c>
      <c r="J57" s="135">
        <v>-917</v>
      </c>
      <c r="K57" s="135">
        <v>276</v>
      </c>
      <c r="L57" s="135">
        <v>-863</v>
      </c>
      <c r="M57" s="129">
        <f t="shared" si="3"/>
        <v>-6.8196060116842061E-4</v>
      </c>
      <c r="N57" s="135">
        <v>-50</v>
      </c>
      <c r="O57" s="129">
        <f t="shared" si="4"/>
        <v>-3.648239651403405E-5</v>
      </c>
      <c r="P57" s="129">
        <f t="shared" si="2"/>
        <v>-0.94206257242178448</v>
      </c>
      <c r="Q57" s="177">
        <v>-1780</v>
      </c>
      <c r="R57" s="189">
        <f t="shared" si="5"/>
        <v>-7.1114236231105291E-4</v>
      </c>
      <c r="S57" s="177">
        <v>226</v>
      </c>
      <c r="T57" s="189">
        <f t="shared" si="6"/>
        <v>8.6504660534277283E-5</v>
      </c>
      <c r="U57" s="187">
        <f t="shared" si="7"/>
        <v>-1.1269662921348316</v>
      </c>
    </row>
    <row r="58" spans="1:21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113">
        <f>+H55+H56+H57</f>
        <v>253511.34589881651</v>
      </c>
      <c r="I58" s="113">
        <f>+I55+I56+I57</f>
        <v>345507</v>
      </c>
      <c r="J58" s="136">
        <f>+J55+J56+J57</f>
        <v>59604</v>
      </c>
      <c r="K58" s="136">
        <f>+K55+K56+K57</f>
        <v>79286</v>
      </c>
      <c r="L58" s="136">
        <f>+L55+L56+L57</f>
        <v>87484</v>
      </c>
      <c r="M58" s="139">
        <f t="shared" si="3"/>
        <v>6.9131681613694207E-2</v>
      </c>
      <c r="N58" s="136">
        <f>+N55+N56+N57</f>
        <v>97119</v>
      </c>
      <c r="O58" s="139">
        <f t="shared" si="4"/>
        <v>7.086267734092945E-2</v>
      </c>
      <c r="P58" s="139">
        <f>+(N58-L58)/L58</f>
        <v>0.11013442458049472</v>
      </c>
      <c r="Q58" s="190">
        <f>+Q55+Q56+Q57</f>
        <v>147088</v>
      </c>
      <c r="R58" s="189">
        <f t="shared" si="5"/>
        <v>5.8764330217757385E-2</v>
      </c>
      <c r="S58" s="190">
        <f>+S55+S56+S57</f>
        <v>176405</v>
      </c>
      <c r="T58" s="189">
        <f t="shared" si="6"/>
        <v>6.7521480714819393E-2</v>
      </c>
      <c r="U58" s="191">
        <f>+(S58-Q58)/Q58</f>
        <v>0.19931605569455021</v>
      </c>
    </row>
    <row r="59" spans="1:21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91">
        <v>568131.17041880696</v>
      </c>
      <c r="I59" s="91">
        <v>671095</v>
      </c>
      <c r="J59" s="137">
        <v>150246</v>
      </c>
      <c r="K59" s="137">
        <v>179705</v>
      </c>
      <c r="L59" s="137">
        <v>161808</v>
      </c>
      <c r="M59" s="140">
        <f t="shared" si="3"/>
        <v>0.12786405672521414</v>
      </c>
      <c r="N59" s="137">
        <v>196119</v>
      </c>
      <c r="O59" s="140">
        <f t="shared" si="4"/>
        <v>0.14309782243871688</v>
      </c>
      <c r="P59" s="130">
        <f>+(N59-L59)/L59</f>
        <v>0.21204761198457431</v>
      </c>
      <c r="Q59" s="178">
        <v>312054</v>
      </c>
      <c r="R59" s="192">
        <f t="shared" si="5"/>
        <v>0.12467124647674904</v>
      </c>
      <c r="S59" s="178">
        <v>375824</v>
      </c>
      <c r="T59" s="192">
        <f t="shared" si="6"/>
        <v>0.14385189177271782</v>
      </c>
      <c r="U59" s="193">
        <f>+(S59-Q59)/Q59</f>
        <v>0.20435565639280381</v>
      </c>
    </row>
    <row r="60" spans="1:21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21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21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21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21" s="85" customFormat="1" x14ac:dyDescent="0.3">
      <c r="H64" s="81"/>
      <c r="I64" s="81"/>
      <c r="J64" s="81"/>
      <c r="K64" s="81"/>
      <c r="L64" s="89"/>
      <c r="M64" s="82"/>
      <c r="N64" s="101"/>
      <c r="O64" s="101"/>
      <c r="P64" s="194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workbookViewId="0">
      <pane xSplit="1" ySplit="10" topLeftCell="H35" activePane="bottomRight" state="frozen"/>
      <selection pane="topRight" activeCell="B1" sqref="B1"/>
      <selection pane="bottomLeft" activeCell="A11" sqref="A11"/>
      <selection pane="bottomRight" activeCell="N38" sqref="N38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4" width="11.42578125" style="73"/>
    <col min="15" max="15" width="14.28515625" style="73" bestFit="1" customWidth="1"/>
    <col min="16" max="16384" width="11.42578125" style="73"/>
  </cols>
  <sheetData>
    <row r="1" spans="1:21" x14ac:dyDescent="0.3">
      <c r="M1" s="75"/>
      <c r="N1" s="75"/>
      <c r="O1" s="75"/>
      <c r="P1" s="76"/>
      <c r="Q1" s="76"/>
    </row>
    <row r="2" spans="1:21" x14ac:dyDescent="0.3">
      <c r="M2" s="75"/>
      <c r="N2" s="75"/>
      <c r="O2" s="75"/>
      <c r="P2" s="76"/>
      <c r="Q2" s="76"/>
    </row>
    <row r="3" spans="1:21" x14ac:dyDescent="0.3">
      <c r="M3" s="75"/>
      <c r="N3" s="75"/>
      <c r="O3" s="75"/>
      <c r="P3" s="76"/>
      <c r="Q3" s="76"/>
    </row>
    <row r="4" spans="1:21" x14ac:dyDescent="0.3">
      <c r="M4" s="75"/>
      <c r="N4" s="75"/>
      <c r="O4" s="75"/>
      <c r="P4" s="76"/>
      <c r="Q4" s="76"/>
    </row>
    <row r="5" spans="1:21" x14ac:dyDescent="0.3">
      <c r="M5" s="75"/>
      <c r="N5" s="75"/>
      <c r="O5" s="75"/>
      <c r="P5" s="76"/>
      <c r="Q5" s="76"/>
    </row>
    <row r="6" spans="1:21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5"/>
      <c r="O6" s="75"/>
      <c r="P6" s="76"/>
      <c r="Q6" s="76"/>
    </row>
    <row r="7" spans="1:21" ht="15.75" x14ac:dyDescent="0.3">
      <c r="A7" s="78" t="s">
        <v>114</v>
      </c>
      <c r="B7" s="78"/>
      <c r="C7" s="78"/>
      <c r="D7" s="78"/>
      <c r="E7" s="78"/>
      <c r="F7" s="78"/>
      <c r="G7" s="78"/>
      <c r="M7" s="75"/>
      <c r="N7" s="75"/>
      <c r="O7" s="75"/>
      <c r="P7" s="76"/>
      <c r="Q7" s="76"/>
    </row>
    <row r="8" spans="1:21" x14ac:dyDescent="0.3">
      <c r="A8" s="79" t="s">
        <v>88</v>
      </c>
      <c r="B8" s="79"/>
      <c r="C8" s="79"/>
      <c r="D8" s="79"/>
      <c r="E8" s="79"/>
      <c r="F8" s="79"/>
      <c r="G8" s="79"/>
      <c r="M8" s="75"/>
      <c r="N8" s="75"/>
      <c r="O8" s="75"/>
      <c r="P8" s="76"/>
      <c r="Q8" s="76"/>
    </row>
    <row r="9" spans="1:21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2"/>
      <c r="O9" s="82"/>
      <c r="P9" s="83"/>
      <c r="Q9" s="83"/>
      <c r="R9" s="84"/>
      <c r="S9" s="84"/>
      <c r="T9" s="84"/>
      <c r="U9" s="84"/>
    </row>
    <row r="10" spans="1:21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56">
        <v>2011</v>
      </c>
      <c r="I10" s="156">
        <v>2012</v>
      </c>
      <c r="J10" s="145">
        <v>2012</v>
      </c>
      <c r="K10" s="145">
        <v>2013</v>
      </c>
      <c r="L10" s="158" t="s">
        <v>46</v>
      </c>
    </row>
    <row r="11" spans="1:21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81">
        <v>94</v>
      </c>
      <c r="I11" s="81">
        <v>75</v>
      </c>
      <c r="J11" s="135">
        <v>165</v>
      </c>
      <c r="K11" s="135">
        <v>186</v>
      </c>
      <c r="L11" s="129">
        <f t="shared" ref="L11:L17" si="0">IF(J11&lt;&gt;0,(K11-J11)/J11,0)</f>
        <v>0.12727272727272726</v>
      </c>
    </row>
    <row r="12" spans="1:21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81">
        <v>3554895</v>
      </c>
      <c r="I12" s="81">
        <v>3748345</v>
      </c>
      <c r="J12" s="135">
        <v>3658770</v>
      </c>
      <c r="K12" s="135">
        <v>3944362</v>
      </c>
      <c r="L12" s="129">
        <f t="shared" si="0"/>
        <v>7.8056833307368317E-2</v>
      </c>
    </row>
    <row r="13" spans="1:21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81">
        <v>10662</v>
      </c>
      <c r="I13" s="81">
        <v>14922</v>
      </c>
      <c r="J13" s="135">
        <v>25595</v>
      </c>
      <c r="K13" s="135">
        <v>27401</v>
      </c>
      <c r="L13" s="129">
        <f t="shared" si="0"/>
        <v>7.056065637819886E-2</v>
      </c>
      <c r="S13" s="85"/>
      <c r="T13" s="85"/>
      <c r="U13" s="85"/>
    </row>
    <row r="14" spans="1:21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81">
        <v>0</v>
      </c>
      <c r="I14" s="81">
        <v>0</v>
      </c>
      <c r="J14" s="135">
        <v>0</v>
      </c>
      <c r="K14" s="135">
        <v>0</v>
      </c>
      <c r="L14" s="129">
        <f t="shared" si="0"/>
        <v>0</v>
      </c>
      <c r="S14" s="85"/>
      <c r="T14" s="85"/>
      <c r="U14" s="85"/>
    </row>
    <row r="15" spans="1:21" s="89" customFormat="1" x14ac:dyDescent="0.3">
      <c r="A15" s="88" t="s">
        <v>110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81">
        <f>503+155</f>
        <v>658</v>
      </c>
      <c r="I15" s="81">
        <v>118</v>
      </c>
      <c r="J15" s="135">
        <v>583</v>
      </c>
      <c r="K15" s="135">
        <v>4751</v>
      </c>
      <c r="L15" s="129">
        <f t="shared" si="0"/>
        <v>7.1492281303602061</v>
      </c>
      <c r="S15" s="85"/>
      <c r="T15" s="85"/>
      <c r="U15" s="85"/>
    </row>
    <row r="16" spans="1:21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81">
        <v>2979150</v>
      </c>
      <c r="I16" s="81">
        <v>3733696</v>
      </c>
      <c r="J16" s="135">
        <v>3185128</v>
      </c>
      <c r="K16" s="135">
        <v>3866241</v>
      </c>
      <c r="L16" s="129">
        <f t="shared" si="0"/>
        <v>0.21384164152900606</v>
      </c>
      <c r="S16" s="85"/>
      <c r="T16" s="85"/>
      <c r="U16" s="85"/>
    </row>
    <row r="17" spans="1:21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1">SUM(F11:F16)</f>
        <v>5514960</v>
      </c>
      <c r="G17" s="91">
        <f t="shared" si="1"/>
        <v>6403741</v>
      </c>
      <c r="H17" s="91">
        <f>SUM(H11:H16)</f>
        <v>6545459</v>
      </c>
      <c r="I17" s="91">
        <f>SUM(I11:I16)</f>
        <v>7497156</v>
      </c>
      <c r="J17" s="137">
        <f>SUM(J11:J16)</f>
        <v>6870241</v>
      </c>
      <c r="K17" s="137">
        <f>SUM(K11:K16)</f>
        <v>7842941</v>
      </c>
      <c r="L17" s="159">
        <f t="shared" si="0"/>
        <v>0.14158164175026758</v>
      </c>
      <c r="S17" s="85"/>
      <c r="T17" s="85"/>
      <c r="U17" s="85"/>
    </row>
    <row r="18" spans="1:21" s="85" customFormat="1" x14ac:dyDescent="0.3">
      <c r="B18" s="81"/>
      <c r="C18" s="81"/>
      <c r="D18" s="81"/>
      <c r="E18" s="81"/>
      <c r="F18" s="81"/>
      <c r="G18" s="81"/>
      <c r="H18" s="81"/>
      <c r="I18" s="81"/>
      <c r="J18" s="135"/>
      <c r="K18" s="135"/>
      <c r="L18" s="129"/>
    </row>
    <row r="19" spans="1:21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86">
        <v>2011</v>
      </c>
      <c r="I19" s="86">
        <v>2012</v>
      </c>
      <c r="J19" s="161">
        <v>2012</v>
      </c>
      <c r="K19" s="161">
        <v>2013</v>
      </c>
      <c r="L19" s="162" t="s">
        <v>46</v>
      </c>
      <c r="S19" s="85"/>
      <c r="T19" s="85"/>
      <c r="U19" s="85"/>
    </row>
    <row r="20" spans="1:21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81">
        <v>0</v>
      </c>
      <c r="I20" s="81">
        <v>7</v>
      </c>
      <c r="J20" s="135">
        <v>0</v>
      </c>
      <c r="K20" s="135">
        <v>0</v>
      </c>
      <c r="L20" s="129">
        <f t="shared" ref="L20:L28" si="2">IF(J20&lt;&gt;0,(K20-J20)/J20,0)</f>
        <v>0</v>
      </c>
      <c r="S20" s="85"/>
      <c r="T20" s="85"/>
      <c r="U20" s="85"/>
    </row>
    <row r="21" spans="1:21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81">
        <v>59466</v>
      </c>
      <c r="I21" s="81">
        <v>65082</v>
      </c>
      <c r="J21" s="135">
        <v>108672</v>
      </c>
      <c r="K21" s="135">
        <v>119625</v>
      </c>
      <c r="L21" s="129">
        <f t="shared" si="2"/>
        <v>0.10078953180212014</v>
      </c>
      <c r="S21" s="85"/>
      <c r="T21" s="85"/>
      <c r="U21" s="85"/>
    </row>
    <row r="22" spans="1:21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81">
        <v>585</v>
      </c>
      <c r="I22" s="81">
        <v>657</v>
      </c>
      <c r="J22" s="135">
        <v>1472</v>
      </c>
      <c r="K22" s="135">
        <v>1901</v>
      </c>
      <c r="L22" s="129">
        <f t="shared" si="2"/>
        <v>0.29144021739130432</v>
      </c>
    </row>
    <row r="23" spans="1:21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81">
        <v>872</v>
      </c>
      <c r="I23" s="81">
        <v>481</v>
      </c>
      <c r="J23" s="135">
        <v>182</v>
      </c>
      <c r="K23" s="135">
        <v>112</v>
      </c>
      <c r="L23" s="129">
        <f t="shared" si="2"/>
        <v>-0.38461538461538464</v>
      </c>
    </row>
    <row r="24" spans="1:21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81">
        <v>0</v>
      </c>
      <c r="I24" s="81">
        <v>0</v>
      </c>
      <c r="J24" s="135">
        <v>742</v>
      </c>
      <c r="K24" s="135">
        <v>2369</v>
      </c>
      <c r="L24" s="129">
        <f t="shared" si="2"/>
        <v>2.1927223719676552</v>
      </c>
    </row>
    <row r="25" spans="1:21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81">
        <v>8296</v>
      </c>
      <c r="I25" s="81">
        <v>8803</v>
      </c>
      <c r="J25" s="135">
        <v>17654</v>
      </c>
      <c r="K25" s="135">
        <v>19244</v>
      </c>
      <c r="L25" s="129">
        <f t="shared" si="2"/>
        <v>9.0064574600657074E-2</v>
      </c>
    </row>
    <row r="26" spans="1:21" s="95" customFormat="1" x14ac:dyDescent="0.3">
      <c r="A26" s="93" t="s">
        <v>33</v>
      </c>
      <c r="B26" s="80">
        <f t="shared" ref="B26:G26" si="3">SUM(B20:B25)</f>
        <v>43329</v>
      </c>
      <c r="C26" s="80">
        <f t="shared" si="3"/>
        <v>63235</v>
      </c>
      <c r="D26" s="80">
        <f t="shared" si="3"/>
        <v>73581</v>
      </c>
      <c r="E26" s="80">
        <f t="shared" si="3"/>
        <v>83903</v>
      </c>
      <c r="F26" s="80">
        <f t="shared" si="3"/>
        <v>115757</v>
      </c>
      <c r="G26" s="80">
        <f t="shared" si="3"/>
        <v>80066</v>
      </c>
      <c r="H26" s="80">
        <f>SUM(H20:H25)</f>
        <v>69219</v>
      </c>
      <c r="I26" s="80">
        <f>SUM(I20:I25)</f>
        <v>75030</v>
      </c>
      <c r="J26" s="134">
        <f>SUM(J20:J25)</f>
        <v>128722</v>
      </c>
      <c r="K26" s="134">
        <f>SUM(K20:K25)</f>
        <v>143251</v>
      </c>
      <c r="L26" s="138">
        <f t="shared" si="2"/>
        <v>0.11287114867699383</v>
      </c>
      <c r="S26" s="85"/>
      <c r="T26" s="85"/>
      <c r="U26" s="85"/>
    </row>
    <row r="27" spans="1:21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97">
        <v>6476240</v>
      </c>
      <c r="I27" s="97">
        <v>7422126</v>
      </c>
      <c r="J27" s="163">
        <v>6741519</v>
      </c>
      <c r="K27" s="163">
        <v>7699690</v>
      </c>
      <c r="L27" s="131">
        <f t="shared" si="2"/>
        <v>0.14212983750398092</v>
      </c>
      <c r="S27" s="85"/>
      <c r="T27" s="85"/>
      <c r="U27" s="85"/>
    </row>
    <row r="28" spans="1:21" s="95" customFormat="1" ht="15.75" thickBot="1" x14ac:dyDescent="0.35">
      <c r="A28" s="90" t="s">
        <v>35</v>
      </c>
      <c r="B28" s="91">
        <f t="shared" ref="B28:G28" si="4">+B26+B27</f>
        <v>3744102</v>
      </c>
      <c r="C28" s="91">
        <f t="shared" si="4"/>
        <v>4028640</v>
      </c>
      <c r="D28" s="91">
        <f t="shared" si="4"/>
        <v>4241740</v>
      </c>
      <c r="E28" s="91">
        <f t="shared" si="4"/>
        <v>3957512</v>
      </c>
      <c r="F28" s="91">
        <f t="shared" si="4"/>
        <v>5514960</v>
      </c>
      <c r="G28" s="91">
        <f t="shared" si="4"/>
        <v>6403741</v>
      </c>
      <c r="H28" s="91">
        <f>+H26+H27</f>
        <v>6545459</v>
      </c>
      <c r="I28" s="91">
        <f>+I26+I27</f>
        <v>7497156</v>
      </c>
      <c r="J28" s="137">
        <f>+J26+J27</f>
        <v>6870241</v>
      </c>
      <c r="K28" s="137">
        <f>+K26+K27</f>
        <v>7842941</v>
      </c>
      <c r="L28" s="130">
        <f t="shared" si="2"/>
        <v>0.14158164175026758</v>
      </c>
      <c r="S28" s="85"/>
      <c r="T28" s="85"/>
      <c r="U28" s="85"/>
    </row>
    <row r="29" spans="1:21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81">
        <f>435123458+25000000</f>
        <v>460123458</v>
      </c>
      <c r="I29" s="81">
        <f>435123458+25000000</f>
        <v>460123458</v>
      </c>
      <c r="J29" s="135">
        <f>435123458+25000000</f>
        <v>460123458</v>
      </c>
      <c r="K29" s="135">
        <f>435123458+25000000</f>
        <v>460123458</v>
      </c>
      <c r="L29" s="129"/>
    </row>
    <row r="30" spans="1:21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5">+F27/+(F29/1000000)</f>
        <v>12408.439261851976</v>
      </c>
      <c r="G30" s="100">
        <f t="shared" si="5"/>
        <v>14533.059258781675</v>
      </c>
      <c r="H30" s="100">
        <f>+H27/+(H29/1000000)</f>
        <v>14075.005060924323</v>
      </c>
      <c r="I30" s="100">
        <f>+I27/+(I29/1000000)</f>
        <v>16130.727244947375</v>
      </c>
      <c r="J30" s="165">
        <f>+J27/+(J29/1000000)</f>
        <v>14651.5438037067</v>
      </c>
      <c r="K30" s="165">
        <f>+K27/+(K29/1000000)</f>
        <v>16733.965343709991</v>
      </c>
      <c r="L30" s="129"/>
    </row>
    <row r="31" spans="1:21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P31" s="107"/>
    </row>
    <row r="32" spans="1:21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P32" s="107"/>
    </row>
    <row r="33" spans="1:19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75"/>
      <c r="O33" s="75"/>
      <c r="P33" s="109"/>
      <c r="Q33" s="76"/>
    </row>
    <row r="34" spans="1:19" ht="15.75" x14ac:dyDescent="0.3">
      <c r="A34" s="78" t="s">
        <v>117</v>
      </c>
      <c r="B34" s="78"/>
      <c r="C34" s="78"/>
      <c r="D34" s="78"/>
      <c r="E34" s="78"/>
      <c r="F34" s="78"/>
      <c r="G34" s="78"/>
      <c r="M34" s="75"/>
      <c r="N34" s="75"/>
      <c r="O34" s="75"/>
      <c r="P34" s="109"/>
      <c r="Q34" s="76"/>
    </row>
    <row r="35" spans="1:19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75"/>
      <c r="O35" s="75"/>
      <c r="P35" s="109"/>
      <c r="Q35" s="76"/>
    </row>
    <row r="36" spans="1:19" s="85" customFormat="1" x14ac:dyDescent="0.3">
      <c r="H36" s="81"/>
      <c r="I36" s="81"/>
      <c r="J36" s="81"/>
      <c r="K36" s="81"/>
      <c r="L36" s="82"/>
      <c r="P36" s="107"/>
    </row>
    <row r="37" spans="1:19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56">
        <v>2011</v>
      </c>
      <c r="I37" s="156">
        <v>2012</v>
      </c>
      <c r="J37" s="145" t="s">
        <v>96</v>
      </c>
      <c r="K37" s="145" t="s">
        <v>95</v>
      </c>
      <c r="L37" s="145" t="s">
        <v>99</v>
      </c>
      <c r="M37" s="145" t="s">
        <v>100</v>
      </c>
      <c r="N37" s="145" t="s">
        <v>111</v>
      </c>
      <c r="O37" s="145" t="s">
        <v>112</v>
      </c>
      <c r="P37" s="167" t="s">
        <v>46</v>
      </c>
      <c r="Q37" s="176" t="s">
        <v>106</v>
      </c>
      <c r="R37" s="176" t="s">
        <v>107</v>
      </c>
      <c r="S37" s="167" t="s">
        <v>46</v>
      </c>
    </row>
    <row r="38" spans="1:19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80">
        <v>223644</v>
      </c>
      <c r="I38" s="80">
        <v>312990</v>
      </c>
      <c r="J38" s="134">
        <v>55583</v>
      </c>
      <c r="K38" s="134">
        <v>77093</v>
      </c>
      <c r="L38" s="134">
        <f>130102-J38</f>
        <v>74519</v>
      </c>
      <c r="M38" s="134">
        <f>165449-K38</f>
        <v>88356</v>
      </c>
      <c r="N38" s="134">
        <f>+Q38-J38-L38</f>
        <v>88047</v>
      </c>
      <c r="O38" s="134">
        <f>+R38-K38-M38</f>
        <v>91080</v>
      </c>
      <c r="P38" s="129">
        <f t="shared" ref="P38:P49" si="6">IF(N38&lt;&gt;0,(O38-N38)/N38,0)</f>
        <v>3.4447510988449351E-2</v>
      </c>
      <c r="Q38" s="180">
        <v>218149</v>
      </c>
      <c r="R38" s="180">
        <v>256529</v>
      </c>
      <c r="S38" s="129">
        <f t="shared" ref="S38:S49" si="7">IF(Q38&lt;&gt;0,(R38-Q38)/Q38,0)</f>
        <v>0.17593479685902755</v>
      </c>
    </row>
    <row r="39" spans="1:19" s="85" customFormat="1" x14ac:dyDescent="0.3">
      <c r="A39" s="85" t="s">
        <v>105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81">
        <v>11024</v>
      </c>
      <c r="I39" s="81">
        <v>0</v>
      </c>
      <c r="J39" s="135">
        <v>0</v>
      </c>
      <c r="K39" s="135">
        <v>0</v>
      </c>
      <c r="L39" s="135">
        <v>0</v>
      </c>
      <c r="M39" s="135">
        <v>-176</v>
      </c>
      <c r="N39" s="134">
        <f t="shared" ref="N39:N41" si="8">+Q39-J39-L39</f>
        <v>0</v>
      </c>
      <c r="O39" s="134">
        <f t="shared" ref="O39:O41" si="9">+R39-K39-M39</f>
        <v>0</v>
      </c>
      <c r="P39" s="129">
        <f t="shared" si="6"/>
        <v>0</v>
      </c>
      <c r="Q39" s="177">
        <v>0</v>
      </c>
      <c r="R39" s="177">
        <v>-176</v>
      </c>
      <c r="S39" s="129">
        <f t="shared" si="7"/>
        <v>0</v>
      </c>
    </row>
    <row r="40" spans="1:19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81">
        <v>33432</v>
      </c>
      <c r="I40" s="81">
        <v>35105</v>
      </c>
      <c r="J40" s="135">
        <v>8296</v>
      </c>
      <c r="K40" s="135">
        <v>8803</v>
      </c>
      <c r="L40" s="135">
        <f>17500-J40</f>
        <v>9204</v>
      </c>
      <c r="M40" s="135">
        <f>18664-K40</f>
        <v>9861</v>
      </c>
      <c r="N40" s="135">
        <f t="shared" si="8"/>
        <v>8803</v>
      </c>
      <c r="O40" s="135">
        <f t="shared" si="9"/>
        <v>11140</v>
      </c>
      <c r="P40" s="129">
        <f t="shared" si="6"/>
        <v>0.26547767806429629</v>
      </c>
      <c r="Q40" s="177">
        <v>26303</v>
      </c>
      <c r="R40" s="177">
        <v>29804</v>
      </c>
      <c r="S40" s="129">
        <f t="shared" si="7"/>
        <v>0.13310268790632249</v>
      </c>
    </row>
    <row r="41" spans="1:19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81">
        <v>7221</v>
      </c>
      <c r="I41" s="81">
        <v>8379</v>
      </c>
      <c r="J41" s="135">
        <v>2095</v>
      </c>
      <c r="K41" s="135">
        <v>2650</v>
      </c>
      <c r="L41" s="135">
        <f>4189-J41</f>
        <v>2094</v>
      </c>
      <c r="M41" s="135">
        <f>5570-K41</f>
        <v>2920</v>
      </c>
      <c r="N41" s="135">
        <f t="shared" si="8"/>
        <v>2094</v>
      </c>
      <c r="O41" s="135">
        <f t="shared" si="9"/>
        <v>3537</v>
      </c>
      <c r="P41" s="129">
        <f t="shared" si="6"/>
        <v>0.68911174785100282</v>
      </c>
      <c r="Q41" s="177">
        <v>6283</v>
      </c>
      <c r="R41" s="177">
        <v>9107</v>
      </c>
      <c r="S41" s="129">
        <f t="shared" si="7"/>
        <v>0.44946681521566129</v>
      </c>
    </row>
    <row r="42" spans="1:19" s="95" customFormat="1" x14ac:dyDescent="0.3">
      <c r="A42" s="95" t="s">
        <v>4</v>
      </c>
      <c r="B42" s="80">
        <f t="shared" ref="B42:G42" si="10">SUM(B38:B41)</f>
        <v>190916</v>
      </c>
      <c r="C42" s="80">
        <f t="shared" si="10"/>
        <v>244001</v>
      </c>
      <c r="D42" s="80">
        <f t="shared" si="10"/>
        <v>251869</v>
      </c>
      <c r="E42" s="80">
        <f t="shared" si="10"/>
        <v>299526</v>
      </c>
      <c r="F42" s="80">
        <f t="shared" si="10"/>
        <v>235968</v>
      </c>
      <c r="G42" s="80">
        <f t="shared" si="10"/>
        <v>285499</v>
      </c>
      <c r="H42" s="80">
        <f t="shared" ref="H42:O42" si="11">SUM(H38:H41)</f>
        <v>275321</v>
      </c>
      <c r="I42" s="80">
        <f t="shared" si="11"/>
        <v>356474</v>
      </c>
      <c r="J42" s="134">
        <f t="shared" si="11"/>
        <v>65974</v>
      </c>
      <c r="K42" s="134">
        <f t="shared" si="11"/>
        <v>88546</v>
      </c>
      <c r="L42" s="134">
        <f t="shared" si="11"/>
        <v>85817</v>
      </c>
      <c r="M42" s="134">
        <f t="shared" si="11"/>
        <v>100961</v>
      </c>
      <c r="N42" s="134">
        <f t="shared" si="11"/>
        <v>98944</v>
      </c>
      <c r="O42" s="134">
        <f t="shared" si="11"/>
        <v>105757</v>
      </c>
      <c r="P42" s="129">
        <f t="shared" si="6"/>
        <v>6.8857131306597666E-2</v>
      </c>
      <c r="Q42" s="180">
        <f t="shared" ref="Q42" si="12">SUM(Q38:Q41)</f>
        <v>250735</v>
      </c>
      <c r="R42" s="180">
        <f t="shared" ref="R42" si="13">SUM(R38:R41)</f>
        <v>295264</v>
      </c>
      <c r="S42" s="129">
        <f t="shared" si="7"/>
        <v>0.17759387401040941</v>
      </c>
    </row>
    <row r="43" spans="1:19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81">
        <v>-9004</v>
      </c>
      <c r="I43" s="81">
        <v>-10090</v>
      </c>
      <c r="J43" s="135">
        <v>-8176</v>
      </c>
      <c r="K43" s="135">
        <f>-2393-5938</f>
        <v>-8331</v>
      </c>
      <c r="L43" s="135">
        <f>-4827.592907-J43</f>
        <v>3348.4070929999998</v>
      </c>
      <c r="M43" s="135">
        <f>-6685-K43</f>
        <v>1646</v>
      </c>
      <c r="N43" s="135">
        <f>+Q43-J43-L43</f>
        <v>-2647</v>
      </c>
      <c r="O43" s="135">
        <f>+R43-K43-M43</f>
        <v>-3043</v>
      </c>
      <c r="P43" s="129">
        <f t="shared" si="6"/>
        <v>0.14960332451832262</v>
      </c>
      <c r="Q43" s="177">
        <v>-7474.5929070000002</v>
      </c>
      <c r="R43" s="177">
        <v>-9728</v>
      </c>
      <c r="S43" s="129">
        <f t="shared" si="7"/>
        <v>0.30147556141681919</v>
      </c>
    </row>
    <row r="44" spans="1:19" s="95" customFormat="1" x14ac:dyDescent="0.3">
      <c r="A44" s="95" t="s">
        <v>42</v>
      </c>
      <c r="B44" s="80">
        <f t="shared" ref="B44:G44" si="14">SUM(B42:B43)</f>
        <v>168810</v>
      </c>
      <c r="C44" s="80">
        <f t="shared" si="14"/>
        <v>202580</v>
      </c>
      <c r="D44" s="80">
        <f t="shared" si="14"/>
        <v>244681</v>
      </c>
      <c r="E44" s="80">
        <f t="shared" si="14"/>
        <v>290753</v>
      </c>
      <c r="F44" s="80">
        <f t="shared" si="14"/>
        <v>227228</v>
      </c>
      <c r="G44" s="80">
        <f t="shared" si="14"/>
        <v>273936</v>
      </c>
      <c r="H44" s="80">
        <f t="shared" ref="H44:O44" si="15">SUM(H42:H43)</f>
        <v>266317</v>
      </c>
      <c r="I44" s="80">
        <f t="shared" si="15"/>
        <v>346384</v>
      </c>
      <c r="J44" s="134">
        <f t="shared" si="15"/>
        <v>57798</v>
      </c>
      <c r="K44" s="134">
        <f t="shared" si="15"/>
        <v>80215</v>
      </c>
      <c r="L44" s="134">
        <f t="shared" si="15"/>
        <v>89165.407093000002</v>
      </c>
      <c r="M44" s="134">
        <f t="shared" si="15"/>
        <v>102607</v>
      </c>
      <c r="N44" s="134">
        <f t="shared" si="15"/>
        <v>96297</v>
      </c>
      <c r="O44" s="134">
        <f t="shared" si="15"/>
        <v>102714</v>
      </c>
      <c r="P44" s="129">
        <f t="shared" si="6"/>
        <v>6.6637589956073398E-2</v>
      </c>
      <c r="Q44" s="180">
        <f t="shared" ref="Q44" si="16">SUM(Q42:Q43)</f>
        <v>243260.40709299999</v>
      </c>
      <c r="R44" s="180">
        <f t="shared" ref="R44" si="17">SUM(R42:R43)</f>
        <v>285536</v>
      </c>
      <c r="S44" s="129">
        <f t="shared" si="7"/>
        <v>0.17378739685672642</v>
      </c>
    </row>
    <row r="45" spans="1:19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81">
        <v>814</v>
      </c>
      <c r="I45" s="81">
        <v>851</v>
      </c>
      <c r="J45" s="135">
        <v>652</v>
      </c>
      <c r="K45" s="135">
        <v>61</v>
      </c>
      <c r="L45" s="135">
        <f>743.423097-J45</f>
        <v>91.423096999999984</v>
      </c>
      <c r="M45" s="135">
        <f>112-K45</f>
        <v>51</v>
      </c>
      <c r="N45" s="135">
        <f>+Q45-J45-L45</f>
        <v>27.000000000000114</v>
      </c>
      <c r="O45" s="135">
        <f>+R45-K45-M45</f>
        <v>130</v>
      </c>
      <c r="P45" s="129">
        <f t="shared" si="6"/>
        <v>3.8148148148147945</v>
      </c>
      <c r="Q45" s="177">
        <v>770.4230970000001</v>
      </c>
      <c r="R45" s="177">
        <v>242</v>
      </c>
      <c r="S45" s="129">
        <f t="shared" si="7"/>
        <v>-0.68588688352888261</v>
      </c>
    </row>
    <row r="46" spans="1:19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81">
        <v>-11022</v>
      </c>
      <c r="I46" s="81">
        <v>-1390</v>
      </c>
      <c r="J46" s="135">
        <v>-25</v>
      </c>
      <c r="K46" s="135">
        <v>-127</v>
      </c>
      <c r="L46" s="135">
        <f>-599.521351-J46</f>
        <v>-574.52135099999998</v>
      </c>
      <c r="M46" s="135">
        <f>-2966-K46</f>
        <v>-2839</v>
      </c>
      <c r="N46" s="135">
        <f>+Q46-J46-L46</f>
        <v>-706.99999999999989</v>
      </c>
      <c r="O46" s="135">
        <f>+R46-K46-M46</f>
        <v>-18</v>
      </c>
      <c r="P46" s="129">
        <f t="shared" si="6"/>
        <v>-0.97454031117397455</v>
      </c>
      <c r="Q46" s="177">
        <v>-1306.5213509999999</v>
      </c>
      <c r="R46" s="177">
        <v>-2984</v>
      </c>
      <c r="S46" s="129">
        <f t="shared" si="7"/>
        <v>1.2839274671753913</v>
      </c>
    </row>
    <row r="47" spans="1:19" s="95" customFormat="1" x14ac:dyDescent="0.3">
      <c r="A47" s="95" t="s">
        <v>43</v>
      </c>
      <c r="B47" s="80">
        <f t="shared" ref="B47:G47" si="18">SUM(B44:B46)</f>
        <v>172912</v>
      </c>
      <c r="C47" s="80">
        <f t="shared" si="18"/>
        <v>210911</v>
      </c>
      <c r="D47" s="80">
        <f t="shared" si="18"/>
        <v>244482</v>
      </c>
      <c r="E47" s="80">
        <f t="shared" si="18"/>
        <v>291080</v>
      </c>
      <c r="F47" s="80">
        <f t="shared" si="18"/>
        <v>225701</v>
      </c>
      <c r="G47" s="80">
        <f t="shared" si="18"/>
        <v>280279</v>
      </c>
      <c r="H47" s="80">
        <f t="shared" ref="H47:O47" si="19">SUM(H44:H46)</f>
        <v>256109</v>
      </c>
      <c r="I47" s="80">
        <f t="shared" si="19"/>
        <v>345845</v>
      </c>
      <c r="J47" s="134">
        <f t="shared" si="19"/>
        <v>58425</v>
      </c>
      <c r="K47" s="134">
        <f t="shared" si="19"/>
        <v>80149</v>
      </c>
      <c r="L47" s="134">
        <f t="shared" si="19"/>
        <v>88682.308839000005</v>
      </c>
      <c r="M47" s="134">
        <f t="shared" si="19"/>
        <v>99819</v>
      </c>
      <c r="N47" s="134">
        <f t="shared" si="19"/>
        <v>95617</v>
      </c>
      <c r="O47" s="134">
        <f t="shared" si="19"/>
        <v>102826</v>
      </c>
      <c r="P47" s="129">
        <f t="shared" si="6"/>
        <v>7.5394542811424742E-2</v>
      </c>
      <c r="Q47" s="180">
        <f t="shared" ref="Q47" si="20">SUM(Q44:Q46)</f>
        <v>242724.30883899998</v>
      </c>
      <c r="R47" s="180">
        <f t="shared" ref="R47" si="21">SUM(R44:R46)</f>
        <v>282794</v>
      </c>
      <c r="S47" s="129">
        <f t="shared" si="7"/>
        <v>0.16508314042652569</v>
      </c>
    </row>
    <row r="48" spans="1:19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81">
        <v>-127</v>
      </c>
      <c r="I48" s="81">
        <v>-361</v>
      </c>
      <c r="J48" s="135">
        <v>-8</v>
      </c>
      <c r="K48" s="135">
        <v>-2289</v>
      </c>
      <c r="L48" s="135">
        <f>-18.162-J48</f>
        <v>-10.161999999999999</v>
      </c>
      <c r="M48" s="135">
        <f>-1378-K48</f>
        <v>911</v>
      </c>
      <c r="N48" s="135">
        <f>+Q48-J48-L48</f>
        <v>-261</v>
      </c>
      <c r="O48" s="135">
        <f>+R48-K48-M48</f>
        <v>-496</v>
      </c>
      <c r="P48" s="129">
        <f t="shared" si="6"/>
        <v>0.90038314176245215</v>
      </c>
      <c r="Q48" s="177">
        <v>-279.16199999999998</v>
      </c>
      <c r="R48" s="177">
        <v>-1874</v>
      </c>
      <c r="S48" s="129">
        <f t="shared" si="7"/>
        <v>5.7129480373403263</v>
      </c>
    </row>
    <row r="49" spans="1:19" s="85" customFormat="1" ht="15.75" thickBot="1" x14ac:dyDescent="0.35">
      <c r="A49" s="102" t="s">
        <v>17</v>
      </c>
      <c r="B49" s="103">
        <f t="shared" ref="B49:G49" si="22">SUM(B47:B48)</f>
        <v>169411</v>
      </c>
      <c r="C49" s="103">
        <f t="shared" si="22"/>
        <v>210697</v>
      </c>
      <c r="D49" s="103">
        <f t="shared" si="22"/>
        <v>244292</v>
      </c>
      <c r="E49" s="103">
        <f t="shared" si="22"/>
        <v>291006</v>
      </c>
      <c r="F49" s="103">
        <f t="shared" si="22"/>
        <v>225496</v>
      </c>
      <c r="G49" s="103">
        <f t="shared" si="22"/>
        <v>278403</v>
      </c>
      <c r="H49" s="103">
        <f t="shared" ref="H49:O49" si="23">SUM(H47:H48)</f>
        <v>255982</v>
      </c>
      <c r="I49" s="103">
        <f t="shared" si="23"/>
        <v>345484</v>
      </c>
      <c r="J49" s="166">
        <f t="shared" si="23"/>
        <v>58417</v>
      </c>
      <c r="K49" s="166">
        <f t="shared" si="23"/>
        <v>77860</v>
      </c>
      <c r="L49" s="166">
        <f t="shared" si="23"/>
        <v>88672.146839000008</v>
      </c>
      <c r="M49" s="166">
        <f t="shared" si="23"/>
        <v>100730</v>
      </c>
      <c r="N49" s="166">
        <f>SUM(N47:N48)</f>
        <v>95356</v>
      </c>
      <c r="O49" s="166">
        <f t="shared" si="23"/>
        <v>102330</v>
      </c>
      <c r="P49" s="130">
        <f t="shared" si="6"/>
        <v>7.31364570661521E-2</v>
      </c>
      <c r="Q49" s="182">
        <f t="shared" ref="Q49" si="24">SUM(Q47:Q48)</f>
        <v>242445.14683899996</v>
      </c>
      <c r="R49" s="182">
        <f t="shared" ref="R49" si="25">SUM(R47:R48)</f>
        <v>280920</v>
      </c>
      <c r="S49" s="130">
        <f t="shared" si="7"/>
        <v>0.15869508489914194</v>
      </c>
    </row>
    <row r="50" spans="1:19" s="85" customFormat="1" x14ac:dyDescent="0.3">
      <c r="C50" s="80"/>
      <c r="H50" s="81"/>
      <c r="I50" s="81"/>
      <c r="J50" s="81"/>
      <c r="K50" s="81"/>
      <c r="L50" s="82"/>
    </row>
    <row r="51" spans="1:19" s="85" customFormat="1" x14ac:dyDescent="0.3">
      <c r="C51" s="81"/>
      <c r="H51" s="81"/>
      <c r="I51" s="81"/>
      <c r="J51" s="81"/>
      <c r="K51" s="81"/>
      <c r="L51" s="82"/>
    </row>
    <row r="52" spans="1:19" s="85" customFormat="1" x14ac:dyDescent="0.3">
      <c r="C52" s="81"/>
      <c r="E52" s="80"/>
      <c r="H52" s="81"/>
      <c r="I52" s="81"/>
      <c r="J52" s="81"/>
      <c r="K52" s="81"/>
      <c r="L52" s="82"/>
    </row>
    <row r="53" spans="1:19" s="85" customFormat="1" x14ac:dyDescent="0.3">
      <c r="C53" s="81"/>
      <c r="E53" s="81"/>
      <c r="H53" s="81"/>
      <c r="I53" s="81"/>
      <c r="J53" s="81"/>
      <c r="K53" s="81"/>
      <c r="L53" s="82"/>
    </row>
    <row r="54" spans="1:19" s="85" customFormat="1" x14ac:dyDescent="0.3">
      <c r="C54" s="80"/>
      <c r="E54" s="81"/>
      <c r="H54" s="81"/>
      <c r="I54" s="81"/>
      <c r="J54" s="81"/>
      <c r="K54" s="81"/>
      <c r="L54" s="82"/>
    </row>
    <row r="55" spans="1:19" s="85" customFormat="1" x14ac:dyDescent="0.3">
      <c r="C55" s="81"/>
      <c r="E55" s="81"/>
      <c r="H55" s="81"/>
      <c r="I55" s="81"/>
      <c r="J55" s="81"/>
      <c r="K55" s="81"/>
      <c r="L55" s="82"/>
    </row>
    <row r="56" spans="1:19" x14ac:dyDescent="0.3">
      <c r="C56" s="80"/>
      <c r="E56" s="80"/>
    </row>
    <row r="57" spans="1:19" x14ac:dyDescent="0.3">
      <c r="C57" s="81"/>
      <c r="E57" s="81"/>
    </row>
    <row r="58" spans="1:19" x14ac:dyDescent="0.3">
      <c r="C58" s="81"/>
      <c r="E58" s="80"/>
    </row>
  </sheetData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82"/>
  <sheetViews>
    <sheetView topLeftCell="A49" workbookViewId="0">
      <selection activeCell="A61" sqref="A61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10" width="11.140625" style="74" bestFit="1" customWidth="1"/>
    <col min="11" max="11" width="11.5703125" style="74" bestFit="1" customWidth="1"/>
    <col min="12" max="12" width="11.140625" style="75" bestFit="1" customWidth="1"/>
    <col min="13" max="13" width="10.28515625" style="75" bestFit="1" customWidth="1"/>
    <col min="14" max="14" width="10.28515625" style="75" customWidth="1"/>
    <col min="15" max="16" width="10.42578125" style="76" bestFit="1" customWidth="1"/>
    <col min="17" max="17" width="10.28515625" style="73" bestFit="1" customWidth="1"/>
    <col min="18" max="16384" width="11.42578125" style="73"/>
  </cols>
  <sheetData>
    <row r="6" spans="1:20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20" ht="15.75" x14ac:dyDescent="0.3">
      <c r="A7" s="78" t="s">
        <v>115</v>
      </c>
      <c r="B7" s="78"/>
      <c r="C7" s="78"/>
      <c r="D7" s="78"/>
      <c r="E7" s="78"/>
      <c r="F7" s="78"/>
      <c r="G7" s="78"/>
    </row>
    <row r="8" spans="1:20" x14ac:dyDescent="0.3">
      <c r="A8" s="79" t="s">
        <v>88</v>
      </c>
      <c r="B8" s="79"/>
      <c r="C8" s="79"/>
      <c r="D8" s="79"/>
      <c r="E8" s="79"/>
      <c r="F8" s="79"/>
      <c r="G8" s="79"/>
    </row>
    <row r="9" spans="1:20" s="85" customFormat="1" x14ac:dyDescent="0.3">
      <c r="H9" s="81"/>
      <c r="I9" s="81"/>
      <c r="J9" s="81"/>
      <c r="K9" s="81"/>
      <c r="L9" s="82"/>
      <c r="M9" s="82"/>
      <c r="N9" s="82"/>
      <c r="O9" s="83"/>
      <c r="P9" s="83"/>
      <c r="Q9" s="84"/>
      <c r="R9" s="84"/>
      <c r="S9" s="84"/>
      <c r="T9" s="84"/>
    </row>
    <row r="10" spans="1:20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44">
        <v>2011</v>
      </c>
      <c r="I10" s="144">
        <v>2012</v>
      </c>
      <c r="J10" s="176">
        <v>2012</v>
      </c>
      <c r="K10" s="145">
        <v>2013</v>
      </c>
      <c r="L10" s="146" t="s">
        <v>46</v>
      </c>
      <c r="O10" s="83"/>
      <c r="P10" s="83"/>
      <c r="Q10" s="106"/>
      <c r="R10" s="84"/>
      <c r="S10" s="84"/>
      <c r="T10" s="84"/>
    </row>
    <row r="11" spans="1:20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71">
        <v>193087</v>
      </c>
      <c r="I11" s="171">
        <v>291812</v>
      </c>
      <c r="J11" s="177">
        <v>331810</v>
      </c>
      <c r="K11" s="117">
        <v>345435</v>
      </c>
      <c r="L11" s="129">
        <f>+(K11-J11)/J11</f>
        <v>4.1062656339471384E-2</v>
      </c>
      <c r="O11" s="83"/>
      <c r="P11" s="83"/>
      <c r="Q11" s="108"/>
      <c r="R11" s="84"/>
      <c r="S11" s="84"/>
      <c r="T11" s="84"/>
    </row>
    <row r="12" spans="1:20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71">
        <v>329071</v>
      </c>
      <c r="I12" s="171">
        <v>330090</v>
      </c>
      <c r="J12" s="177">
        <v>329454</v>
      </c>
      <c r="K12" s="117">
        <v>357305</v>
      </c>
      <c r="L12" s="129">
        <f>+(K12-J12)/J12</f>
        <v>8.4536839740904646E-2</v>
      </c>
      <c r="O12" s="170"/>
      <c r="P12" s="83"/>
      <c r="Q12" s="106"/>
      <c r="R12" s="84"/>
      <c r="S12" s="84"/>
      <c r="T12" s="84"/>
    </row>
    <row r="13" spans="1:20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71">
        <v>650631</v>
      </c>
      <c r="I13" s="171">
        <v>681860</v>
      </c>
      <c r="J13" s="177">
        <v>694158</v>
      </c>
      <c r="K13" s="117">
        <v>931013</v>
      </c>
      <c r="L13" s="129">
        <f t="shared" ref="L13:L19" si="0">+(K13-J13)/J13</f>
        <v>0.34121194310229086</v>
      </c>
      <c r="O13" s="83"/>
      <c r="P13" s="83"/>
      <c r="Q13" s="106"/>
      <c r="R13" s="84"/>
      <c r="S13" s="84"/>
      <c r="T13" s="84"/>
    </row>
    <row r="14" spans="1:20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71">
        <v>601866</v>
      </c>
      <c r="I14" s="171">
        <v>555796</v>
      </c>
      <c r="J14" s="177">
        <v>595515</v>
      </c>
      <c r="K14" s="117">
        <v>751151</v>
      </c>
      <c r="L14" s="129">
        <f t="shared" si="0"/>
        <v>0.26134690142145872</v>
      </c>
      <c r="O14" s="83"/>
      <c r="P14" s="83"/>
      <c r="Q14" s="106"/>
      <c r="R14" s="84"/>
      <c r="S14" s="84"/>
      <c r="T14" s="84"/>
    </row>
    <row r="15" spans="1:20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71">
        <v>1009855</v>
      </c>
      <c r="I15" s="171">
        <v>1135785</v>
      </c>
      <c r="J15" s="177">
        <v>1076293</v>
      </c>
      <c r="K15" s="117">
        <v>1379531</v>
      </c>
      <c r="L15" s="129">
        <f t="shared" si="0"/>
        <v>0.28174298262647812</v>
      </c>
      <c r="O15" s="83"/>
      <c r="P15" s="83"/>
      <c r="Q15" s="106"/>
      <c r="R15" s="84"/>
      <c r="S15" s="84"/>
      <c r="T15" s="84"/>
    </row>
    <row r="16" spans="1:20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71">
        <v>900384</v>
      </c>
      <c r="I16" s="171">
        <v>1025441</v>
      </c>
      <c r="J16" s="177">
        <v>871879</v>
      </c>
      <c r="K16" s="117">
        <v>2118695</v>
      </c>
      <c r="L16" s="129">
        <f t="shared" si="0"/>
        <v>1.4300332959045923</v>
      </c>
      <c r="O16" s="83"/>
      <c r="P16" s="83"/>
      <c r="Q16" s="106"/>
      <c r="R16" s="84"/>
      <c r="S16" s="84"/>
      <c r="T16" s="84"/>
    </row>
    <row r="17" spans="1:20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71">
        <v>130401</v>
      </c>
      <c r="I17" s="171">
        <v>57452</v>
      </c>
      <c r="J17" s="177">
        <v>113035</v>
      </c>
      <c r="K17" s="117">
        <v>103310</v>
      </c>
      <c r="L17" s="129">
        <f t="shared" si="0"/>
        <v>-8.6035298801256252E-2</v>
      </c>
      <c r="O17" s="83"/>
      <c r="P17" s="83"/>
      <c r="Q17" s="106"/>
      <c r="R17" s="84"/>
      <c r="S17" s="84"/>
      <c r="T17" s="84"/>
    </row>
    <row r="18" spans="1:20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71">
        <v>18323</v>
      </c>
      <c r="I18" s="171">
        <v>6913</v>
      </c>
      <c r="J18" s="177">
        <v>4678</v>
      </c>
      <c r="K18" s="117">
        <v>14047</v>
      </c>
      <c r="L18" s="129">
        <f t="shared" si="0"/>
        <v>2.0027789653698163</v>
      </c>
      <c r="O18" s="83"/>
      <c r="P18" s="83"/>
      <c r="Q18" s="106"/>
      <c r="R18" s="84"/>
      <c r="S18" s="84"/>
      <c r="T18" s="84"/>
    </row>
    <row r="19" spans="1:20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71">
        <v>4097551</v>
      </c>
      <c r="I19" s="171">
        <v>4866415</v>
      </c>
      <c r="J19" s="177">
        <v>4259574</v>
      </c>
      <c r="K19" s="117">
        <v>4989555</v>
      </c>
      <c r="L19" s="129">
        <f t="shared" si="0"/>
        <v>0.17137417967148827</v>
      </c>
      <c r="O19" s="83"/>
      <c r="P19" s="83"/>
      <c r="Q19" s="106"/>
      <c r="R19" s="84"/>
      <c r="S19" s="84"/>
      <c r="T19" s="84"/>
    </row>
    <row r="20" spans="1:20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172">
        <f>SUM(H11:H19)</f>
        <v>7931169</v>
      </c>
      <c r="I20" s="172">
        <f>SUM(I11:I19)</f>
        <v>8951564</v>
      </c>
      <c r="J20" s="178">
        <f>SUM(J11:J19)</f>
        <v>8276396</v>
      </c>
      <c r="K20" s="118">
        <f>SUM(K11:K19)</f>
        <v>10990042</v>
      </c>
      <c r="L20" s="130">
        <f>+(K20-J20)/J20</f>
        <v>0.32787773808793103</v>
      </c>
      <c r="O20" s="83"/>
      <c r="P20" s="83"/>
      <c r="Q20" s="106"/>
      <c r="R20" s="84"/>
      <c r="S20" s="84"/>
      <c r="T20" s="84"/>
    </row>
    <row r="21" spans="1:20" s="85" customFormat="1" x14ac:dyDescent="0.3">
      <c r="A21" s="153"/>
      <c r="B21" s="81"/>
      <c r="C21" s="81"/>
      <c r="D21" s="81"/>
      <c r="E21" s="81"/>
      <c r="F21" s="81"/>
      <c r="G21" s="81"/>
      <c r="H21" s="171"/>
      <c r="I21" s="171"/>
      <c r="J21" s="177"/>
      <c r="K21" s="117"/>
      <c r="L21" s="129"/>
      <c r="O21" s="83"/>
      <c r="P21" s="83"/>
      <c r="Q21" s="106"/>
      <c r="R21" s="84"/>
      <c r="S21" s="84"/>
      <c r="T21" s="84"/>
    </row>
    <row r="22" spans="1:20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173">
        <v>2011</v>
      </c>
      <c r="I22" s="173">
        <v>2012</v>
      </c>
      <c r="J22" s="179">
        <v>2012</v>
      </c>
      <c r="K22" s="127">
        <v>2013</v>
      </c>
      <c r="L22" s="128" t="s">
        <v>46</v>
      </c>
      <c r="O22" s="83"/>
      <c r="P22" s="83"/>
      <c r="Q22" s="108"/>
      <c r="R22" s="84"/>
      <c r="S22" s="84"/>
      <c r="T22" s="84"/>
    </row>
    <row r="23" spans="1:20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71">
        <v>679598</v>
      </c>
      <c r="I23" s="171">
        <v>690354</v>
      </c>
      <c r="J23" s="177">
        <v>632454</v>
      </c>
      <c r="K23" s="117">
        <v>2021108</v>
      </c>
      <c r="L23" s="129">
        <f t="shared" ref="L23:L34" si="1">+(K23-J23)/J23</f>
        <v>2.1956600796263444</v>
      </c>
      <c r="O23" s="83"/>
      <c r="P23" s="83"/>
      <c r="Q23" s="106"/>
      <c r="R23" s="84"/>
      <c r="S23" s="84"/>
      <c r="T23" s="84"/>
    </row>
    <row r="24" spans="1:20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71">
        <v>163168</v>
      </c>
      <c r="I24" s="171">
        <v>170648</v>
      </c>
      <c r="J24" s="177">
        <v>158167</v>
      </c>
      <c r="K24" s="117">
        <v>206620</v>
      </c>
      <c r="L24" s="129">
        <f t="shared" si="1"/>
        <v>0.30634076640512875</v>
      </c>
      <c r="O24" s="83"/>
      <c r="P24" s="83"/>
      <c r="Q24" s="108"/>
      <c r="R24" s="84"/>
      <c r="S24" s="84"/>
      <c r="T24" s="84"/>
    </row>
    <row r="25" spans="1:20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71">
        <v>217244</v>
      </c>
      <c r="I25" s="171">
        <v>259622</v>
      </c>
      <c r="J25" s="177">
        <v>234700</v>
      </c>
      <c r="K25" s="117">
        <v>358785</v>
      </c>
      <c r="L25" s="129">
        <f t="shared" si="1"/>
        <v>0.5286962079250106</v>
      </c>
      <c r="O25" s="83"/>
      <c r="P25" s="83"/>
      <c r="Q25" s="106"/>
      <c r="R25" s="84"/>
      <c r="S25" s="84"/>
      <c r="T25" s="84"/>
    </row>
    <row r="26" spans="1:20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71">
        <v>132822</v>
      </c>
      <c r="I26" s="171">
        <v>138203</v>
      </c>
      <c r="J26" s="177">
        <v>86817</v>
      </c>
      <c r="K26" s="117">
        <v>69570</v>
      </c>
      <c r="L26" s="129">
        <f t="shared" si="1"/>
        <v>-0.19865924876464286</v>
      </c>
      <c r="O26" s="83"/>
      <c r="P26" s="83"/>
      <c r="Q26" s="106"/>
      <c r="R26" s="84"/>
      <c r="S26" s="84"/>
      <c r="T26" s="84"/>
    </row>
    <row r="27" spans="1:20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71">
        <v>96429</v>
      </c>
      <c r="I27" s="171">
        <v>109969</v>
      </c>
      <c r="J27" s="177">
        <v>45855</v>
      </c>
      <c r="K27" s="117">
        <v>56114</v>
      </c>
      <c r="L27" s="129">
        <f t="shared" si="1"/>
        <v>0.22372696543452186</v>
      </c>
      <c r="O27" s="83"/>
      <c r="P27" s="83"/>
      <c r="Q27" s="106"/>
      <c r="R27" s="84"/>
      <c r="S27" s="84"/>
      <c r="T27" s="84"/>
    </row>
    <row r="28" spans="1:20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71">
        <v>33608</v>
      </c>
      <c r="I28" s="171">
        <v>28288</v>
      </c>
      <c r="J28" s="177">
        <v>252760</v>
      </c>
      <c r="K28" s="117">
        <v>384377</v>
      </c>
      <c r="L28" s="129">
        <f t="shared" si="1"/>
        <v>0.52071925937648367</v>
      </c>
      <c r="O28" s="83"/>
      <c r="P28" s="83"/>
      <c r="Q28" s="106"/>
      <c r="R28" s="84"/>
      <c r="S28" s="84"/>
      <c r="T28" s="84"/>
    </row>
    <row r="29" spans="1:20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71">
        <v>112430</v>
      </c>
      <c r="I29" s="171">
        <v>125466</v>
      </c>
      <c r="J29" s="177">
        <v>119193</v>
      </c>
      <c r="K29" s="117">
        <v>162220</v>
      </c>
      <c r="L29" s="129">
        <f t="shared" si="1"/>
        <v>0.36098596394083543</v>
      </c>
      <c r="O29" s="83"/>
      <c r="P29" s="83"/>
      <c r="Q29" s="106"/>
      <c r="R29" s="84"/>
      <c r="S29" s="84"/>
      <c r="T29" s="84"/>
    </row>
    <row r="30" spans="1:20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71">
        <v>5031</v>
      </c>
      <c r="I30" s="171">
        <v>3762</v>
      </c>
      <c r="J30" s="177">
        <v>6607</v>
      </c>
      <c r="K30" s="117">
        <v>22494</v>
      </c>
      <c r="L30" s="129">
        <f t="shared" si="1"/>
        <v>2.4045709096412895</v>
      </c>
      <c r="O30" s="83"/>
      <c r="P30" s="83"/>
      <c r="Q30" s="106"/>
      <c r="R30" s="84"/>
      <c r="S30" s="84"/>
      <c r="T30" s="84"/>
    </row>
    <row r="31" spans="1:20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174">
        <f>SUM(H23:H30)</f>
        <v>1440330</v>
      </c>
      <c r="I31" s="174">
        <f>SUM(I23:I30)</f>
        <v>1526312</v>
      </c>
      <c r="J31" s="180">
        <f>SUM(J23:J30)</f>
        <v>1536553</v>
      </c>
      <c r="K31" s="119">
        <f>SUM(K23:K30)</f>
        <v>3281288</v>
      </c>
      <c r="L31" s="129">
        <f t="shared" si="1"/>
        <v>1.1354863776257635</v>
      </c>
      <c r="O31" s="83"/>
      <c r="P31" s="83"/>
      <c r="Q31" s="106"/>
      <c r="R31" s="84"/>
      <c r="S31" s="84"/>
      <c r="T31" s="84"/>
    </row>
    <row r="32" spans="1:20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71">
        <v>16209</v>
      </c>
      <c r="I32" s="171">
        <v>16294</v>
      </c>
      <c r="J32" s="177">
        <v>15731</v>
      </c>
      <c r="K32" s="117">
        <v>20353</v>
      </c>
      <c r="L32" s="129">
        <f t="shared" si="1"/>
        <v>0.29381476066365775</v>
      </c>
      <c r="O32" s="83"/>
      <c r="P32" s="83"/>
      <c r="Q32" s="106"/>
      <c r="R32" s="84"/>
      <c r="S32" s="84"/>
      <c r="T32" s="84"/>
    </row>
    <row r="33" spans="1:23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175">
        <v>6474630</v>
      </c>
      <c r="I33" s="175">
        <v>7408958</v>
      </c>
      <c r="J33" s="181">
        <v>6724112</v>
      </c>
      <c r="K33" s="120">
        <v>7688401</v>
      </c>
      <c r="L33" s="131">
        <f t="shared" si="1"/>
        <v>0.14340763508995685</v>
      </c>
      <c r="O33" s="83"/>
      <c r="P33" s="83"/>
      <c r="Q33" s="108"/>
      <c r="R33" s="84"/>
      <c r="S33" s="84"/>
      <c r="T33" s="84"/>
    </row>
    <row r="34" spans="1:23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172">
        <f>+H31+H32+H33</f>
        <v>7931169</v>
      </c>
      <c r="I34" s="172">
        <f>+I31+I32+I33</f>
        <v>8951564</v>
      </c>
      <c r="J34" s="178">
        <f>+J31+J32+J33</f>
        <v>8276396</v>
      </c>
      <c r="K34" s="118">
        <f>+K31+K32+K33</f>
        <v>10990042</v>
      </c>
      <c r="L34" s="130">
        <f t="shared" si="1"/>
        <v>0.32787773808793103</v>
      </c>
      <c r="O34" s="83"/>
      <c r="P34" s="83"/>
      <c r="Q34" s="108"/>
      <c r="R34" s="84"/>
      <c r="S34" s="84"/>
      <c r="T34" s="84"/>
    </row>
    <row r="35" spans="1:23" s="85" customFormat="1" x14ac:dyDescent="0.3">
      <c r="H35" s="81"/>
      <c r="I35" s="81"/>
      <c r="J35" s="81"/>
      <c r="K35" s="81"/>
      <c r="L35" s="82"/>
      <c r="M35" s="107"/>
      <c r="N35" s="107"/>
      <c r="O35" s="83"/>
      <c r="P35" s="83"/>
      <c r="Q35" s="108"/>
      <c r="R35" s="84"/>
      <c r="S35" s="84"/>
      <c r="T35" s="84"/>
    </row>
    <row r="36" spans="1:23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3" ht="15.75" x14ac:dyDescent="0.3">
      <c r="A37" s="78" t="s">
        <v>113</v>
      </c>
      <c r="B37" s="78"/>
      <c r="C37" s="78"/>
      <c r="D37" s="78"/>
      <c r="E37" s="78"/>
      <c r="F37" s="78"/>
      <c r="G37" s="78"/>
    </row>
    <row r="38" spans="1:23" x14ac:dyDescent="0.3">
      <c r="A38" s="79" t="s">
        <v>88</v>
      </c>
      <c r="B38" s="79"/>
      <c r="C38" s="79"/>
      <c r="D38" s="79"/>
      <c r="E38" s="79"/>
      <c r="F38" s="79"/>
      <c r="G38" s="79"/>
    </row>
    <row r="39" spans="1:23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44">
        <v>2011</v>
      </c>
      <c r="I39" s="144">
        <v>2012</v>
      </c>
      <c r="J39" s="145" t="s">
        <v>96</v>
      </c>
      <c r="K39" s="145" t="s">
        <v>95</v>
      </c>
      <c r="L39" s="145" t="s">
        <v>99</v>
      </c>
      <c r="M39" s="145" t="s">
        <v>100</v>
      </c>
      <c r="N39" s="145" t="s">
        <v>111</v>
      </c>
      <c r="O39" s="146" t="s">
        <v>55</v>
      </c>
      <c r="P39" s="145" t="s">
        <v>112</v>
      </c>
      <c r="Q39" s="146" t="s">
        <v>55</v>
      </c>
      <c r="R39" s="147" t="s">
        <v>46</v>
      </c>
      <c r="S39" s="176" t="s">
        <v>108</v>
      </c>
      <c r="T39" s="183" t="s">
        <v>55</v>
      </c>
      <c r="U39" s="176" t="s">
        <v>109</v>
      </c>
      <c r="V39" s="183" t="s">
        <v>55</v>
      </c>
      <c r="W39" s="184" t="s">
        <v>46</v>
      </c>
    </row>
    <row r="40" spans="1:23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110">
        <v>5057382.6182662696</v>
      </c>
      <c r="I40" s="110">
        <v>5305782</v>
      </c>
      <c r="J40" s="132">
        <v>1237546</v>
      </c>
      <c r="K40" s="132">
        <v>1242052</v>
      </c>
      <c r="L40" s="132">
        <v>1265469</v>
      </c>
      <c r="M40" s="132">
        <v>1370524</v>
      </c>
      <c r="N40" s="132">
        <v>1329904</v>
      </c>
      <c r="O40" s="138">
        <v>1</v>
      </c>
      <c r="P40" s="132">
        <v>1488896</v>
      </c>
      <c r="Q40" s="138">
        <v>1</v>
      </c>
      <c r="R40" s="138">
        <f t="shared" ref="R40:R59" si="2">IF(N40&lt;&gt;0,(P40-N40)/N40,0)</f>
        <v>0.11955148642308017</v>
      </c>
      <c r="S40" s="185">
        <v>3832919</v>
      </c>
      <c r="T40" s="186">
        <v>1</v>
      </c>
      <c r="U40" s="185">
        <v>4101472</v>
      </c>
      <c r="V40" s="186">
        <v>1</v>
      </c>
      <c r="W40" s="187">
        <f t="shared" ref="W40:W57" si="3">IF(S40&lt;&gt;0,(U40-S40)/S40,0)</f>
        <v>7.0064877447188423E-2</v>
      </c>
    </row>
    <row r="41" spans="1:23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112">
        <v>-3030201.8461819952</v>
      </c>
      <c r="I41" s="112">
        <v>-3064460</v>
      </c>
      <c r="J41" s="133">
        <v>-724520</v>
      </c>
      <c r="K41" s="133">
        <v>-682801</v>
      </c>
      <c r="L41" s="133">
        <v>-728867</v>
      </c>
      <c r="M41" s="133">
        <v>-750580</v>
      </c>
      <c r="N41" s="133">
        <v>-749719</v>
      </c>
      <c r="O41" s="129">
        <f t="shared" ref="O41:O59" si="4">+N41/$N$40</f>
        <v>-0.56373918718945126</v>
      </c>
      <c r="P41" s="133">
        <v>-823869</v>
      </c>
      <c r="Q41" s="129">
        <f t="shared" ref="Q41:Q59" si="5">+P41/$P$40</f>
        <v>-0.55334220791781297</v>
      </c>
      <c r="R41" s="129">
        <f t="shared" si="2"/>
        <v>9.8903722594732166E-2</v>
      </c>
      <c r="S41" s="188">
        <v>-2203106</v>
      </c>
      <c r="T41" s="187">
        <f t="shared" ref="T41:T59" si="6">+S41/$S$40</f>
        <v>-0.57478543115573277</v>
      </c>
      <c r="U41" s="188">
        <v>-2257250</v>
      </c>
      <c r="V41" s="187">
        <f t="shared" ref="V41:V59" si="7">+U41/$U$40</f>
        <v>-0.55035119098704077</v>
      </c>
      <c r="W41" s="187">
        <f t="shared" si="3"/>
        <v>2.4576211948040629E-2</v>
      </c>
    </row>
    <row r="42" spans="1:23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80">
        <f t="shared" ref="H42:N42" si="8">SUM(H40:H41)</f>
        <v>2027180.7720842743</v>
      </c>
      <c r="I42" s="80">
        <f t="shared" si="8"/>
        <v>2241322</v>
      </c>
      <c r="J42" s="134">
        <f t="shared" si="8"/>
        <v>513026</v>
      </c>
      <c r="K42" s="134">
        <f t="shared" si="8"/>
        <v>559251</v>
      </c>
      <c r="L42" s="134">
        <f t="shared" si="8"/>
        <v>536602</v>
      </c>
      <c r="M42" s="134">
        <f t="shared" si="8"/>
        <v>619944</v>
      </c>
      <c r="N42" s="134">
        <f t="shared" si="8"/>
        <v>580185</v>
      </c>
      <c r="O42" s="138">
        <f t="shared" si="4"/>
        <v>0.43626081281054874</v>
      </c>
      <c r="P42" s="134">
        <f>SUM(P40:P41)</f>
        <v>665027</v>
      </c>
      <c r="Q42" s="138">
        <f t="shared" si="5"/>
        <v>0.44665779208218709</v>
      </c>
      <c r="R42" s="138">
        <f t="shared" si="2"/>
        <v>0.14623266716650724</v>
      </c>
      <c r="S42" s="180">
        <f>SUM(S40:S41)</f>
        <v>1629813</v>
      </c>
      <c r="T42" s="187">
        <f t="shared" si="6"/>
        <v>0.42521456884426723</v>
      </c>
      <c r="U42" s="180">
        <f>SUM(U40:U41)</f>
        <v>1844222</v>
      </c>
      <c r="V42" s="187">
        <f t="shared" si="7"/>
        <v>0.44964880901295923</v>
      </c>
      <c r="W42" s="187">
        <f t="shared" si="3"/>
        <v>0.13155435623596082</v>
      </c>
    </row>
    <row r="43" spans="1:23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81">
        <v>-250061.17590559012</v>
      </c>
      <c r="I43" s="81">
        <v>-270303</v>
      </c>
      <c r="J43" s="135">
        <v>-59529</v>
      </c>
      <c r="K43" s="135">
        <v>-64873</v>
      </c>
      <c r="L43" s="135">
        <v>-62802</v>
      </c>
      <c r="M43" s="135">
        <v>-73939</v>
      </c>
      <c r="N43" s="135">
        <v>-70895</v>
      </c>
      <c r="O43" s="129">
        <f t="shared" si="4"/>
        <v>-5.3308359099604179E-2</v>
      </c>
      <c r="P43" s="135">
        <v>-103428</v>
      </c>
      <c r="Q43" s="129">
        <f t="shared" si="5"/>
        <v>-6.9466235385144431E-2</v>
      </c>
      <c r="R43" s="129">
        <f t="shared" si="2"/>
        <v>0.45888990760984555</v>
      </c>
      <c r="S43" s="177">
        <v>-193226</v>
      </c>
      <c r="T43" s="187">
        <f t="shared" si="6"/>
        <v>-5.0412231513371403E-2</v>
      </c>
      <c r="U43" s="177">
        <v>-242240</v>
      </c>
      <c r="V43" s="187">
        <f t="shared" si="7"/>
        <v>-5.9061722230457747E-2</v>
      </c>
      <c r="W43" s="187">
        <f t="shared" si="3"/>
        <v>0.25366151553103622</v>
      </c>
    </row>
    <row r="44" spans="1:23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81">
        <v>-1221301.5797654777</v>
      </c>
      <c r="I44" s="81">
        <v>-1326976</v>
      </c>
      <c r="J44" s="135">
        <v>-305689</v>
      </c>
      <c r="K44" s="135">
        <v>-325559</v>
      </c>
      <c r="L44" s="135">
        <v>-310054</v>
      </c>
      <c r="M44" s="135">
        <v>-355546</v>
      </c>
      <c r="N44" s="135">
        <v>-335753</v>
      </c>
      <c r="O44" s="129">
        <f t="shared" si="4"/>
        <v>-0.25246408763339306</v>
      </c>
      <c r="P44" s="135">
        <v>-375490</v>
      </c>
      <c r="Q44" s="129">
        <f t="shared" si="5"/>
        <v>-0.25219357161279232</v>
      </c>
      <c r="R44" s="129">
        <f t="shared" si="2"/>
        <v>0.11835188367639306</v>
      </c>
      <c r="S44" s="177">
        <v>-951496</v>
      </c>
      <c r="T44" s="187">
        <f t="shared" si="6"/>
        <v>-0.24824317967585541</v>
      </c>
      <c r="U44" s="177">
        <v>-1056595</v>
      </c>
      <c r="V44" s="187">
        <f t="shared" si="7"/>
        <v>-0.25761360799244759</v>
      </c>
      <c r="W44" s="187">
        <f t="shared" si="3"/>
        <v>0.11045658625995275</v>
      </c>
    </row>
    <row r="45" spans="1:23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81">
        <v>-123323</v>
      </c>
      <c r="I45" s="81">
        <v>-122931</v>
      </c>
      <c r="J45" s="135">
        <v>-33091</v>
      </c>
      <c r="K45" s="135">
        <v>-27738</v>
      </c>
      <c r="L45" s="135">
        <v>-37645</v>
      </c>
      <c r="M45" s="135">
        <v>-33697</v>
      </c>
      <c r="N45" s="135">
        <v>-33984</v>
      </c>
      <c r="O45" s="129">
        <f t="shared" si="4"/>
        <v>-2.5553724178587325E-2</v>
      </c>
      <c r="P45" s="135">
        <v>-32082</v>
      </c>
      <c r="Q45" s="129">
        <f t="shared" si="5"/>
        <v>-2.1547509026822557E-2</v>
      </c>
      <c r="R45" s="129">
        <f t="shared" si="2"/>
        <v>-5.5967514124293787E-2</v>
      </c>
      <c r="S45" s="177">
        <v>-104720</v>
      </c>
      <c r="T45" s="187">
        <f t="shared" si="6"/>
        <v>-2.7321213936428085E-2</v>
      </c>
      <c r="U45" s="177">
        <v>-93517</v>
      </c>
      <c r="V45" s="187">
        <f t="shared" si="7"/>
        <v>-2.2800838333164288E-2</v>
      </c>
      <c r="W45" s="187">
        <f t="shared" si="3"/>
        <v>-0.10698051948051948</v>
      </c>
    </row>
    <row r="46" spans="1:23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80">
        <f t="shared" ref="H46:N46" si="9">SUM(H43:H45)</f>
        <v>-1594685.7556710679</v>
      </c>
      <c r="I46" s="80">
        <f t="shared" si="9"/>
        <v>-1720210</v>
      </c>
      <c r="J46" s="134">
        <f t="shared" si="9"/>
        <v>-398309</v>
      </c>
      <c r="K46" s="134">
        <f t="shared" si="9"/>
        <v>-418170</v>
      </c>
      <c r="L46" s="134">
        <f t="shared" si="9"/>
        <v>-410501</v>
      </c>
      <c r="M46" s="134">
        <f t="shared" si="9"/>
        <v>-463182</v>
      </c>
      <c r="N46" s="134">
        <f t="shared" si="9"/>
        <v>-440632</v>
      </c>
      <c r="O46" s="138">
        <f t="shared" si="4"/>
        <v>-0.33132617091158462</v>
      </c>
      <c r="P46" s="134">
        <f>SUM(P43:P45)</f>
        <v>-511000</v>
      </c>
      <c r="Q46" s="138">
        <f t="shared" si="5"/>
        <v>-0.34320731602475929</v>
      </c>
      <c r="R46" s="138">
        <f t="shared" si="2"/>
        <v>0.15969788848744532</v>
      </c>
      <c r="S46" s="180">
        <f>SUM(S43:S45)</f>
        <v>-1249442</v>
      </c>
      <c r="T46" s="187">
        <f t="shared" si="6"/>
        <v>-0.3259766251256549</v>
      </c>
      <c r="U46" s="180">
        <f>SUM(U43:U45)</f>
        <v>-1392352</v>
      </c>
      <c r="V46" s="187">
        <f t="shared" si="7"/>
        <v>-0.3394761685560696</v>
      </c>
      <c r="W46" s="187">
        <f t="shared" si="3"/>
        <v>0.11437905881185362</v>
      </c>
    </row>
    <row r="47" spans="1:23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80">
        <f t="shared" ref="H47:N47" si="10">+H42+H46</f>
        <v>432495.01641320647</v>
      </c>
      <c r="I47" s="80">
        <f t="shared" si="10"/>
        <v>521112</v>
      </c>
      <c r="J47" s="134">
        <f t="shared" si="10"/>
        <v>114717</v>
      </c>
      <c r="K47" s="134">
        <f t="shared" si="10"/>
        <v>141081</v>
      </c>
      <c r="L47" s="134">
        <f t="shared" si="10"/>
        <v>126101</v>
      </c>
      <c r="M47" s="134">
        <f t="shared" si="10"/>
        <v>156762</v>
      </c>
      <c r="N47" s="134">
        <f t="shared" si="10"/>
        <v>139553</v>
      </c>
      <c r="O47" s="138">
        <f t="shared" si="4"/>
        <v>0.10493464189896413</v>
      </c>
      <c r="P47" s="134">
        <f>+P42+P46</f>
        <v>154027</v>
      </c>
      <c r="Q47" s="138">
        <f t="shared" si="5"/>
        <v>0.10345047605742778</v>
      </c>
      <c r="R47" s="138">
        <f t="shared" si="2"/>
        <v>0.10371686742671243</v>
      </c>
      <c r="S47" s="180">
        <f>+S42+S46</f>
        <v>380371</v>
      </c>
      <c r="T47" s="187">
        <f t="shared" si="6"/>
        <v>9.9237943718612373E-2</v>
      </c>
      <c r="U47" s="180">
        <f>+U42+U46</f>
        <v>451870</v>
      </c>
      <c r="V47" s="187">
        <f t="shared" si="7"/>
        <v>0.11017264045688963</v>
      </c>
      <c r="W47" s="187">
        <f t="shared" si="3"/>
        <v>0.18797174337686101</v>
      </c>
    </row>
    <row r="48" spans="1:23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81">
        <v>7592</v>
      </c>
      <c r="I48" s="81">
        <v>12296</v>
      </c>
      <c r="J48" s="135">
        <v>2281</v>
      </c>
      <c r="K48" s="135">
        <v>2375</v>
      </c>
      <c r="L48" s="135">
        <v>2318</v>
      </c>
      <c r="M48" s="135">
        <v>2770</v>
      </c>
      <c r="N48" s="135">
        <v>3549</v>
      </c>
      <c r="O48" s="129">
        <f t="shared" si="4"/>
        <v>2.6686136743704807E-3</v>
      </c>
      <c r="P48" s="135">
        <v>3066</v>
      </c>
      <c r="Q48" s="129">
        <f t="shared" si="5"/>
        <v>2.0592438961485556E-3</v>
      </c>
      <c r="R48" s="129">
        <f t="shared" si="2"/>
        <v>-0.13609467455621302</v>
      </c>
      <c r="S48" s="177">
        <v>8148</v>
      </c>
      <c r="T48" s="187">
        <f t="shared" si="6"/>
        <v>2.1257949881017574E-3</v>
      </c>
      <c r="U48" s="177">
        <v>8211</v>
      </c>
      <c r="V48" s="187">
        <f t="shared" si="7"/>
        <v>2.0019641728628162E-3</v>
      </c>
      <c r="W48" s="187">
        <f t="shared" si="3"/>
        <v>7.7319587628865982E-3</v>
      </c>
    </row>
    <row r="49" spans="1:23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81">
        <v>-84666</v>
      </c>
      <c r="I49" s="81">
        <v>-70722</v>
      </c>
      <c r="J49" s="135">
        <v>-18188</v>
      </c>
      <c r="K49" s="135">
        <v>-16818</v>
      </c>
      <c r="L49" s="135">
        <v>-17611</v>
      </c>
      <c r="M49" s="135">
        <v>-17303</v>
      </c>
      <c r="N49" s="135">
        <v>-17493</v>
      </c>
      <c r="O49" s="129">
        <f t="shared" si="4"/>
        <v>-1.3153581010358642E-2</v>
      </c>
      <c r="P49" s="135">
        <v>-27265</v>
      </c>
      <c r="Q49" s="129">
        <f t="shared" si="5"/>
        <v>-1.8312225971458047E-2</v>
      </c>
      <c r="R49" s="129">
        <f t="shared" si="2"/>
        <v>0.55862344937975195</v>
      </c>
      <c r="S49" s="177">
        <v>-53292</v>
      </c>
      <c r="T49" s="187">
        <f t="shared" si="6"/>
        <v>-1.3903763685066134E-2</v>
      </c>
      <c r="U49" s="177">
        <v>-61386</v>
      </c>
      <c r="V49" s="187">
        <f t="shared" si="7"/>
        <v>-1.4966821667928003E-2</v>
      </c>
      <c r="W49" s="187">
        <f t="shared" si="3"/>
        <v>0.15188020716054942</v>
      </c>
    </row>
    <row r="50" spans="1:23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81">
        <v>-3636</v>
      </c>
      <c r="I50" s="81">
        <v>1782</v>
      </c>
      <c r="J50" s="135">
        <v>-1259</v>
      </c>
      <c r="K50" s="135">
        <v>-1758</v>
      </c>
      <c r="L50" s="135">
        <v>13430</v>
      </c>
      <c r="M50" s="135">
        <v>4040</v>
      </c>
      <c r="N50" s="135">
        <v>-3185</v>
      </c>
      <c r="O50" s="129">
        <f t="shared" si="4"/>
        <v>-2.3949097077683801E-3</v>
      </c>
      <c r="P50" s="135">
        <v>10554</v>
      </c>
      <c r="Q50" s="129">
        <f t="shared" si="5"/>
        <v>7.0884736072902342E-3</v>
      </c>
      <c r="R50" s="129">
        <f t="shared" si="2"/>
        <v>-4.3136577708006278</v>
      </c>
      <c r="S50" s="177">
        <v>8986</v>
      </c>
      <c r="T50" s="187">
        <f t="shared" si="6"/>
        <v>2.344427315056749E-3</v>
      </c>
      <c r="U50" s="177">
        <v>12836</v>
      </c>
      <c r="V50" s="187">
        <f t="shared" si="7"/>
        <v>3.1296081016766665E-3</v>
      </c>
      <c r="W50" s="187">
        <f t="shared" si="3"/>
        <v>0.4284442466058313</v>
      </c>
    </row>
    <row r="51" spans="1:23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81">
        <v>-26933</v>
      </c>
      <c r="I51" s="81">
        <v>-13536</v>
      </c>
      <c r="J51" s="135">
        <v>-5552</v>
      </c>
      <c r="K51" s="135">
        <v>-7981</v>
      </c>
      <c r="L51" s="135">
        <v>-7455</v>
      </c>
      <c r="M51" s="135">
        <v>-15076</v>
      </c>
      <c r="N51" s="135">
        <v>2332</v>
      </c>
      <c r="O51" s="129">
        <f t="shared" si="4"/>
        <v>1.7535100277914796E-3</v>
      </c>
      <c r="P51" s="135">
        <v>-2563</v>
      </c>
      <c r="Q51" s="129">
        <f t="shared" si="5"/>
        <v>-1.7214096887895461E-3</v>
      </c>
      <c r="R51" s="129">
        <f t="shared" si="2"/>
        <v>-2.0990566037735849</v>
      </c>
      <c r="S51" s="177">
        <v>-10675</v>
      </c>
      <c r="T51" s="187">
        <f t="shared" si="6"/>
        <v>-2.7850836399099486E-3</v>
      </c>
      <c r="U51" s="177">
        <v>-25620</v>
      </c>
      <c r="V51" s="187">
        <f t="shared" si="7"/>
        <v>-6.2465378283699117E-3</v>
      </c>
      <c r="W51" s="187">
        <f t="shared" si="3"/>
        <v>1.4</v>
      </c>
    </row>
    <row r="52" spans="1:23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81">
        <v>33531</v>
      </c>
      <c r="I52" s="81">
        <v>35188</v>
      </c>
      <c r="J52" s="135">
        <v>8296</v>
      </c>
      <c r="K52" s="135">
        <v>8803</v>
      </c>
      <c r="L52" s="135">
        <v>9263</v>
      </c>
      <c r="M52" s="135">
        <v>9924</v>
      </c>
      <c r="N52" s="135">
        <v>8787</v>
      </c>
      <c r="O52" s="129">
        <f t="shared" si="4"/>
        <v>6.6072438311336754E-3</v>
      </c>
      <c r="P52" s="135">
        <v>11140</v>
      </c>
      <c r="Q52" s="129">
        <f t="shared" si="5"/>
        <v>7.4820538170563963E-3</v>
      </c>
      <c r="R52" s="129">
        <f t="shared" si="2"/>
        <v>0.26778195060885401</v>
      </c>
      <c r="S52" s="177">
        <v>26346</v>
      </c>
      <c r="T52" s="187">
        <f t="shared" si="6"/>
        <v>6.8736125130742396E-3</v>
      </c>
      <c r="U52" s="177">
        <v>29867</v>
      </c>
      <c r="V52" s="187">
        <f t="shared" si="7"/>
        <v>7.2820197236504354E-3</v>
      </c>
      <c r="W52" s="187">
        <f t="shared" si="3"/>
        <v>0.13364457602672133</v>
      </c>
    </row>
    <row r="53" spans="1:23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81">
        <v>11185</v>
      </c>
      <c r="I53" s="81">
        <v>0</v>
      </c>
      <c r="J53" s="135">
        <v>-1</v>
      </c>
      <c r="K53" s="135">
        <v>0</v>
      </c>
      <c r="L53" s="135">
        <v>36</v>
      </c>
      <c r="M53" s="135">
        <v>107</v>
      </c>
      <c r="N53" s="135">
        <v>0</v>
      </c>
      <c r="O53" s="129">
        <f t="shared" si="4"/>
        <v>0</v>
      </c>
      <c r="P53" s="135">
        <v>0</v>
      </c>
      <c r="Q53" s="129">
        <f t="shared" si="5"/>
        <v>0</v>
      </c>
      <c r="R53" s="129">
        <f t="shared" si="2"/>
        <v>0</v>
      </c>
      <c r="S53" s="177">
        <v>35</v>
      </c>
      <c r="T53" s="187">
        <f t="shared" si="6"/>
        <v>9.1314217701965518E-6</v>
      </c>
      <c r="U53" s="177">
        <v>107</v>
      </c>
      <c r="V53" s="187">
        <f t="shared" si="7"/>
        <v>2.608819467742313E-5</v>
      </c>
      <c r="W53" s="195" t="s">
        <v>116</v>
      </c>
    </row>
    <row r="54" spans="1:23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80">
        <f t="shared" ref="H54:N54" si="11">SUM(H48:H53)</f>
        <v>-62927</v>
      </c>
      <c r="I54" s="80">
        <f t="shared" si="11"/>
        <v>-34992</v>
      </c>
      <c r="J54" s="134">
        <f t="shared" si="11"/>
        <v>-14423</v>
      </c>
      <c r="K54" s="134">
        <f t="shared" si="11"/>
        <v>-15379</v>
      </c>
      <c r="L54" s="134">
        <f t="shared" si="11"/>
        <v>-19</v>
      </c>
      <c r="M54" s="134">
        <f t="shared" si="11"/>
        <v>-15538</v>
      </c>
      <c r="N54" s="134">
        <f t="shared" si="11"/>
        <v>-6010</v>
      </c>
      <c r="O54" s="138">
        <f t="shared" si="4"/>
        <v>-4.5191231848313862E-3</v>
      </c>
      <c r="P54" s="134">
        <f>SUM(P48:P53)</f>
        <v>-5068</v>
      </c>
      <c r="Q54" s="138">
        <f t="shared" si="5"/>
        <v>-3.4038643397524071E-3</v>
      </c>
      <c r="R54" s="138">
        <f t="shared" si="2"/>
        <v>-0.15673876871880199</v>
      </c>
      <c r="S54" s="180">
        <f>SUM(S48:S53)</f>
        <v>-20452</v>
      </c>
      <c r="T54" s="187">
        <f t="shared" si="6"/>
        <v>-5.3358810869731394E-3</v>
      </c>
      <c r="U54" s="180">
        <f>SUM(U48:U53)</f>
        <v>-35985</v>
      </c>
      <c r="V54" s="187">
        <f t="shared" si="7"/>
        <v>-8.7736793034305736E-3</v>
      </c>
      <c r="W54" s="187">
        <f t="shared" si="3"/>
        <v>0.75948562487776261</v>
      </c>
    </row>
    <row r="55" spans="1:23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80">
        <f t="shared" ref="H55:N55" si="12">+H47+H54</f>
        <v>369568.01641320647</v>
      </c>
      <c r="I55" s="80">
        <f t="shared" si="12"/>
        <v>486120</v>
      </c>
      <c r="J55" s="134">
        <f t="shared" si="12"/>
        <v>100294</v>
      </c>
      <c r="K55" s="134">
        <f t="shared" si="12"/>
        <v>125702</v>
      </c>
      <c r="L55" s="134">
        <f t="shared" si="12"/>
        <v>126082</v>
      </c>
      <c r="M55" s="134">
        <f t="shared" si="12"/>
        <v>141224</v>
      </c>
      <c r="N55" s="134">
        <f t="shared" si="12"/>
        <v>133543</v>
      </c>
      <c r="O55" s="138">
        <f t="shared" si="4"/>
        <v>0.10041551871413275</v>
      </c>
      <c r="P55" s="134">
        <f>+P47+P54</f>
        <v>148959</v>
      </c>
      <c r="Q55" s="138">
        <f t="shared" si="5"/>
        <v>0.10004661171767538</v>
      </c>
      <c r="R55" s="138">
        <f t="shared" si="2"/>
        <v>0.1154384730012056</v>
      </c>
      <c r="S55" s="180">
        <f>+S47+S54</f>
        <v>359919</v>
      </c>
      <c r="T55" s="187">
        <f t="shared" si="6"/>
        <v>9.3902062631639235E-2</v>
      </c>
      <c r="U55" s="180">
        <f>+U47+U54</f>
        <v>415885</v>
      </c>
      <c r="V55" s="187">
        <f t="shared" si="7"/>
        <v>0.10139896115345905</v>
      </c>
      <c r="W55" s="187">
        <f t="shared" si="3"/>
        <v>0.15549609773310105</v>
      </c>
    </row>
    <row r="56" spans="1:23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81">
        <v>-113919.04882074999</v>
      </c>
      <c r="I56" s="81">
        <v>-138457</v>
      </c>
      <c r="J56" s="135">
        <v>-39773</v>
      </c>
      <c r="K56" s="135">
        <v>-46692</v>
      </c>
      <c r="L56" s="135">
        <v>-37735</v>
      </c>
      <c r="M56" s="135">
        <v>-44055</v>
      </c>
      <c r="N56" s="135">
        <v>-39317</v>
      </c>
      <c r="O56" s="129">
        <f t="shared" si="4"/>
        <v>-2.9563788062897774E-2</v>
      </c>
      <c r="P56" s="135">
        <v>-44910</v>
      </c>
      <c r="Q56" s="129">
        <f t="shared" si="5"/>
        <v>-3.0163288772352134E-2</v>
      </c>
      <c r="R56" s="129">
        <f t="shared" si="2"/>
        <v>0.14225398682503751</v>
      </c>
      <c r="S56" s="177">
        <v>-116825</v>
      </c>
      <c r="T56" s="187">
        <f t="shared" si="6"/>
        <v>-3.0479381380091777E-2</v>
      </c>
      <c r="U56" s="177">
        <v>-135657</v>
      </c>
      <c r="V56" s="187">
        <f t="shared" si="7"/>
        <v>-3.3075198367805508E-2</v>
      </c>
      <c r="W56" s="187">
        <f t="shared" si="3"/>
        <v>0.16119837363578002</v>
      </c>
    </row>
    <row r="57" spans="1:23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81">
        <v>-2137.6216936399992</v>
      </c>
      <c r="I57" s="81">
        <v>-2156</v>
      </c>
      <c r="J57" s="135">
        <v>-917</v>
      </c>
      <c r="K57" s="135">
        <v>276</v>
      </c>
      <c r="L57" s="135">
        <v>-863</v>
      </c>
      <c r="M57" s="135">
        <v>-50</v>
      </c>
      <c r="N57" s="135">
        <v>-209</v>
      </c>
      <c r="O57" s="129">
        <f t="shared" si="4"/>
        <v>-1.5715420060395338E-4</v>
      </c>
      <c r="P57" s="135">
        <v>-299</v>
      </c>
      <c r="Q57" s="129">
        <f t="shared" si="5"/>
        <v>-2.0081993638239339E-4</v>
      </c>
      <c r="R57" s="129">
        <f t="shared" si="2"/>
        <v>0.43062200956937802</v>
      </c>
      <c r="S57" s="177">
        <v>-1989</v>
      </c>
      <c r="T57" s="189">
        <f t="shared" si="6"/>
        <v>-5.1892565431202692E-4</v>
      </c>
      <c r="U57" s="177">
        <v>-73</v>
      </c>
      <c r="V57" s="189">
        <f t="shared" si="7"/>
        <v>-1.7798487957494284E-5</v>
      </c>
      <c r="W57" s="187">
        <f t="shared" si="3"/>
        <v>-0.96329813976872802</v>
      </c>
    </row>
    <row r="58" spans="1:23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113">
        <f t="shared" ref="H58:M58" si="13">+H55+H56+H57</f>
        <v>253511.34589881651</v>
      </c>
      <c r="I58" s="113">
        <f t="shared" si="13"/>
        <v>345507</v>
      </c>
      <c r="J58" s="136">
        <f t="shared" si="13"/>
        <v>59604</v>
      </c>
      <c r="K58" s="136">
        <f t="shared" si="13"/>
        <v>79286</v>
      </c>
      <c r="L58" s="136">
        <f t="shared" si="13"/>
        <v>87484</v>
      </c>
      <c r="M58" s="136">
        <f t="shared" si="13"/>
        <v>97119</v>
      </c>
      <c r="N58" s="136">
        <v>94017</v>
      </c>
      <c r="O58" s="139">
        <f t="shared" si="4"/>
        <v>7.0694576450631028E-2</v>
      </c>
      <c r="P58" s="136">
        <f>+P55+P56+P57</f>
        <v>103750</v>
      </c>
      <c r="Q58" s="139">
        <f t="shared" si="5"/>
        <v>6.9682503008940855E-2</v>
      </c>
      <c r="R58" s="139">
        <f t="shared" si="2"/>
        <v>0.10352383079655807</v>
      </c>
      <c r="S58" s="190">
        <f>+S55+S56+S57</f>
        <v>241105</v>
      </c>
      <c r="T58" s="189">
        <f t="shared" si="6"/>
        <v>6.290375559723542E-2</v>
      </c>
      <c r="U58" s="190">
        <f>+U55+U56+U57</f>
        <v>280155</v>
      </c>
      <c r="V58" s="189">
        <f t="shared" si="7"/>
        <v>6.8305964297696045E-2</v>
      </c>
      <c r="W58" s="191">
        <f>+(U58-S58)/S58</f>
        <v>0.16196263038924949</v>
      </c>
    </row>
    <row r="59" spans="1:23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91">
        <v>568131.17041880696</v>
      </c>
      <c r="I59" s="91">
        <v>671095</v>
      </c>
      <c r="J59" s="137">
        <v>150246</v>
      </c>
      <c r="K59" s="137">
        <v>179705</v>
      </c>
      <c r="L59" s="137">
        <v>161808</v>
      </c>
      <c r="M59" s="137">
        <v>196119</v>
      </c>
      <c r="N59" s="137">
        <v>176006</v>
      </c>
      <c r="O59" s="140">
        <f t="shared" si="4"/>
        <v>0.13234489105980582</v>
      </c>
      <c r="P59" s="137">
        <v>199330</v>
      </c>
      <c r="Q59" s="140">
        <f t="shared" si="5"/>
        <v>0.13387771879298488</v>
      </c>
      <c r="R59" s="140">
        <f t="shared" si="2"/>
        <v>0.13251820960649069</v>
      </c>
      <c r="S59" s="178">
        <v>488060</v>
      </c>
      <c r="T59" s="192">
        <f t="shared" si="6"/>
        <v>0.12733376311891798</v>
      </c>
      <c r="U59" s="178">
        <v>575154</v>
      </c>
      <c r="V59" s="192">
        <f t="shared" si="7"/>
        <v>0.14023111702335161</v>
      </c>
      <c r="W59" s="193">
        <f>+(U59-S59)/S59</f>
        <v>0.17844937097897801</v>
      </c>
    </row>
    <row r="60" spans="1:23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82"/>
      <c r="O60" s="101"/>
      <c r="P60" s="101"/>
    </row>
    <row r="61" spans="1:23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82"/>
      <c r="O61" s="101"/>
      <c r="P61" s="101"/>
    </row>
    <row r="62" spans="1:23" s="85" customFormat="1" x14ac:dyDescent="0.3">
      <c r="H62" s="81"/>
      <c r="I62" s="81"/>
      <c r="J62" s="81"/>
      <c r="K62" s="81"/>
      <c r="L62" s="112"/>
      <c r="M62" s="82"/>
      <c r="N62" s="82"/>
      <c r="O62" s="101"/>
      <c r="P62" s="101"/>
    </row>
    <row r="63" spans="1:23" s="85" customFormat="1" x14ac:dyDescent="0.3">
      <c r="H63" s="81"/>
      <c r="I63" s="81"/>
      <c r="J63" s="81"/>
      <c r="K63" s="81"/>
      <c r="L63" s="82"/>
      <c r="M63" s="82"/>
      <c r="N63" s="82"/>
      <c r="O63" s="101"/>
      <c r="P63" s="101"/>
    </row>
    <row r="64" spans="1:23" s="85" customFormat="1" x14ac:dyDescent="0.3">
      <c r="H64" s="81"/>
      <c r="I64" s="81"/>
      <c r="J64" s="81"/>
      <c r="K64" s="81"/>
      <c r="L64" s="89"/>
      <c r="M64" s="82"/>
      <c r="N64" s="82"/>
      <c r="O64" s="101"/>
      <c r="P64" s="101"/>
      <c r="Q64" s="194"/>
    </row>
    <row r="65" spans="13:14" x14ac:dyDescent="0.3">
      <c r="M65" s="77"/>
      <c r="N65" s="77"/>
    </row>
    <row r="82" spans="13:14" x14ac:dyDescent="0.3">
      <c r="M82" s="77"/>
      <c r="N82" s="7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="94" zoomScaleNormal="94" workbookViewId="0">
      <pane xSplit="1" ySplit="10" topLeftCell="H11" activePane="bottomRight" state="frozen"/>
      <selection pane="topRight" activeCell="B1" sqref="B1"/>
      <selection pane="bottomLeft" activeCell="A11" sqref="A11"/>
      <selection pane="bottomRight" activeCell="H37" sqref="H37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4" width="11.42578125" style="73"/>
    <col min="15" max="15" width="14.28515625" style="73" bestFit="1" customWidth="1"/>
    <col min="16" max="17" width="14.28515625" style="73" customWidth="1"/>
    <col min="18" max="16384" width="11.42578125" style="73"/>
  </cols>
  <sheetData>
    <row r="1" spans="1:23" x14ac:dyDescent="0.3">
      <c r="M1" s="75"/>
      <c r="N1" s="75"/>
      <c r="O1" s="75"/>
      <c r="P1" s="75"/>
      <c r="Q1" s="75"/>
      <c r="R1" s="76"/>
      <c r="S1" s="76"/>
    </row>
    <row r="2" spans="1:23" x14ac:dyDescent="0.3">
      <c r="M2" s="75"/>
      <c r="N2" s="75"/>
      <c r="O2" s="75"/>
      <c r="P2" s="75"/>
      <c r="Q2" s="75"/>
      <c r="R2" s="76"/>
      <c r="S2" s="76"/>
    </row>
    <row r="3" spans="1:23" x14ac:dyDescent="0.3">
      <c r="M3" s="75"/>
      <c r="N3" s="75"/>
      <c r="O3" s="75"/>
      <c r="P3" s="75"/>
      <c r="Q3" s="75"/>
      <c r="R3" s="76"/>
      <c r="S3" s="76"/>
    </row>
    <row r="4" spans="1:23" x14ac:dyDescent="0.3">
      <c r="M4" s="75"/>
      <c r="N4" s="75"/>
      <c r="O4" s="75"/>
      <c r="P4" s="75"/>
      <c r="Q4" s="75"/>
      <c r="R4" s="76"/>
      <c r="S4" s="76"/>
    </row>
    <row r="5" spans="1:23" x14ac:dyDescent="0.3">
      <c r="M5" s="75"/>
      <c r="N5" s="75"/>
      <c r="O5" s="75"/>
      <c r="P5" s="75"/>
      <c r="Q5" s="75"/>
      <c r="R5" s="76"/>
      <c r="S5" s="76"/>
    </row>
    <row r="6" spans="1:23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5"/>
      <c r="O6" s="75"/>
      <c r="P6" s="75"/>
      <c r="Q6" s="75"/>
      <c r="R6" s="76"/>
      <c r="S6" s="76"/>
    </row>
    <row r="7" spans="1:23" ht="15.75" x14ac:dyDescent="0.3">
      <c r="A7" s="78" t="s">
        <v>85</v>
      </c>
      <c r="B7" s="78"/>
      <c r="C7" s="78"/>
      <c r="D7" s="78"/>
      <c r="E7" s="78"/>
      <c r="F7" s="78"/>
      <c r="G7" s="78"/>
      <c r="M7" s="75"/>
      <c r="N7" s="75"/>
      <c r="O7" s="75"/>
      <c r="P7" s="75"/>
      <c r="Q7" s="75"/>
      <c r="R7" s="76"/>
      <c r="S7" s="76"/>
    </row>
    <row r="8" spans="1:23" x14ac:dyDescent="0.3">
      <c r="A8" s="79" t="s">
        <v>88</v>
      </c>
      <c r="B8" s="79"/>
      <c r="C8" s="79"/>
      <c r="D8" s="79"/>
      <c r="E8" s="79"/>
      <c r="F8" s="79"/>
      <c r="G8" s="79"/>
      <c r="M8" s="75"/>
      <c r="N8" s="75"/>
      <c r="O8" s="75"/>
      <c r="P8" s="75"/>
      <c r="Q8" s="75"/>
      <c r="R8" s="76"/>
      <c r="S8" s="76"/>
    </row>
    <row r="9" spans="1:23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2"/>
      <c r="O9" s="82"/>
      <c r="P9" s="82"/>
      <c r="Q9" s="82"/>
      <c r="R9" s="83"/>
      <c r="S9" s="83"/>
      <c r="T9" s="84"/>
      <c r="U9" s="84"/>
      <c r="V9" s="84"/>
      <c r="W9" s="84"/>
    </row>
    <row r="10" spans="1:23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56">
        <v>2011</v>
      </c>
      <c r="I10" s="156">
        <v>2012</v>
      </c>
      <c r="J10" s="145">
        <v>2012</v>
      </c>
      <c r="K10" s="145">
        <v>2013</v>
      </c>
      <c r="L10" s="158" t="s">
        <v>46</v>
      </c>
    </row>
    <row r="11" spans="1:23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81">
        <v>94</v>
      </c>
      <c r="I11" s="81">
        <v>75</v>
      </c>
      <c r="J11" s="135">
        <v>74</v>
      </c>
      <c r="K11" s="135">
        <v>58</v>
      </c>
      <c r="L11" s="129">
        <f>IF(J11&lt;&gt;0,(K11-J11)/J11,0)</f>
        <v>-0.21621621621621623</v>
      </c>
      <c r="N11" s="82"/>
    </row>
    <row r="12" spans="1:23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81">
        <v>3554895</v>
      </c>
      <c r="I12" s="81">
        <v>3748345</v>
      </c>
      <c r="J12" s="135">
        <v>3748346</v>
      </c>
      <c r="K12" s="135">
        <v>4126523</v>
      </c>
      <c r="L12" s="129">
        <f t="shared" ref="L12:L17" si="0">IF(J12&lt;&gt;0,(K12-J12)/J12,0)</f>
        <v>0.10089169996579825</v>
      </c>
      <c r="N12" s="82"/>
    </row>
    <row r="13" spans="1:23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81">
        <v>10662</v>
      </c>
      <c r="I13" s="81">
        <v>14922</v>
      </c>
      <c r="J13" s="135">
        <v>14922</v>
      </c>
      <c r="K13" s="135">
        <v>18191</v>
      </c>
      <c r="L13" s="129">
        <f t="shared" si="0"/>
        <v>0.21907251038734754</v>
      </c>
      <c r="N13" s="82"/>
      <c r="U13" s="85"/>
      <c r="V13" s="85"/>
      <c r="W13" s="85"/>
    </row>
    <row r="14" spans="1:23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81">
        <v>0</v>
      </c>
      <c r="I14" s="81">
        <v>0</v>
      </c>
      <c r="J14" s="135">
        <v>0</v>
      </c>
      <c r="K14" s="135">
        <v>0</v>
      </c>
      <c r="L14" s="129">
        <f t="shared" si="0"/>
        <v>0</v>
      </c>
      <c r="N14" s="82"/>
      <c r="U14" s="85"/>
      <c r="V14" s="85"/>
      <c r="W14" s="85"/>
    </row>
    <row r="15" spans="1:23" s="89" customFormat="1" x14ac:dyDescent="0.3">
      <c r="A15" s="88" t="s">
        <v>110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81">
        <f>503+155</f>
        <v>658</v>
      </c>
      <c r="I15" s="81">
        <v>118</v>
      </c>
      <c r="J15" s="135">
        <v>118</v>
      </c>
      <c r="K15" s="135">
        <v>4612</v>
      </c>
      <c r="L15" s="197" t="s">
        <v>116</v>
      </c>
      <c r="N15" s="82"/>
      <c r="U15" s="85"/>
      <c r="V15" s="85"/>
      <c r="W15" s="85"/>
    </row>
    <row r="16" spans="1:23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81">
        <v>2979150</v>
      </c>
      <c r="I16" s="81">
        <v>3733696</v>
      </c>
      <c r="J16" s="135">
        <v>3733696</v>
      </c>
      <c r="K16" s="135">
        <v>3357714</v>
      </c>
      <c r="L16" s="129">
        <f t="shared" si="0"/>
        <v>-0.10069968203088843</v>
      </c>
      <c r="N16" s="82"/>
      <c r="U16" s="85"/>
      <c r="V16" s="85"/>
      <c r="W16" s="85"/>
    </row>
    <row r="17" spans="1:23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1">SUM(F11:F16)</f>
        <v>5514960</v>
      </c>
      <c r="G17" s="91">
        <f t="shared" si="1"/>
        <v>6403741</v>
      </c>
      <c r="H17" s="91">
        <f>SUM(H11:H16)</f>
        <v>6545459</v>
      </c>
      <c r="I17" s="91">
        <f>SUM(I11:I16)</f>
        <v>7497156</v>
      </c>
      <c r="J17" s="137">
        <f>SUM(J11:J16)</f>
        <v>7497156</v>
      </c>
      <c r="K17" s="137">
        <f>SUM(K11:K16)</f>
        <v>7507098</v>
      </c>
      <c r="L17" s="159">
        <f t="shared" si="0"/>
        <v>1.3261028582038309E-3</v>
      </c>
      <c r="N17" s="82"/>
      <c r="U17" s="85"/>
      <c r="V17" s="85"/>
      <c r="W17" s="85"/>
    </row>
    <row r="18" spans="1:23" s="85" customFormat="1" x14ac:dyDescent="0.3">
      <c r="B18" s="81"/>
      <c r="C18" s="81"/>
      <c r="D18" s="81"/>
      <c r="E18" s="81"/>
      <c r="F18" s="81"/>
      <c r="G18" s="81"/>
      <c r="H18" s="81"/>
      <c r="I18" s="81"/>
      <c r="J18" s="135"/>
      <c r="K18" s="135"/>
      <c r="L18" s="129"/>
      <c r="N18" s="82"/>
    </row>
    <row r="19" spans="1:23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86">
        <v>2011</v>
      </c>
      <c r="I19" s="86">
        <v>2012</v>
      </c>
      <c r="J19" s="161">
        <v>2012</v>
      </c>
      <c r="K19" s="161">
        <v>2013</v>
      </c>
      <c r="L19" s="162" t="s">
        <v>46</v>
      </c>
      <c r="N19" s="82"/>
      <c r="U19" s="85"/>
      <c r="V19" s="85"/>
      <c r="W19" s="85"/>
    </row>
    <row r="20" spans="1:23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81">
        <v>0</v>
      </c>
      <c r="I20" s="81">
        <v>7</v>
      </c>
      <c r="J20" s="135">
        <v>7</v>
      </c>
      <c r="K20" s="135">
        <v>0</v>
      </c>
      <c r="L20" s="129">
        <f t="shared" ref="L20:L28" si="2">IF(J20&lt;&gt;0,(K20-J20)/J20,0)</f>
        <v>-1</v>
      </c>
      <c r="N20" s="82"/>
      <c r="U20" s="85"/>
      <c r="V20" s="85"/>
      <c r="W20" s="85"/>
    </row>
    <row r="21" spans="1:23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81">
        <v>59466</v>
      </c>
      <c r="I21" s="81">
        <v>65082</v>
      </c>
      <c r="J21" s="135">
        <v>65083</v>
      </c>
      <c r="K21" s="135">
        <v>70701</v>
      </c>
      <c r="L21" s="129">
        <f t="shared" si="2"/>
        <v>8.6320544535439359E-2</v>
      </c>
      <c r="N21" s="82"/>
      <c r="U21" s="85"/>
      <c r="V21" s="85"/>
      <c r="W21" s="85"/>
    </row>
    <row r="22" spans="1:23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81">
        <v>585</v>
      </c>
      <c r="I22" s="81">
        <v>657</v>
      </c>
      <c r="J22" s="135">
        <v>657</v>
      </c>
      <c r="K22" s="135">
        <v>2299</v>
      </c>
      <c r="L22" s="129">
        <f t="shared" si="2"/>
        <v>2.4992389649923896</v>
      </c>
      <c r="N22" s="82"/>
    </row>
    <row r="23" spans="1:23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81">
        <v>872</v>
      </c>
      <c r="I23" s="81">
        <v>481</v>
      </c>
      <c r="J23" s="135">
        <v>481</v>
      </c>
      <c r="K23" s="135">
        <v>932</v>
      </c>
      <c r="L23" s="129">
        <f t="shared" si="2"/>
        <v>0.93762993762993763</v>
      </c>
      <c r="N23" s="82"/>
    </row>
    <row r="24" spans="1:23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81">
        <v>0</v>
      </c>
      <c r="I24" s="81">
        <v>0</v>
      </c>
      <c r="J24" s="135">
        <v>0</v>
      </c>
      <c r="K24" s="135">
        <v>0</v>
      </c>
      <c r="L24" s="129">
        <f t="shared" si="2"/>
        <v>0</v>
      </c>
      <c r="N24" s="82"/>
    </row>
    <row r="25" spans="1:23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81">
        <v>8296</v>
      </c>
      <c r="I25" s="81">
        <v>8803</v>
      </c>
      <c r="J25" s="135">
        <v>8803</v>
      </c>
      <c r="K25" s="135">
        <v>9622</v>
      </c>
      <c r="L25" s="129">
        <f t="shared" si="2"/>
        <v>9.3036464841531302E-2</v>
      </c>
      <c r="N25" s="82"/>
    </row>
    <row r="26" spans="1:23" s="95" customFormat="1" x14ac:dyDescent="0.3">
      <c r="A26" s="93" t="s">
        <v>33</v>
      </c>
      <c r="B26" s="80">
        <f t="shared" ref="B26:G26" si="3">SUM(B20:B25)</f>
        <v>43329</v>
      </c>
      <c r="C26" s="80">
        <f t="shared" si="3"/>
        <v>63235</v>
      </c>
      <c r="D26" s="80">
        <f t="shared" si="3"/>
        <v>73581</v>
      </c>
      <c r="E26" s="80">
        <f t="shared" si="3"/>
        <v>83903</v>
      </c>
      <c r="F26" s="80">
        <f t="shared" si="3"/>
        <v>115757</v>
      </c>
      <c r="G26" s="80">
        <f t="shared" si="3"/>
        <v>80066</v>
      </c>
      <c r="H26" s="80">
        <f>SUM(H20:H25)</f>
        <v>69219</v>
      </c>
      <c r="I26" s="80">
        <f>SUM(I20:I25)</f>
        <v>75030</v>
      </c>
      <c r="J26" s="134">
        <f>SUM(J20:J25)</f>
        <v>75031</v>
      </c>
      <c r="K26" s="134">
        <f>SUM(K20:K25)</f>
        <v>83554</v>
      </c>
      <c r="L26" s="138">
        <f t="shared" si="2"/>
        <v>0.11359304820674121</v>
      </c>
      <c r="N26" s="82"/>
      <c r="U26" s="85"/>
      <c r="V26" s="85"/>
      <c r="W26" s="85"/>
    </row>
    <row r="27" spans="1:23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97">
        <v>6476240</v>
      </c>
      <c r="I27" s="97">
        <v>7422126</v>
      </c>
      <c r="J27" s="163">
        <v>7422125</v>
      </c>
      <c r="K27" s="163">
        <v>7423544</v>
      </c>
      <c r="L27" s="131">
        <f t="shared" si="2"/>
        <v>1.9118513902689595E-4</v>
      </c>
      <c r="N27" s="82"/>
      <c r="U27" s="85"/>
      <c r="V27" s="85"/>
      <c r="W27" s="85"/>
    </row>
    <row r="28" spans="1:23" s="95" customFormat="1" ht="15.75" thickBot="1" x14ac:dyDescent="0.35">
      <c r="A28" s="90" t="s">
        <v>35</v>
      </c>
      <c r="B28" s="91">
        <f t="shared" ref="B28:G28" si="4">+B26+B27</f>
        <v>3744102</v>
      </c>
      <c r="C28" s="91">
        <f t="shared" si="4"/>
        <v>4028640</v>
      </c>
      <c r="D28" s="91">
        <f t="shared" si="4"/>
        <v>4241740</v>
      </c>
      <c r="E28" s="91">
        <f t="shared" si="4"/>
        <v>3957512</v>
      </c>
      <c r="F28" s="91">
        <f t="shared" si="4"/>
        <v>5514960</v>
      </c>
      <c r="G28" s="91">
        <f t="shared" si="4"/>
        <v>6403741</v>
      </c>
      <c r="H28" s="91">
        <f>+H26+H27</f>
        <v>6545459</v>
      </c>
      <c r="I28" s="91">
        <f>+I26+I27</f>
        <v>7497156</v>
      </c>
      <c r="J28" s="137">
        <f>+J26+J27</f>
        <v>7497156</v>
      </c>
      <c r="K28" s="137">
        <f>+K26+K27</f>
        <v>7507098</v>
      </c>
      <c r="L28" s="130">
        <f t="shared" si="2"/>
        <v>1.3261028582038309E-3</v>
      </c>
      <c r="N28" s="82"/>
      <c r="U28" s="85"/>
      <c r="V28" s="85"/>
      <c r="W28" s="85"/>
    </row>
    <row r="29" spans="1:23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81">
        <f>435123458+25000000</f>
        <v>460123458</v>
      </c>
      <c r="I29" s="81">
        <f>435123458+25000000</f>
        <v>460123458</v>
      </c>
      <c r="J29" s="135">
        <f>435123458+25000000</f>
        <v>460123458</v>
      </c>
      <c r="K29" s="135">
        <f>435123458+25000000</f>
        <v>460123458</v>
      </c>
      <c r="L29" s="129"/>
      <c r="N29" s="82"/>
    </row>
    <row r="30" spans="1:23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5">+F27/+(F29/1000000)</f>
        <v>12408.439261851976</v>
      </c>
      <c r="G30" s="100">
        <f t="shared" si="5"/>
        <v>14533.059258781675</v>
      </c>
      <c r="H30" s="100">
        <f>+H27/+(H29/1000000)</f>
        <v>14075.005060924323</v>
      </c>
      <c r="I30" s="100">
        <f>+I27/+(I29/1000000)</f>
        <v>16130.727244947375</v>
      </c>
      <c r="J30" s="165">
        <f>+J27/+(J29/1000000)</f>
        <v>16130.725071617626</v>
      </c>
      <c r="K30" s="165">
        <f>+K27/+(K29/1000000)</f>
        <v>16133.809026533047</v>
      </c>
      <c r="L30" s="129"/>
      <c r="N30" s="82"/>
    </row>
    <row r="31" spans="1:23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R31" s="107"/>
    </row>
    <row r="32" spans="1:23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R32" s="107"/>
    </row>
    <row r="33" spans="1:23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75"/>
      <c r="O33" s="75"/>
      <c r="P33" s="75"/>
      <c r="Q33" s="75"/>
      <c r="R33" s="109"/>
      <c r="S33" s="76"/>
    </row>
    <row r="34" spans="1:23" ht="15.75" x14ac:dyDescent="0.3">
      <c r="A34" s="78" t="s">
        <v>122</v>
      </c>
      <c r="B34" s="78"/>
      <c r="C34" s="78"/>
      <c r="D34" s="78"/>
      <c r="E34" s="78"/>
      <c r="F34" s="78"/>
      <c r="G34" s="78"/>
      <c r="M34" s="75"/>
      <c r="N34" s="75"/>
      <c r="O34" s="75"/>
      <c r="P34" s="75"/>
      <c r="Q34" s="75"/>
      <c r="R34" s="109"/>
      <c r="S34" s="76"/>
    </row>
    <row r="35" spans="1:23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75"/>
      <c r="O35" s="75"/>
      <c r="P35" s="75"/>
      <c r="Q35" s="75"/>
      <c r="R35" s="109"/>
      <c r="S35" s="76"/>
    </row>
    <row r="36" spans="1:23" s="85" customFormat="1" x14ac:dyDescent="0.3">
      <c r="H36" s="81"/>
      <c r="I36" s="81"/>
      <c r="J36" s="81"/>
      <c r="K36" s="81"/>
      <c r="L36" s="82"/>
      <c r="R36" s="107"/>
    </row>
    <row r="37" spans="1:23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56">
        <v>2011</v>
      </c>
      <c r="I37" s="156">
        <v>2012</v>
      </c>
      <c r="J37" s="145" t="s">
        <v>96</v>
      </c>
      <c r="K37" s="145" t="s">
        <v>95</v>
      </c>
      <c r="L37" s="145" t="s">
        <v>99</v>
      </c>
      <c r="M37" s="145" t="s">
        <v>100</v>
      </c>
      <c r="N37" s="145" t="s">
        <v>111</v>
      </c>
      <c r="O37" s="145" t="s">
        <v>112</v>
      </c>
      <c r="P37" s="145" t="s">
        <v>121</v>
      </c>
      <c r="Q37" s="145" t="s">
        <v>120</v>
      </c>
      <c r="R37" s="167" t="s">
        <v>46</v>
      </c>
      <c r="S37" s="176" t="s">
        <v>106</v>
      </c>
      <c r="T37" s="176" t="s">
        <v>107</v>
      </c>
      <c r="U37" s="167" t="s">
        <v>46</v>
      </c>
    </row>
    <row r="38" spans="1:23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80">
        <v>223644</v>
      </c>
      <c r="I38" s="80">
        <v>312990</v>
      </c>
      <c r="J38" s="134">
        <v>55583</v>
      </c>
      <c r="K38" s="134">
        <v>77093</v>
      </c>
      <c r="L38" s="134">
        <f>130102-J38</f>
        <v>74519</v>
      </c>
      <c r="M38" s="134">
        <f>165449-K38</f>
        <v>88356</v>
      </c>
      <c r="N38" s="134">
        <v>88047</v>
      </c>
      <c r="O38" s="134">
        <v>91080</v>
      </c>
      <c r="P38" s="134">
        <f>312990-J38-L38-N38</f>
        <v>94841</v>
      </c>
      <c r="Q38" s="134">
        <f>344939-K38-M38-O38</f>
        <v>88410</v>
      </c>
      <c r="R38" s="129">
        <f>IF(P38&lt;&gt;0,(Q38-P38)/P38,0)</f>
        <v>-6.7808226399974691E-2</v>
      </c>
      <c r="S38" s="180">
        <v>312990</v>
      </c>
      <c r="T38" s="180">
        <v>344939</v>
      </c>
      <c r="U38" s="129">
        <f>IF(S38&lt;&gt;0,(T38-S38)/S38,0)</f>
        <v>0.10207674366593182</v>
      </c>
      <c r="W38" s="169"/>
    </row>
    <row r="39" spans="1:23" s="85" customFormat="1" x14ac:dyDescent="0.3">
      <c r="A39" s="85" t="s">
        <v>105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81">
        <v>11024</v>
      </c>
      <c r="I39" s="81">
        <v>0</v>
      </c>
      <c r="J39" s="135">
        <v>0</v>
      </c>
      <c r="K39" s="135">
        <v>0</v>
      </c>
      <c r="L39" s="135">
        <v>0</v>
      </c>
      <c r="M39" s="135">
        <v>-176</v>
      </c>
      <c r="N39" s="134">
        <v>0</v>
      </c>
      <c r="O39" s="134">
        <v>0</v>
      </c>
      <c r="P39" s="134">
        <v>0</v>
      </c>
      <c r="Q39" s="134">
        <v>0</v>
      </c>
      <c r="R39" s="129">
        <f t="shared" ref="R39:R49" si="6">IF(P39&lt;&gt;0,(Q39-P39)/P39,0)</f>
        <v>0</v>
      </c>
      <c r="S39" s="177">
        <v>0</v>
      </c>
      <c r="T39" s="177">
        <v>-176</v>
      </c>
      <c r="U39" s="129">
        <f t="shared" ref="U39:U48" si="7">IF(S39&lt;&gt;0,(T39-S39)/S39,0)</f>
        <v>0</v>
      </c>
      <c r="W39" s="169"/>
    </row>
    <row r="40" spans="1:23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81">
        <v>33432</v>
      </c>
      <c r="I40" s="81">
        <v>35105</v>
      </c>
      <c r="J40" s="135">
        <v>8296</v>
      </c>
      <c r="K40" s="135">
        <v>8803</v>
      </c>
      <c r="L40" s="135">
        <f>17500-J40</f>
        <v>9204</v>
      </c>
      <c r="M40" s="135">
        <f>18664-K40</f>
        <v>9861</v>
      </c>
      <c r="N40" s="135">
        <v>8803</v>
      </c>
      <c r="O40" s="135">
        <v>11140</v>
      </c>
      <c r="P40" s="135">
        <f>35105-J40-L40-N40</f>
        <v>8802</v>
      </c>
      <c r="Q40" s="135">
        <f>39426-K40-M40-O40</f>
        <v>9622</v>
      </c>
      <c r="R40" s="129">
        <f t="shared" si="6"/>
        <v>9.3160645307884565E-2</v>
      </c>
      <c r="S40" s="177">
        <v>35105</v>
      </c>
      <c r="T40" s="177">
        <v>39426</v>
      </c>
      <c r="U40" s="129">
        <f t="shared" si="7"/>
        <v>0.1230878792194844</v>
      </c>
      <c r="W40" s="169"/>
    </row>
    <row r="41" spans="1:23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81">
        <v>7221</v>
      </c>
      <c r="I41" s="81">
        <v>8379</v>
      </c>
      <c r="J41" s="135">
        <v>2095</v>
      </c>
      <c r="K41" s="135">
        <v>2650</v>
      </c>
      <c r="L41" s="135">
        <f>4189-J41</f>
        <v>2094</v>
      </c>
      <c r="M41" s="135">
        <f>5570-K41</f>
        <v>2920</v>
      </c>
      <c r="N41" s="135">
        <v>2094</v>
      </c>
      <c r="O41" s="135">
        <v>3537</v>
      </c>
      <c r="P41" s="135">
        <f>8379-J41-L41-N41</f>
        <v>2096</v>
      </c>
      <c r="Q41" s="135">
        <f>14465-K41-M41-O41</f>
        <v>5358</v>
      </c>
      <c r="R41" s="129">
        <f t="shared" si="6"/>
        <v>1.5562977099236641</v>
      </c>
      <c r="S41" s="177">
        <v>8379</v>
      </c>
      <c r="T41" s="177">
        <v>14465</v>
      </c>
      <c r="U41" s="129">
        <f t="shared" si="7"/>
        <v>0.72633965867048578</v>
      </c>
      <c r="W41" s="169"/>
    </row>
    <row r="42" spans="1:23" s="95" customFormat="1" x14ac:dyDescent="0.3">
      <c r="A42" s="95" t="s">
        <v>4</v>
      </c>
      <c r="B42" s="80">
        <f t="shared" ref="B42:G42" si="8">SUM(B38:B41)</f>
        <v>190916</v>
      </c>
      <c r="C42" s="80">
        <f t="shared" si="8"/>
        <v>244001</v>
      </c>
      <c r="D42" s="80">
        <f t="shared" si="8"/>
        <v>251869</v>
      </c>
      <c r="E42" s="80">
        <f t="shared" si="8"/>
        <v>299526</v>
      </c>
      <c r="F42" s="80">
        <f t="shared" si="8"/>
        <v>235968</v>
      </c>
      <c r="G42" s="80">
        <f t="shared" si="8"/>
        <v>285499</v>
      </c>
      <c r="H42" s="80">
        <f t="shared" ref="H42:Q42" si="9">SUM(H38:H41)</f>
        <v>275321</v>
      </c>
      <c r="I42" s="80">
        <f t="shared" si="9"/>
        <v>356474</v>
      </c>
      <c r="J42" s="134">
        <f t="shared" si="9"/>
        <v>65974</v>
      </c>
      <c r="K42" s="134">
        <f t="shared" si="9"/>
        <v>88546</v>
      </c>
      <c r="L42" s="134">
        <f t="shared" si="9"/>
        <v>85817</v>
      </c>
      <c r="M42" s="134">
        <f t="shared" si="9"/>
        <v>100961</v>
      </c>
      <c r="N42" s="134">
        <f t="shared" si="9"/>
        <v>98944</v>
      </c>
      <c r="O42" s="134">
        <f t="shared" si="9"/>
        <v>105757</v>
      </c>
      <c r="P42" s="134">
        <f t="shared" si="9"/>
        <v>105739</v>
      </c>
      <c r="Q42" s="134">
        <f t="shared" si="9"/>
        <v>103390</v>
      </c>
      <c r="R42" s="129">
        <f t="shared" si="6"/>
        <v>-2.2215076745571643E-2</v>
      </c>
      <c r="S42" s="180">
        <f t="shared" ref="S42:T42" si="10">SUM(S38:S41)</f>
        <v>356474</v>
      </c>
      <c r="T42" s="180">
        <f t="shared" si="10"/>
        <v>398654</v>
      </c>
      <c r="U42" s="129">
        <f t="shared" si="7"/>
        <v>0.11832560018402465</v>
      </c>
      <c r="W42" s="169"/>
    </row>
    <row r="43" spans="1:23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81">
        <v>-9004</v>
      </c>
      <c r="I43" s="81">
        <v>-10090</v>
      </c>
      <c r="J43" s="135">
        <v>-8176</v>
      </c>
      <c r="K43" s="135">
        <f>-2393-5938</f>
        <v>-8331</v>
      </c>
      <c r="L43" s="135">
        <f>-4827.592907-J43</f>
        <v>3348.4070929999998</v>
      </c>
      <c r="M43" s="135">
        <f>-6685-K43</f>
        <v>1646</v>
      </c>
      <c r="N43" s="135">
        <v>-2647</v>
      </c>
      <c r="O43" s="135">
        <v>-3043</v>
      </c>
      <c r="P43" s="135">
        <f>-10090-J43-L43-N43</f>
        <v>-2615.4070929999998</v>
      </c>
      <c r="Q43" s="135">
        <f>-13551-K43-M43-O43</f>
        <v>-3823</v>
      </c>
      <c r="R43" s="129">
        <f t="shared" si="6"/>
        <v>0.46172273151359855</v>
      </c>
      <c r="S43" s="177">
        <v>-10090</v>
      </c>
      <c r="T43" s="177">
        <v>-13551</v>
      </c>
      <c r="U43" s="129">
        <f t="shared" si="7"/>
        <v>0.34301288404360752</v>
      </c>
      <c r="W43" s="169"/>
    </row>
    <row r="44" spans="1:23" s="95" customFormat="1" x14ac:dyDescent="0.3">
      <c r="A44" s="95" t="s">
        <v>42</v>
      </c>
      <c r="B44" s="80">
        <f t="shared" ref="B44:G44" si="11">SUM(B42:B43)</f>
        <v>168810</v>
      </c>
      <c r="C44" s="80">
        <f t="shared" si="11"/>
        <v>202580</v>
      </c>
      <c r="D44" s="80">
        <f t="shared" si="11"/>
        <v>244681</v>
      </c>
      <c r="E44" s="80">
        <f t="shared" si="11"/>
        <v>290753</v>
      </c>
      <c r="F44" s="80">
        <f t="shared" si="11"/>
        <v>227228</v>
      </c>
      <c r="G44" s="80">
        <f t="shared" si="11"/>
        <v>273936</v>
      </c>
      <c r="H44" s="80">
        <f t="shared" ref="H44:Q44" si="12">SUM(H42:H43)</f>
        <v>266317</v>
      </c>
      <c r="I44" s="80">
        <f t="shared" si="12"/>
        <v>346384</v>
      </c>
      <c r="J44" s="134">
        <f t="shared" si="12"/>
        <v>57798</v>
      </c>
      <c r="K44" s="134">
        <f t="shared" si="12"/>
        <v>80215</v>
      </c>
      <c r="L44" s="134">
        <f t="shared" si="12"/>
        <v>89165.407093000002</v>
      </c>
      <c r="M44" s="134">
        <f t="shared" si="12"/>
        <v>102607</v>
      </c>
      <c r="N44" s="134">
        <f t="shared" si="12"/>
        <v>96297</v>
      </c>
      <c r="O44" s="134">
        <f t="shared" si="12"/>
        <v>102714</v>
      </c>
      <c r="P44" s="134">
        <f t="shared" si="12"/>
        <v>103123.592907</v>
      </c>
      <c r="Q44" s="134">
        <f t="shared" si="12"/>
        <v>99567</v>
      </c>
      <c r="R44" s="129">
        <f t="shared" si="6"/>
        <v>-3.4488644225259317E-2</v>
      </c>
      <c r="S44" s="180">
        <f t="shared" ref="S44:T44" si="13">SUM(S42:S43)</f>
        <v>346384</v>
      </c>
      <c r="T44" s="180">
        <f t="shared" si="13"/>
        <v>385103</v>
      </c>
      <c r="U44" s="129">
        <f t="shared" si="7"/>
        <v>0.1117805672317428</v>
      </c>
      <c r="W44" s="169"/>
    </row>
    <row r="45" spans="1:23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81">
        <v>814</v>
      </c>
      <c r="I45" s="81">
        <v>851</v>
      </c>
      <c r="J45" s="135">
        <v>652</v>
      </c>
      <c r="K45" s="135">
        <v>61</v>
      </c>
      <c r="L45" s="135">
        <f>743.423097-J45</f>
        <v>91.423096999999984</v>
      </c>
      <c r="M45" s="135">
        <f>112-K45</f>
        <v>51</v>
      </c>
      <c r="N45" s="135">
        <v>27.000000000000114</v>
      </c>
      <c r="O45" s="135">
        <v>130</v>
      </c>
      <c r="P45" s="135">
        <f>851-J45-L45-N45</f>
        <v>80.576902999999902</v>
      </c>
      <c r="Q45" s="135">
        <f>203-K45-M45-O45</f>
        <v>-39</v>
      </c>
      <c r="R45" s="129">
        <f t="shared" si="6"/>
        <v>-1.4840096671374929</v>
      </c>
      <c r="S45" s="177">
        <v>851</v>
      </c>
      <c r="T45" s="177">
        <v>203</v>
      </c>
      <c r="U45" s="129">
        <f t="shared" si="7"/>
        <v>-0.76145710928319621</v>
      </c>
      <c r="W45" s="169"/>
    </row>
    <row r="46" spans="1:23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81">
        <v>-11022</v>
      </c>
      <c r="I46" s="81">
        <v>-1390</v>
      </c>
      <c r="J46" s="135">
        <v>-25</v>
      </c>
      <c r="K46" s="135">
        <v>-127</v>
      </c>
      <c r="L46" s="135">
        <f>-599.521351-J46</f>
        <v>-574.52135099999998</v>
      </c>
      <c r="M46" s="135">
        <f>-2966-K46</f>
        <v>-2839</v>
      </c>
      <c r="N46" s="135">
        <v>-706.99999999999989</v>
      </c>
      <c r="O46" s="135">
        <v>-18</v>
      </c>
      <c r="P46" s="135">
        <f>-1390-J46-L46-N46</f>
        <v>-83.478649000000132</v>
      </c>
      <c r="Q46" s="135">
        <f>-2974-K46-M46-O46</f>
        <v>10</v>
      </c>
      <c r="R46" s="129">
        <f t="shared" si="6"/>
        <v>-1.1197911097003976</v>
      </c>
      <c r="S46" s="177">
        <v>-1390</v>
      </c>
      <c r="T46" s="177">
        <v>-2974</v>
      </c>
      <c r="U46" s="129">
        <f t="shared" si="7"/>
        <v>1.1395683453237411</v>
      </c>
      <c r="W46" s="169"/>
    </row>
    <row r="47" spans="1:23" s="95" customFormat="1" x14ac:dyDescent="0.3">
      <c r="A47" s="95" t="s">
        <v>43</v>
      </c>
      <c r="B47" s="80">
        <f t="shared" ref="B47:G47" si="14">SUM(B44:B46)</f>
        <v>172912</v>
      </c>
      <c r="C47" s="80">
        <f t="shared" si="14"/>
        <v>210911</v>
      </c>
      <c r="D47" s="80">
        <f t="shared" si="14"/>
        <v>244482</v>
      </c>
      <c r="E47" s="80">
        <f t="shared" si="14"/>
        <v>291080</v>
      </c>
      <c r="F47" s="80">
        <f t="shared" si="14"/>
        <v>225701</v>
      </c>
      <c r="G47" s="80">
        <f t="shared" si="14"/>
        <v>280279</v>
      </c>
      <c r="H47" s="80">
        <f t="shared" ref="H47:Q47" si="15">SUM(H44:H46)</f>
        <v>256109</v>
      </c>
      <c r="I47" s="80">
        <f t="shared" si="15"/>
        <v>345845</v>
      </c>
      <c r="J47" s="134">
        <f t="shared" si="15"/>
        <v>58425</v>
      </c>
      <c r="K47" s="134">
        <f t="shared" si="15"/>
        <v>80149</v>
      </c>
      <c r="L47" s="134">
        <f t="shared" si="15"/>
        <v>88682.308839000005</v>
      </c>
      <c r="M47" s="134">
        <f t="shared" si="15"/>
        <v>99819</v>
      </c>
      <c r="N47" s="134">
        <f t="shared" si="15"/>
        <v>95617</v>
      </c>
      <c r="O47" s="134">
        <f t="shared" si="15"/>
        <v>102826</v>
      </c>
      <c r="P47" s="134">
        <f t="shared" si="15"/>
        <v>103120.691161</v>
      </c>
      <c r="Q47" s="134">
        <f t="shared" si="15"/>
        <v>99538</v>
      </c>
      <c r="R47" s="129">
        <f t="shared" si="6"/>
        <v>-3.474269926494597E-2</v>
      </c>
      <c r="S47" s="180">
        <f t="shared" ref="S47:T47" si="16">SUM(S44:S46)</f>
        <v>345845</v>
      </c>
      <c r="T47" s="180">
        <f t="shared" si="16"/>
        <v>382332</v>
      </c>
      <c r="U47" s="129">
        <f t="shared" si="7"/>
        <v>0.10550101924272434</v>
      </c>
      <c r="W47" s="169"/>
    </row>
    <row r="48" spans="1:23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81">
        <v>-127</v>
      </c>
      <c r="I48" s="81">
        <v>-361</v>
      </c>
      <c r="J48" s="135">
        <v>-8</v>
      </c>
      <c r="K48" s="135">
        <v>-2289</v>
      </c>
      <c r="L48" s="135">
        <f>-18.162-J48</f>
        <v>-10.161999999999999</v>
      </c>
      <c r="M48" s="135">
        <f>-1378-K48</f>
        <v>911</v>
      </c>
      <c r="N48" s="135">
        <v>-261</v>
      </c>
      <c r="O48" s="135">
        <v>-496</v>
      </c>
      <c r="P48" s="135">
        <f>-361-J48-L48-N48</f>
        <v>-81.838000000000022</v>
      </c>
      <c r="Q48" s="135">
        <f>-2436-K48-M48-O48</f>
        <v>-562</v>
      </c>
      <c r="R48" s="129">
        <f t="shared" si="6"/>
        <v>5.8672254942691637</v>
      </c>
      <c r="S48" s="177">
        <v>-361</v>
      </c>
      <c r="T48" s="177">
        <v>-2436</v>
      </c>
      <c r="U48" s="129">
        <f t="shared" si="7"/>
        <v>5.7479224376731306</v>
      </c>
      <c r="W48" s="169"/>
    </row>
    <row r="49" spans="1:23" s="85" customFormat="1" ht="15.75" thickBot="1" x14ac:dyDescent="0.35">
      <c r="A49" s="102" t="s">
        <v>17</v>
      </c>
      <c r="B49" s="103">
        <f t="shared" ref="B49:G49" si="17">SUM(B47:B48)</f>
        <v>169411</v>
      </c>
      <c r="C49" s="103">
        <f t="shared" si="17"/>
        <v>210697</v>
      </c>
      <c r="D49" s="103">
        <f t="shared" si="17"/>
        <v>244292</v>
      </c>
      <c r="E49" s="103">
        <f t="shared" si="17"/>
        <v>291006</v>
      </c>
      <c r="F49" s="103">
        <f t="shared" si="17"/>
        <v>225496</v>
      </c>
      <c r="G49" s="103">
        <f t="shared" si="17"/>
        <v>278403</v>
      </c>
      <c r="H49" s="103">
        <f t="shared" ref="H49:Q49" si="18">SUM(H47:H48)</f>
        <v>255982</v>
      </c>
      <c r="I49" s="103">
        <f t="shared" si="18"/>
        <v>345484</v>
      </c>
      <c r="J49" s="166">
        <f t="shared" si="18"/>
        <v>58417</v>
      </c>
      <c r="K49" s="166">
        <f t="shared" si="18"/>
        <v>77860</v>
      </c>
      <c r="L49" s="166">
        <f t="shared" si="18"/>
        <v>88672.146839000008</v>
      </c>
      <c r="M49" s="166">
        <f t="shared" si="18"/>
        <v>100730</v>
      </c>
      <c r="N49" s="166">
        <f>SUM(N47:N48)</f>
        <v>95356</v>
      </c>
      <c r="O49" s="166">
        <f t="shared" si="18"/>
        <v>102330</v>
      </c>
      <c r="P49" s="166">
        <f t="shared" si="18"/>
        <v>103038.85316099999</v>
      </c>
      <c r="Q49" s="166">
        <f t="shared" si="18"/>
        <v>98976</v>
      </c>
      <c r="R49" s="130">
        <f t="shared" si="6"/>
        <v>-3.9430302612663143E-2</v>
      </c>
      <c r="S49" s="182">
        <f t="shared" ref="S49:T49" si="19">SUM(S47:S48)</f>
        <v>345484</v>
      </c>
      <c r="T49" s="182">
        <f t="shared" si="19"/>
        <v>379896</v>
      </c>
      <c r="U49" s="130">
        <f t="shared" ref="U49" si="20">IF(S49&lt;&gt;0,(T49-S49)/S49,0)</f>
        <v>9.9605191557351425E-2</v>
      </c>
      <c r="W49" s="169"/>
    </row>
    <row r="50" spans="1:23" s="85" customFormat="1" x14ac:dyDescent="0.3">
      <c r="C50" s="80"/>
      <c r="H50" s="81"/>
      <c r="I50" s="81"/>
      <c r="J50" s="81"/>
      <c r="K50" s="81"/>
      <c r="L50" s="82"/>
      <c r="W50" s="169"/>
    </row>
    <row r="51" spans="1:23" s="85" customFormat="1" x14ac:dyDescent="0.3">
      <c r="C51" s="81"/>
      <c r="H51" s="81"/>
      <c r="I51" s="81"/>
      <c r="J51" s="81"/>
      <c r="K51" s="81"/>
      <c r="L51" s="82"/>
    </row>
    <row r="52" spans="1:23" s="85" customFormat="1" x14ac:dyDescent="0.3">
      <c r="C52" s="81"/>
      <c r="E52" s="80"/>
      <c r="H52" s="81"/>
      <c r="I52" s="81"/>
      <c r="J52" s="81"/>
      <c r="K52" s="81"/>
      <c r="L52" s="82"/>
    </row>
    <row r="53" spans="1:23" s="85" customFormat="1" x14ac:dyDescent="0.3">
      <c r="C53" s="81"/>
      <c r="E53" s="81"/>
      <c r="H53" s="81"/>
      <c r="I53" s="81"/>
      <c r="J53" s="81"/>
      <c r="K53" s="81"/>
      <c r="L53" s="82"/>
    </row>
    <row r="54" spans="1:23" s="85" customFormat="1" x14ac:dyDescent="0.3">
      <c r="C54" s="80"/>
      <c r="E54" s="81"/>
      <c r="H54" s="81"/>
      <c r="I54" s="81"/>
      <c r="J54" s="81"/>
      <c r="K54" s="81"/>
      <c r="L54" s="82"/>
    </row>
    <row r="55" spans="1:23" s="85" customFormat="1" x14ac:dyDescent="0.3">
      <c r="C55" s="81"/>
      <c r="E55" s="81"/>
      <c r="H55" s="81"/>
      <c r="I55" s="81"/>
      <c r="J55" s="81"/>
      <c r="K55" s="81"/>
      <c r="L55" s="82"/>
    </row>
    <row r="56" spans="1:23" x14ac:dyDescent="0.3">
      <c r="C56" s="80"/>
      <c r="E56" s="80"/>
    </row>
    <row r="57" spans="1:23" x14ac:dyDescent="0.3">
      <c r="C57" s="81"/>
      <c r="E57" s="81"/>
    </row>
    <row r="58" spans="1:23" x14ac:dyDescent="0.3">
      <c r="C58" s="81"/>
      <c r="E58" s="80"/>
    </row>
  </sheetData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82"/>
  <sheetViews>
    <sheetView workbookViewId="0">
      <pane xSplit="1" ySplit="10" topLeftCell="E11" activePane="bottomRight" state="frozen"/>
      <selection pane="topRight" activeCell="B1" sqref="B1"/>
      <selection pane="bottomLeft" activeCell="A11" sqref="A11"/>
      <selection pane="bottomRight" activeCell="E22" sqref="E22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10" width="11.140625" style="74" bestFit="1" customWidth="1"/>
    <col min="11" max="11" width="11.5703125" style="74" bestFit="1" customWidth="1"/>
    <col min="12" max="12" width="11.140625" style="75" bestFit="1" customWidth="1"/>
    <col min="13" max="13" width="10.28515625" style="75" bestFit="1" customWidth="1"/>
    <col min="14" max="15" width="10.28515625" style="75" customWidth="1"/>
    <col min="16" max="17" width="10.42578125" style="76" bestFit="1" customWidth="1"/>
    <col min="18" max="18" width="10.28515625" style="73" bestFit="1" customWidth="1"/>
    <col min="19" max="16384" width="11.42578125" style="73"/>
  </cols>
  <sheetData>
    <row r="6" spans="1:21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21" ht="15.75" x14ac:dyDescent="0.3">
      <c r="A7" s="78" t="s">
        <v>118</v>
      </c>
      <c r="B7" s="78"/>
      <c r="C7" s="78"/>
      <c r="D7" s="78"/>
      <c r="E7" s="78"/>
      <c r="F7" s="78"/>
      <c r="G7" s="78"/>
    </row>
    <row r="8" spans="1:21" x14ac:dyDescent="0.3">
      <c r="A8" s="79" t="s">
        <v>88</v>
      </c>
      <c r="B8" s="79"/>
      <c r="C8" s="79"/>
      <c r="D8" s="79"/>
      <c r="E8" s="79"/>
      <c r="F8" s="79"/>
      <c r="G8" s="79"/>
    </row>
    <row r="9" spans="1:21" s="85" customFormat="1" x14ac:dyDescent="0.3">
      <c r="H9" s="81"/>
      <c r="I9" s="81"/>
      <c r="J9" s="81"/>
      <c r="K9" s="81"/>
      <c r="L9" s="82"/>
      <c r="M9" s="82"/>
      <c r="N9" s="82"/>
      <c r="O9" s="82"/>
      <c r="P9" s="83"/>
      <c r="Q9" s="83"/>
      <c r="R9" s="84"/>
      <c r="S9" s="84"/>
      <c r="T9" s="84"/>
      <c r="U9" s="84"/>
    </row>
    <row r="10" spans="1:21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44">
        <v>2011</v>
      </c>
      <c r="I10" s="144">
        <v>2012</v>
      </c>
      <c r="J10" s="176">
        <v>2012</v>
      </c>
      <c r="K10" s="145">
        <v>2013</v>
      </c>
      <c r="L10" s="146" t="s">
        <v>46</v>
      </c>
      <c r="P10" s="83"/>
      <c r="Q10" s="83"/>
      <c r="R10" s="106"/>
      <c r="S10" s="84"/>
      <c r="T10" s="84"/>
      <c r="U10" s="84"/>
    </row>
    <row r="11" spans="1:21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71">
        <v>193087</v>
      </c>
      <c r="I11" s="171">
        <v>291812</v>
      </c>
      <c r="J11" s="177">
        <v>291812</v>
      </c>
      <c r="K11" s="117">
        <v>415478</v>
      </c>
      <c r="L11" s="129">
        <f t="shared" ref="L11:L16" si="0">+(K11-J11)/J11</f>
        <v>0.42378654750318701</v>
      </c>
      <c r="P11" s="83"/>
      <c r="Q11" s="83"/>
      <c r="R11" s="108"/>
      <c r="S11" s="84"/>
      <c r="T11" s="84"/>
      <c r="U11" s="84"/>
    </row>
    <row r="12" spans="1:21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71">
        <v>329071</v>
      </c>
      <c r="I12" s="171">
        <v>330090</v>
      </c>
      <c r="J12" s="177">
        <v>330090</v>
      </c>
      <c r="K12" s="117">
        <v>357830</v>
      </c>
      <c r="L12" s="129">
        <f t="shared" si="0"/>
        <v>8.4037686691508379E-2</v>
      </c>
      <c r="P12" s="170"/>
      <c r="Q12" s="83"/>
      <c r="R12" s="106"/>
      <c r="S12" s="84"/>
      <c r="T12" s="84"/>
      <c r="U12" s="84"/>
    </row>
    <row r="13" spans="1:21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71">
        <v>650631</v>
      </c>
      <c r="I13" s="171">
        <v>681860</v>
      </c>
      <c r="J13" s="177">
        <v>681860</v>
      </c>
      <c r="K13" s="117">
        <v>857299</v>
      </c>
      <c r="L13" s="129">
        <f t="shared" si="0"/>
        <v>0.25729475258850792</v>
      </c>
      <c r="P13" s="83"/>
      <c r="Q13" s="83"/>
      <c r="R13" s="106"/>
      <c r="S13" s="84"/>
      <c r="T13" s="84"/>
      <c r="U13" s="84"/>
    </row>
    <row r="14" spans="1:21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71">
        <v>601866</v>
      </c>
      <c r="I14" s="171">
        <v>555796</v>
      </c>
      <c r="J14" s="177">
        <v>555795</v>
      </c>
      <c r="K14" s="117">
        <v>725323</v>
      </c>
      <c r="L14" s="129">
        <f t="shared" si="0"/>
        <v>0.30501893683822273</v>
      </c>
      <c r="P14" s="83"/>
      <c r="Q14" s="83"/>
      <c r="R14" s="106"/>
      <c r="S14" s="84"/>
      <c r="T14" s="84"/>
      <c r="U14" s="84"/>
    </row>
    <row r="15" spans="1:21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71">
        <v>1009855</v>
      </c>
      <c r="I15" s="171">
        <v>1135785</v>
      </c>
      <c r="J15" s="177">
        <v>1135785</v>
      </c>
      <c r="K15" s="117">
        <v>1456074</v>
      </c>
      <c r="L15" s="129">
        <f t="shared" si="0"/>
        <v>0.28199791333747143</v>
      </c>
      <c r="P15" s="83"/>
      <c r="Q15" s="83"/>
      <c r="R15" s="106"/>
      <c r="S15" s="84"/>
      <c r="T15" s="84"/>
      <c r="U15" s="84"/>
    </row>
    <row r="16" spans="1:21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71">
        <v>900384</v>
      </c>
      <c r="I16" s="171">
        <v>1025441</v>
      </c>
      <c r="J16" s="177">
        <v>1025441</v>
      </c>
      <c r="K16" s="117">
        <v>2038332</v>
      </c>
      <c r="L16" s="129">
        <f t="shared" si="0"/>
        <v>0.9877613631598503</v>
      </c>
      <c r="P16" s="83"/>
      <c r="Q16" s="83"/>
      <c r="R16" s="106"/>
      <c r="S16" s="84"/>
      <c r="T16" s="84"/>
      <c r="U16" s="84"/>
    </row>
    <row r="17" spans="1:21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71">
        <v>130401</v>
      </c>
      <c r="I17" s="171">
        <v>57452</v>
      </c>
      <c r="J17" s="177">
        <v>57452</v>
      </c>
      <c r="K17" s="117">
        <v>101223</v>
      </c>
      <c r="L17" s="129">
        <f t="shared" ref="L17:L19" si="1">+(K17-J17)/J17</f>
        <v>0.76187077908514933</v>
      </c>
      <c r="P17" s="83"/>
      <c r="Q17" s="83"/>
      <c r="R17" s="106"/>
      <c r="S17" s="84"/>
      <c r="T17" s="84"/>
      <c r="U17" s="84"/>
    </row>
    <row r="18" spans="1:21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71">
        <v>18323</v>
      </c>
      <c r="I18" s="171">
        <v>6913</v>
      </c>
      <c r="J18" s="177">
        <v>6913</v>
      </c>
      <c r="K18" s="117">
        <v>16502</v>
      </c>
      <c r="L18" s="129">
        <f t="shared" si="1"/>
        <v>1.3870967741935485</v>
      </c>
      <c r="P18" s="83"/>
      <c r="Q18" s="83"/>
      <c r="R18" s="106"/>
      <c r="S18" s="84"/>
      <c r="T18" s="84"/>
      <c r="U18" s="84"/>
    </row>
    <row r="19" spans="1:21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71">
        <v>4097551</v>
      </c>
      <c r="I19" s="171">
        <v>4866415</v>
      </c>
      <c r="J19" s="177">
        <v>4866415</v>
      </c>
      <c r="K19" s="117">
        <v>4612437</v>
      </c>
      <c r="L19" s="129">
        <f t="shared" si="1"/>
        <v>-5.2189959138297902E-2</v>
      </c>
      <c r="P19" s="83"/>
      <c r="Q19" s="83"/>
      <c r="R19" s="106"/>
      <c r="S19" s="84"/>
      <c r="T19" s="84"/>
      <c r="U19" s="84"/>
    </row>
    <row r="20" spans="1:21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172">
        <f>SUM(H11:H19)</f>
        <v>7931169</v>
      </c>
      <c r="I20" s="172">
        <f>SUM(I11:I19)</f>
        <v>8951564</v>
      </c>
      <c r="J20" s="178">
        <f>SUM(J11:J19)</f>
        <v>8951563</v>
      </c>
      <c r="K20" s="118">
        <f>SUM(K11:K19)</f>
        <v>10580498</v>
      </c>
      <c r="L20" s="130">
        <f>+(K20-J20)/J20</f>
        <v>0.18197213157076592</v>
      </c>
      <c r="P20" s="83"/>
      <c r="Q20" s="83"/>
      <c r="R20" s="106"/>
      <c r="S20" s="84"/>
      <c r="T20" s="84"/>
      <c r="U20" s="84"/>
    </row>
    <row r="21" spans="1:21" s="85" customFormat="1" x14ac:dyDescent="0.3">
      <c r="A21" s="153"/>
      <c r="B21" s="81"/>
      <c r="C21" s="81"/>
      <c r="D21" s="81"/>
      <c r="E21" s="81"/>
      <c r="F21" s="81"/>
      <c r="G21" s="81"/>
      <c r="H21" s="171"/>
      <c r="I21" s="171"/>
      <c r="J21" s="177"/>
      <c r="K21" s="117"/>
      <c r="L21" s="129"/>
      <c r="P21" s="83"/>
      <c r="Q21" s="83"/>
      <c r="R21" s="106"/>
      <c r="S21" s="84"/>
      <c r="T21" s="84"/>
      <c r="U21" s="84"/>
    </row>
    <row r="22" spans="1:21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173">
        <v>2011</v>
      </c>
      <c r="I22" s="173">
        <v>2012</v>
      </c>
      <c r="J22" s="179">
        <v>2012</v>
      </c>
      <c r="K22" s="127">
        <v>2013</v>
      </c>
      <c r="L22" s="128" t="s">
        <v>46</v>
      </c>
      <c r="P22" s="83"/>
      <c r="Q22" s="83"/>
      <c r="R22" s="108"/>
      <c r="S22" s="84"/>
      <c r="T22" s="84"/>
      <c r="U22" s="84"/>
    </row>
    <row r="23" spans="1:21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71">
        <v>679598</v>
      </c>
      <c r="I23" s="171">
        <v>690354</v>
      </c>
      <c r="J23" s="177">
        <v>690354</v>
      </c>
      <c r="K23" s="117">
        <v>1996737</v>
      </c>
      <c r="L23" s="129">
        <f t="shared" ref="L23:L34" si="2">+(K23-J23)/J23</f>
        <v>1.8923378440626113</v>
      </c>
      <c r="P23" s="83"/>
      <c r="Q23" s="83"/>
      <c r="R23" s="106"/>
      <c r="S23" s="84"/>
      <c r="T23" s="84"/>
      <c r="U23" s="84"/>
    </row>
    <row r="24" spans="1:21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71">
        <v>163168</v>
      </c>
      <c r="I24" s="171">
        <v>170648</v>
      </c>
      <c r="J24" s="177">
        <v>170648</v>
      </c>
      <c r="K24" s="117">
        <v>299136</v>
      </c>
      <c r="L24" s="129">
        <f t="shared" si="2"/>
        <v>0.75294172800150017</v>
      </c>
      <c r="P24" s="83"/>
      <c r="Q24" s="83"/>
      <c r="R24" s="108"/>
      <c r="S24" s="84"/>
      <c r="T24" s="84"/>
      <c r="U24" s="84"/>
    </row>
    <row r="25" spans="1:21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71">
        <v>217244</v>
      </c>
      <c r="I25" s="171">
        <v>259622</v>
      </c>
      <c r="J25" s="177">
        <v>259623</v>
      </c>
      <c r="K25" s="117">
        <v>339737</v>
      </c>
      <c r="L25" s="129">
        <f t="shared" si="2"/>
        <v>0.30857820763183541</v>
      </c>
      <c r="P25" s="83"/>
      <c r="Q25" s="83"/>
      <c r="R25" s="106"/>
      <c r="S25" s="84"/>
      <c r="T25" s="84"/>
      <c r="U25" s="84"/>
    </row>
    <row r="26" spans="1:21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71">
        <v>132822</v>
      </c>
      <c r="I26" s="171">
        <v>138203</v>
      </c>
      <c r="J26" s="177">
        <v>138203</v>
      </c>
      <c r="K26" s="117">
        <v>159523</v>
      </c>
      <c r="L26" s="129">
        <f t="shared" si="2"/>
        <v>0.15426582635688083</v>
      </c>
      <c r="P26" s="83"/>
      <c r="Q26" s="83"/>
      <c r="R26" s="106"/>
      <c r="S26" s="84"/>
      <c r="T26" s="84"/>
      <c r="U26" s="84"/>
    </row>
    <row r="27" spans="1:21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71">
        <v>96429</v>
      </c>
      <c r="I27" s="171">
        <v>109969</v>
      </c>
      <c r="J27" s="177">
        <v>109969</v>
      </c>
      <c r="K27" s="117">
        <v>138378</v>
      </c>
      <c r="L27" s="129">
        <f t="shared" si="2"/>
        <v>0.25833644026953051</v>
      </c>
      <c r="P27" s="83"/>
      <c r="Q27" s="83"/>
      <c r="R27" s="106"/>
      <c r="S27" s="84"/>
      <c r="T27" s="84"/>
      <c r="U27" s="84"/>
    </row>
    <row r="28" spans="1:21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71">
        <v>33608</v>
      </c>
      <c r="I28" s="171">
        <v>28288</v>
      </c>
      <c r="J28" s="177">
        <v>28288</v>
      </c>
      <c r="K28" s="117">
        <v>54184</v>
      </c>
      <c r="L28" s="129">
        <f t="shared" si="2"/>
        <v>0.9154411764705882</v>
      </c>
      <c r="P28" s="83"/>
      <c r="Q28" s="83"/>
      <c r="R28" s="106"/>
      <c r="S28" s="84"/>
      <c r="T28" s="84"/>
      <c r="U28" s="84"/>
    </row>
    <row r="29" spans="1:21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71">
        <v>112430</v>
      </c>
      <c r="I29" s="171">
        <v>125466</v>
      </c>
      <c r="J29" s="177">
        <v>125466</v>
      </c>
      <c r="K29" s="117">
        <v>159573</v>
      </c>
      <c r="L29" s="129">
        <f t="shared" si="2"/>
        <v>0.27184257089570085</v>
      </c>
      <c r="P29" s="83"/>
      <c r="Q29" s="83"/>
      <c r="R29" s="106"/>
      <c r="S29" s="84"/>
      <c r="T29" s="84"/>
      <c r="U29" s="84"/>
    </row>
    <row r="30" spans="1:21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71">
        <v>5031</v>
      </c>
      <c r="I30" s="171">
        <v>3762</v>
      </c>
      <c r="J30" s="177">
        <v>3761</v>
      </c>
      <c r="K30" s="117">
        <v>3159</v>
      </c>
      <c r="L30" s="129">
        <f t="shared" si="2"/>
        <v>-0.1600638128157405</v>
      </c>
      <c r="P30" s="83"/>
      <c r="Q30" s="83"/>
      <c r="R30" s="106"/>
      <c r="S30" s="84"/>
      <c r="T30" s="84"/>
      <c r="U30" s="84"/>
    </row>
    <row r="31" spans="1:21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174">
        <f>SUM(H23:H30)</f>
        <v>1440330</v>
      </c>
      <c r="I31" s="174">
        <f>SUM(I23:I30)</f>
        <v>1526312</v>
      </c>
      <c r="J31" s="180">
        <f>SUM(J23:J30)</f>
        <v>1526312</v>
      </c>
      <c r="K31" s="119">
        <f>SUM(K23:K30)</f>
        <v>3150427</v>
      </c>
      <c r="L31" s="129">
        <f t="shared" si="2"/>
        <v>1.0640779866763808</v>
      </c>
      <c r="P31" s="83"/>
      <c r="Q31" s="83"/>
      <c r="R31" s="106"/>
      <c r="S31" s="84"/>
      <c r="T31" s="84"/>
      <c r="U31" s="84"/>
    </row>
    <row r="32" spans="1:21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71">
        <v>16209</v>
      </c>
      <c r="I32" s="171">
        <v>16294</v>
      </c>
      <c r="J32" s="177">
        <v>16294</v>
      </c>
      <c r="K32" s="117">
        <v>19208</v>
      </c>
      <c r="L32" s="129">
        <f t="shared" si="2"/>
        <v>0.17883883638149012</v>
      </c>
      <c r="P32" s="83"/>
      <c r="Q32" s="83"/>
      <c r="R32" s="106"/>
      <c r="S32" s="84"/>
      <c r="T32" s="84"/>
      <c r="U32" s="84"/>
    </row>
    <row r="33" spans="1:24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175">
        <v>6474630</v>
      </c>
      <c r="I33" s="175">
        <v>7408958</v>
      </c>
      <c r="J33" s="181">
        <v>7408957</v>
      </c>
      <c r="K33" s="120">
        <v>7410863</v>
      </c>
      <c r="L33" s="131">
        <f t="shared" si="2"/>
        <v>2.5725618329273606E-4</v>
      </c>
      <c r="P33" s="83"/>
      <c r="Q33" s="83"/>
      <c r="R33" s="108"/>
      <c r="S33" s="84"/>
      <c r="T33" s="84"/>
      <c r="U33" s="84"/>
    </row>
    <row r="34" spans="1:24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172">
        <f>+H31+H32+H33</f>
        <v>7931169</v>
      </c>
      <c r="I34" s="172">
        <f>+I31+I32+I33</f>
        <v>8951564</v>
      </c>
      <c r="J34" s="178">
        <f>+J31+J32+J33</f>
        <v>8951563</v>
      </c>
      <c r="K34" s="118">
        <f>+K31+K32+K33</f>
        <v>10580498</v>
      </c>
      <c r="L34" s="130">
        <f t="shared" si="2"/>
        <v>0.18197213157076592</v>
      </c>
      <c r="P34" s="83"/>
      <c r="Q34" s="83"/>
      <c r="R34" s="108"/>
      <c r="S34" s="84"/>
      <c r="T34" s="84"/>
      <c r="U34" s="84"/>
    </row>
    <row r="35" spans="1:24" s="85" customFormat="1" x14ac:dyDescent="0.3">
      <c r="H35" s="81"/>
      <c r="I35" s="81"/>
      <c r="J35" s="81"/>
      <c r="K35" s="81"/>
      <c r="L35" s="82"/>
      <c r="M35" s="107"/>
      <c r="N35" s="107"/>
      <c r="O35" s="107"/>
      <c r="P35" s="83"/>
      <c r="Q35" s="83"/>
      <c r="R35" s="108"/>
      <c r="S35" s="84"/>
      <c r="T35" s="84"/>
      <c r="U35" s="84"/>
    </row>
    <row r="36" spans="1:24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4" ht="15.75" x14ac:dyDescent="0.3">
      <c r="A37" s="78" t="s">
        <v>119</v>
      </c>
      <c r="B37" s="78"/>
      <c r="C37" s="78"/>
      <c r="D37" s="78"/>
      <c r="E37" s="78"/>
      <c r="F37" s="78"/>
      <c r="G37" s="78"/>
    </row>
    <row r="38" spans="1:24" x14ac:dyDescent="0.3">
      <c r="A38" s="79" t="s">
        <v>88</v>
      </c>
      <c r="B38" s="79"/>
      <c r="C38" s="79"/>
      <c r="D38" s="79"/>
      <c r="E38" s="79"/>
      <c r="F38" s="79"/>
      <c r="G38" s="79"/>
    </row>
    <row r="39" spans="1:24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44">
        <v>2011</v>
      </c>
      <c r="I39" s="144">
        <v>2012</v>
      </c>
      <c r="J39" s="145" t="s">
        <v>96</v>
      </c>
      <c r="K39" s="145" t="s">
        <v>95</v>
      </c>
      <c r="L39" s="145" t="s">
        <v>99</v>
      </c>
      <c r="M39" s="145" t="s">
        <v>100</v>
      </c>
      <c r="N39" s="145" t="s">
        <v>111</v>
      </c>
      <c r="O39" s="145" t="s">
        <v>121</v>
      </c>
      <c r="P39" s="146" t="s">
        <v>55</v>
      </c>
      <c r="Q39" s="145" t="s">
        <v>120</v>
      </c>
      <c r="R39" s="146" t="s">
        <v>55</v>
      </c>
      <c r="S39" s="147" t="s">
        <v>46</v>
      </c>
      <c r="T39" s="176" t="s">
        <v>108</v>
      </c>
      <c r="U39" s="183" t="s">
        <v>55</v>
      </c>
      <c r="V39" s="176" t="s">
        <v>109</v>
      </c>
      <c r="W39" s="183" t="s">
        <v>55</v>
      </c>
      <c r="X39" s="184" t="s">
        <v>46</v>
      </c>
    </row>
    <row r="40" spans="1:24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110">
        <v>5057382.6182662696</v>
      </c>
      <c r="I40" s="110">
        <v>5305782</v>
      </c>
      <c r="J40" s="132">
        <v>1237546</v>
      </c>
      <c r="K40" s="132">
        <v>1242052</v>
      </c>
      <c r="L40" s="132">
        <v>1265469</v>
      </c>
      <c r="M40" s="132">
        <v>1370524</v>
      </c>
      <c r="N40" s="132">
        <v>1329904</v>
      </c>
      <c r="O40" s="132">
        <v>1472863</v>
      </c>
      <c r="P40" s="138">
        <v>1</v>
      </c>
      <c r="Q40" s="132">
        <v>1796994</v>
      </c>
      <c r="R40" s="138">
        <v>1</v>
      </c>
      <c r="S40" s="138">
        <f t="shared" ref="S40:S56" si="3">IF(O40&lt;&gt;0,(Q40-O40)/O40,0)</f>
        <v>0.22006866898007485</v>
      </c>
      <c r="T40" s="185">
        <v>5305782</v>
      </c>
      <c r="U40" s="186">
        <v>1</v>
      </c>
      <c r="V40" s="185">
        <v>5898466</v>
      </c>
      <c r="W40" s="186">
        <v>1</v>
      </c>
      <c r="X40" s="187">
        <f t="shared" ref="X40:X52" si="4">IF(T40&lt;&gt;0,(V40-T40)/T40,0)</f>
        <v>0.11170530564580301</v>
      </c>
    </row>
    <row r="41" spans="1:24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112">
        <v>-3030201.8461819952</v>
      </c>
      <c r="I41" s="112">
        <v>-3064460</v>
      </c>
      <c r="J41" s="133">
        <v>-724520</v>
      </c>
      <c r="K41" s="133">
        <v>-682801</v>
      </c>
      <c r="L41" s="133">
        <v>-728867</v>
      </c>
      <c r="M41" s="133">
        <v>-750580</v>
      </c>
      <c r="N41" s="133">
        <v>-749719</v>
      </c>
      <c r="O41" s="133">
        <v>-861354</v>
      </c>
      <c r="P41" s="129">
        <f>+O41/$O$40</f>
        <v>-0.584816103059144</v>
      </c>
      <c r="Q41" s="133">
        <v>-1003718</v>
      </c>
      <c r="R41" s="129">
        <f t="shared" ref="R41:R59" si="5">+Q41/$Q$40</f>
        <v>-0.55855389611762751</v>
      </c>
      <c r="S41" s="129">
        <f t="shared" si="3"/>
        <v>0.16527931605356219</v>
      </c>
      <c r="T41" s="188">
        <v>-3064460</v>
      </c>
      <c r="U41" s="187">
        <f t="shared" ref="U41:U59" si="6">+T41/$T$40</f>
        <v>-0.57756990392745122</v>
      </c>
      <c r="V41" s="188">
        <v>-3260968</v>
      </c>
      <c r="W41" s="187">
        <f t="shared" ref="W41:W59" si="7">+V41/$V$40</f>
        <v>-0.55285018172521461</v>
      </c>
      <c r="X41" s="187">
        <f t="shared" si="4"/>
        <v>6.412483765492126E-2</v>
      </c>
    </row>
    <row r="42" spans="1:24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80">
        <f t="shared" ref="H42:N42" si="8">SUM(H40:H41)</f>
        <v>2027180.7720842743</v>
      </c>
      <c r="I42" s="80">
        <f t="shared" si="8"/>
        <v>2241322</v>
      </c>
      <c r="J42" s="134">
        <f t="shared" si="8"/>
        <v>513026</v>
      </c>
      <c r="K42" s="134">
        <f t="shared" si="8"/>
        <v>559251</v>
      </c>
      <c r="L42" s="134">
        <f t="shared" si="8"/>
        <v>536602</v>
      </c>
      <c r="M42" s="134">
        <f t="shared" si="8"/>
        <v>619944</v>
      </c>
      <c r="N42" s="134">
        <f t="shared" si="8"/>
        <v>580185</v>
      </c>
      <c r="O42" s="134">
        <f>SUM(O40:O41)</f>
        <v>611509</v>
      </c>
      <c r="P42" s="138">
        <f>+O42/$O$40</f>
        <v>0.415183896940856</v>
      </c>
      <c r="Q42" s="134">
        <f>SUM(Q40:Q41)</f>
        <v>793276</v>
      </c>
      <c r="R42" s="138">
        <f t="shared" si="5"/>
        <v>0.44144610388237243</v>
      </c>
      <c r="S42" s="138">
        <f t="shared" si="3"/>
        <v>0.29724337663059741</v>
      </c>
      <c r="T42" s="180">
        <f>SUM(T40:T41)</f>
        <v>2241322</v>
      </c>
      <c r="U42" s="187">
        <f t="shared" si="6"/>
        <v>0.42243009607254878</v>
      </c>
      <c r="V42" s="180">
        <f>SUM(V40:V41)</f>
        <v>2637498</v>
      </c>
      <c r="W42" s="187">
        <f t="shared" si="7"/>
        <v>0.44714981827478534</v>
      </c>
      <c r="X42" s="187">
        <f t="shared" si="4"/>
        <v>0.1767599657702017</v>
      </c>
    </row>
    <row r="43" spans="1:24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81">
        <v>-250061.17590559012</v>
      </c>
      <c r="I43" s="81">
        <v>-270303</v>
      </c>
      <c r="J43" s="135">
        <v>-59529</v>
      </c>
      <c r="K43" s="135">
        <v>-64873</v>
      </c>
      <c r="L43" s="135">
        <v>-62802</v>
      </c>
      <c r="M43" s="135">
        <v>-73939</v>
      </c>
      <c r="N43" s="135">
        <v>-70895</v>
      </c>
      <c r="O43" s="135">
        <v>-77077</v>
      </c>
      <c r="P43" s="129">
        <f>+O43/$O$40</f>
        <v>-5.233141167915821E-2</v>
      </c>
      <c r="Q43" s="135">
        <v>-105338</v>
      </c>
      <c r="R43" s="129">
        <f t="shared" si="5"/>
        <v>-5.8619004849209289E-2</v>
      </c>
      <c r="S43" s="129">
        <f t="shared" si="3"/>
        <v>0.36665931471126278</v>
      </c>
      <c r="T43" s="177">
        <v>-270303</v>
      </c>
      <c r="U43" s="187">
        <f t="shared" si="6"/>
        <v>-5.0944987939572341E-2</v>
      </c>
      <c r="V43" s="177">
        <v>-347578</v>
      </c>
      <c r="W43" s="187">
        <f t="shared" si="7"/>
        <v>-5.8926846403793802E-2</v>
      </c>
      <c r="X43" s="187">
        <f t="shared" si="4"/>
        <v>0.28588287958328246</v>
      </c>
    </row>
    <row r="44" spans="1:24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81">
        <v>-1221301.5797654777</v>
      </c>
      <c r="I44" s="81">
        <v>-1326976</v>
      </c>
      <c r="J44" s="135">
        <v>-305689</v>
      </c>
      <c r="K44" s="135">
        <v>-325559</v>
      </c>
      <c r="L44" s="135">
        <v>-310054</v>
      </c>
      <c r="M44" s="135">
        <v>-355546</v>
      </c>
      <c r="N44" s="135">
        <v>-335753</v>
      </c>
      <c r="O44" s="135">
        <v>-375480</v>
      </c>
      <c r="P44" s="129">
        <f>+O44/$O$40</f>
        <v>-0.25493206089093146</v>
      </c>
      <c r="Q44" s="135">
        <v>-448571</v>
      </c>
      <c r="R44" s="129">
        <f t="shared" si="5"/>
        <v>-0.24962298149019974</v>
      </c>
      <c r="S44" s="129">
        <f t="shared" si="3"/>
        <v>0.19466016831788643</v>
      </c>
      <c r="T44" s="177">
        <v>-1326976</v>
      </c>
      <c r="U44" s="187">
        <f t="shared" si="6"/>
        <v>-0.25009998526136201</v>
      </c>
      <c r="V44" s="177">
        <v>-1505166</v>
      </c>
      <c r="W44" s="187">
        <f t="shared" si="7"/>
        <v>-0.25517922795520054</v>
      </c>
      <c r="X44" s="187">
        <f t="shared" si="4"/>
        <v>0.13428276020063665</v>
      </c>
    </row>
    <row r="45" spans="1:24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81">
        <v>-123323</v>
      </c>
      <c r="I45" s="81">
        <v>-122931</v>
      </c>
      <c r="J45" s="135">
        <v>-33091</v>
      </c>
      <c r="K45" s="135">
        <v>-27738</v>
      </c>
      <c r="L45" s="135">
        <v>-37645</v>
      </c>
      <c r="M45" s="135">
        <v>-33697</v>
      </c>
      <c r="N45" s="135">
        <v>-33984</v>
      </c>
      <c r="O45" s="135">
        <v>-18211</v>
      </c>
      <c r="P45" s="129">
        <f>+O45/$O$40</f>
        <v>-1.236435432216031E-2</v>
      </c>
      <c r="Q45" s="135">
        <v>-41010</v>
      </c>
      <c r="R45" s="129">
        <f t="shared" si="5"/>
        <v>-2.2821445146728368E-2</v>
      </c>
      <c r="S45" s="129">
        <f t="shared" si="3"/>
        <v>1.2519356432925155</v>
      </c>
      <c r="T45" s="177">
        <v>-122931</v>
      </c>
      <c r="U45" s="187">
        <f t="shared" si="6"/>
        <v>-2.3169251959466106E-2</v>
      </c>
      <c r="V45" s="177">
        <v>-134527</v>
      </c>
      <c r="W45" s="187">
        <f t="shared" si="7"/>
        <v>-2.2807116290913605E-2</v>
      </c>
      <c r="X45" s="187">
        <f t="shared" si="4"/>
        <v>9.4329339222816055E-2</v>
      </c>
    </row>
    <row r="46" spans="1:24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80">
        <f t="shared" ref="H46:N46" si="9">SUM(H43:H45)</f>
        <v>-1594685.7556710679</v>
      </c>
      <c r="I46" s="80">
        <f t="shared" si="9"/>
        <v>-1720210</v>
      </c>
      <c r="J46" s="134">
        <f t="shared" si="9"/>
        <v>-398309</v>
      </c>
      <c r="K46" s="134">
        <f t="shared" si="9"/>
        <v>-418170</v>
      </c>
      <c r="L46" s="134">
        <f t="shared" si="9"/>
        <v>-410501</v>
      </c>
      <c r="M46" s="134">
        <f t="shared" si="9"/>
        <v>-463182</v>
      </c>
      <c r="N46" s="134">
        <f t="shared" si="9"/>
        <v>-440632</v>
      </c>
      <c r="O46" s="134">
        <f>SUM(O43:O45)</f>
        <v>-470768</v>
      </c>
      <c r="P46" s="138">
        <f t="shared" ref="P46:P57" si="10">+O46/$O$40</f>
        <v>-0.31962782689225</v>
      </c>
      <c r="Q46" s="134">
        <f>SUM(Q43:Q45)</f>
        <v>-594919</v>
      </c>
      <c r="R46" s="138">
        <f t="shared" si="5"/>
        <v>-0.33106343148613743</v>
      </c>
      <c r="S46" s="138">
        <f t="shared" si="3"/>
        <v>0.2637201339088468</v>
      </c>
      <c r="T46" s="180">
        <f>SUM(T43:T45)</f>
        <v>-1720210</v>
      </c>
      <c r="U46" s="187">
        <f t="shared" si="6"/>
        <v>-0.32421422516040049</v>
      </c>
      <c r="V46" s="180">
        <f>SUM(V43:V45)</f>
        <v>-1987271</v>
      </c>
      <c r="W46" s="187">
        <f t="shared" si="7"/>
        <v>-0.33691319064990793</v>
      </c>
      <c r="X46" s="187">
        <f t="shared" si="4"/>
        <v>0.15524906842769196</v>
      </c>
    </row>
    <row r="47" spans="1:24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80">
        <f t="shared" ref="H47:N47" si="11">+H42+H46</f>
        <v>432495.01641320647</v>
      </c>
      <c r="I47" s="80">
        <f t="shared" si="11"/>
        <v>521112</v>
      </c>
      <c r="J47" s="134">
        <f t="shared" si="11"/>
        <v>114717</v>
      </c>
      <c r="K47" s="134">
        <f t="shared" si="11"/>
        <v>141081</v>
      </c>
      <c r="L47" s="134">
        <f t="shared" si="11"/>
        <v>126101</v>
      </c>
      <c r="M47" s="134">
        <f t="shared" si="11"/>
        <v>156762</v>
      </c>
      <c r="N47" s="134">
        <f t="shared" si="11"/>
        <v>139553</v>
      </c>
      <c r="O47" s="134">
        <f>+O42+O46</f>
        <v>140741</v>
      </c>
      <c r="P47" s="138">
        <f t="shared" si="10"/>
        <v>9.5556070048606015E-2</v>
      </c>
      <c r="Q47" s="134">
        <f>+Q42+Q46</f>
        <v>198357</v>
      </c>
      <c r="R47" s="138">
        <f t="shared" si="5"/>
        <v>0.11038267239623505</v>
      </c>
      <c r="S47" s="138">
        <f t="shared" si="3"/>
        <v>0.40937608799141684</v>
      </c>
      <c r="T47" s="180">
        <f>+T42+T46</f>
        <v>521112</v>
      </c>
      <c r="U47" s="187">
        <f t="shared" si="6"/>
        <v>9.8215870912148298E-2</v>
      </c>
      <c r="V47" s="180">
        <f>+V42+V46</f>
        <v>650227</v>
      </c>
      <c r="W47" s="187">
        <f t="shared" si="7"/>
        <v>0.11023662762487739</v>
      </c>
      <c r="X47" s="187">
        <f t="shared" si="4"/>
        <v>0.24776823408403567</v>
      </c>
    </row>
    <row r="48" spans="1:24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81">
        <v>7592</v>
      </c>
      <c r="I48" s="81">
        <v>12296</v>
      </c>
      <c r="J48" s="135">
        <v>2281</v>
      </c>
      <c r="K48" s="135">
        <v>2375</v>
      </c>
      <c r="L48" s="135">
        <v>2318</v>
      </c>
      <c r="M48" s="135">
        <v>2770</v>
      </c>
      <c r="N48" s="135">
        <v>3549</v>
      </c>
      <c r="O48" s="135">
        <v>4148</v>
      </c>
      <c r="P48" s="129">
        <f t="shared" si="10"/>
        <v>2.8162836597837001E-3</v>
      </c>
      <c r="Q48" s="135">
        <v>3996</v>
      </c>
      <c r="R48" s="129">
        <f t="shared" si="5"/>
        <v>2.2237136017148637E-3</v>
      </c>
      <c r="S48" s="129">
        <f t="shared" si="3"/>
        <v>-3.6644165863066541E-2</v>
      </c>
      <c r="T48" s="177">
        <v>12296</v>
      </c>
      <c r="U48" s="187">
        <f t="shared" si="6"/>
        <v>2.3174717694771476E-3</v>
      </c>
      <c r="V48" s="177">
        <v>12207</v>
      </c>
      <c r="W48" s="187">
        <f t="shared" si="7"/>
        <v>2.0695211263403062E-3</v>
      </c>
      <c r="X48" s="187">
        <f t="shared" si="4"/>
        <v>-7.2381262199089132E-3</v>
      </c>
    </row>
    <row r="49" spans="1:24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81">
        <v>-84666</v>
      </c>
      <c r="I49" s="81">
        <v>-70722</v>
      </c>
      <c r="J49" s="135">
        <v>-18188</v>
      </c>
      <c r="K49" s="135">
        <v>-16818</v>
      </c>
      <c r="L49" s="135">
        <v>-17611</v>
      </c>
      <c r="M49" s="135">
        <v>-17303</v>
      </c>
      <c r="N49" s="135">
        <v>-17493</v>
      </c>
      <c r="O49" s="135">
        <v>-17430</v>
      </c>
      <c r="P49" s="129">
        <f t="shared" si="10"/>
        <v>-1.1834094549187536E-2</v>
      </c>
      <c r="Q49" s="135">
        <v>-39725</v>
      </c>
      <c r="R49" s="129">
        <f t="shared" si="5"/>
        <v>-2.2106362069099841E-2</v>
      </c>
      <c r="S49" s="129">
        <f t="shared" si="3"/>
        <v>1.2791164658634537</v>
      </c>
      <c r="T49" s="177">
        <v>-70722</v>
      </c>
      <c r="U49" s="187">
        <f t="shared" si="6"/>
        <v>-1.3329232147117993E-2</v>
      </c>
      <c r="V49" s="177">
        <v>-101111</v>
      </c>
      <c r="W49" s="187">
        <f t="shared" si="7"/>
        <v>-1.7141914524895118E-2</v>
      </c>
      <c r="X49" s="187">
        <f t="shared" si="4"/>
        <v>0.42969655835525011</v>
      </c>
    </row>
    <row r="50" spans="1:24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81">
        <v>-3636</v>
      </c>
      <c r="I50" s="81">
        <v>1782</v>
      </c>
      <c r="J50" s="135">
        <v>-1259</v>
      </c>
      <c r="K50" s="135">
        <v>-1758</v>
      </c>
      <c r="L50" s="135">
        <v>13430</v>
      </c>
      <c r="M50" s="135">
        <v>4040</v>
      </c>
      <c r="N50" s="135">
        <v>-3185</v>
      </c>
      <c r="O50" s="135">
        <v>-7204</v>
      </c>
      <c r="P50" s="129">
        <f t="shared" si="10"/>
        <v>-4.891154167088181E-3</v>
      </c>
      <c r="Q50" s="135">
        <v>-4104</v>
      </c>
      <c r="R50" s="129">
        <f t="shared" si="5"/>
        <v>-2.2838139693287791E-3</v>
      </c>
      <c r="S50" s="129">
        <f t="shared" si="3"/>
        <v>-0.4303164908384231</v>
      </c>
      <c r="T50" s="177">
        <v>1782</v>
      </c>
      <c r="U50" s="187">
        <f t="shared" si="6"/>
        <v>3.3586001083346433E-4</v>
      </c>
      <c r="V50" s="177">
        <v>8732</v>
      </c>
      <c r="W50" s="187">
        <f t="shared" si="7"/>
        <v>1.4803849000740192E-3</v>
      </c>
      <c r="X50" s="187">
        <f t="shared" si="4"/>
        <v>3.9001122334455669</v>
      </c>
    </row>
    <row r="51" spans="1:24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81">
        <v>-26933</v>
      </c>
      <c r="I51" s="81">
        <v>-13536</v>
      </c>
      <c r="J51" s="135">
        <v>-5552</v>
      </c>
      <c r="K51" s="135">
        <v>-7981</v>
      </c>
      <c r="L51" s="135">
        <v>-7455</v>
      </c>
      <c r="M51" s="135">
        <v>-15076</v>
      </c>
      <c r="N51" s="135">
        <v>2332</v>
      </c>
      <c r="O51" s="135">
        <v>-2858</v>
      </c>
      <c r="P51" s="129">
        <f t="shared" si="10"/>
        <v>-1.9404384521846227E-3</v>
      </c>
      <c r="Q51" s="135">
        <v>-28914</v>
      </c>
      <c r="R51" s="129">
        <f t="shared" si="5"/>
        <v>-1.6090203973969864E-2</v>
      </c>
      <c r="S51" s="129">
        <f t="shared" si="3"/>
        <v>9.1168649405178446</v>
      </c>
      <c r="T51" s="177">
        <v>-13533</v>
      </c>
      <c r="U51" s="187">
        <f t="shared" si="6"/>
        <v>-2.5506136512958881E-3</v>
      </c>
      <c r="V51" s="177">
        <v>-54534</v>
      </c>
      <c r="W51" s="187">
        <f t="shared" si="7"/>
        <v>-9.245454665670701E-3</v>
      </c>
      <c r="X51" s="187">
        <f t="shared" si="4"/>
        <v>3.0297051651518512</v>
      </c>
    </row>
    <row r="52" spans="1:24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81">
        <v>33531</v>
      </c>
      <c r="I52" s="81">
        <v>35188</v>
      </c>
      <c r="J52" s="135">
        <v>8296</v>
      </c>
      <c r="K52" s="135">
        <v>8803</v>
      </c>
      <c r="L52" s="135">
        <v>9263</v>
      </c>
      <c r="M52" s="135">
        <v>9924</v>
      </c>
      <c r="N52" s="135">
        <v>8787</v>
      </c>
      <c r="O52" s="135">
        <v>8842</v>
      </c>
      <c r="P52" s="129">
        <f t="shared" si="10"/>
        <v>6.0032738958070101E-3</v>
      </c>
      <c r="Q52" s="135">
        <v>9643</v>
      </c>
      <c r="R52" s="129">
        <f t="shared" si="5"/>
        <v>5.3661837490831914E-3</v>
      </c>
      <c r="S52" s="129">
        <f t="shared" si="3"/>
        <v>9.0590364171002039E-2</v>
      </c>
      <c r="T52" s="177">
        <v>35188</v>
      </c>
      <c r="U52" s="187">
        <f t="shared" si="6"/>
        <v>6.6320101353579929E-3</v>
      </c>
      <c r="V52" s="177">
        <v>39510</v>
      </c>
      <c r="W52" s="187">
        <f t="shared" si="7"/>
        <v>6.6983517409441706E-3</v>
      </c>
      <c r="X52" s="187">
        <f t="shared" si="4"/>
        <v>0.12282596339661248</v>
      </c>
    </row>
    <row r="53" spans="1:24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81">
        <v>11185</v>
      </c>
      <c r="I53" s="81">
        <v>0</v>
      </c>
      <c r="J53" s="135">
        <v>-1</v>
      </c>
      <c r="K53" s="135">
        <v>0</v>
      </c>
      <c r="L53" s="135">
        <v>36</v>
      </c>
      <c r="M53" s="135">
        <v>107</v>
      </c>
      <c r="N53" s="135">
        <v>0</v>
      </c>
      <c r="O53" s="135">
        <v>-37</v>
      </c>
      <c r="P53" s="129">
        <f t="shared" si="10"/>
        <v>-2.5121141613306872E-5</v>
      </c>
      <c r="Q53" s="135">
        <v>0</v>
      </c>
      <c r="R53" s="129">
        <f t="shared" si="5"/>
        <v>0</v>
      </c>
      <c r="S53" s="129">
        <f t="shared" si="3"/>
        <v>-1</v>
      </c>
      <c r="T53" s="177">
        <v>-2</v>
      </c>
      <c r="U53" s="187">
        <f t="shared" si="6"/>
        <v>-3.7694726243935389E-7</v>
      </c>
      <c r="V53" s="177">
        <v>107</v>
      </c>
      <c r="W53" s="187">
        <f t="shared" si="7"/>
        <v>1.8140309700861208E-5</v>
      </c>
      <c r="X53" s="195" t="s">
        <v>116</v>
      </c>
    </row>
    <row r="54" spans="1:24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80">
        <f t="shared" ref="H54:N54" si="12">SUM(H48:H53)</f>
        <v>-62927</v>
      </c>
      <c r="I54" s="80">
        <f t="shared" si="12"/>
        <v>-34992</v>
      </c>
      <c r="J54" s="134">
        <f t="shared" si="12"/>
        <v>-14423</v>
      </c>
      <c r="K54" s="134">
        <f t="shared" si="12"/>
        <v>-15379</v>
      </c>
      <c r="L54" s="134">
        <f t="shared" si="12"/>
        <v>-19</v>
      </c>
      <c r="M54" s="134">
        <f t="shared" si="12"/>
        <v>-15538</v>
      </c>
      <c r="N54" s="134">
        <f t="shared" si="12"/>
        <v>-6010</v>
      </c>
      <c r="O54" s="134">
        <f>SUM(O48:O53)</f>
        <v>-14539</v>
      </c>
      <c r="P54" s="138">
        <f t="shared" si="10"/>
        <v>-9.871250754482936E-3</v>
      </c>
      <c r="Q54" s="134">
        <f>SUM(Q48:Q53)</f>
        <v>-59104</v>
      </c>
      <c r="R54" s="138">
        <f t="shared" si="5"/>
        <v>-3.2890482661600426E-2</v>
      </c>
      <c r="S54" s="138">
        <f t="shared" si="3"/>
        <v>3.0652039342458215</v>
      </c>
      <c r="T54" s="180">
        <f>SUM(T48:T53)</f>
        <v>-34991</v>
      </c>
      <c r="U54" s="187">
        <f t="shared" si="6"/>
        <v>-6.5948808300077162E-3</v>
      </c>
      <c r="V54" s="180">
        <f>SUM(V48:V53)</f>
        <v>-95089</v>
      </c>
      <c r="W54" s="187">
        <f t="shared" si="7"/>
        <v>-1.6120971113506462E-2</v>
      </c>
      <c r="X54" s="187">
        <f>IF(T54&lt;&gt;0,(V54-T54)/T54,0)</f>
        <v>1.7175273641793605</v>
      </c>
    </row>
    <row r="55" spans="1:24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80">
        <f t="shared" ref="H55:N55" si="13">+H47+H54</f>
        <v>369568.01641320647</v>
      </c>
      <c r="I55" s="80">
        <f t="shared" si="13"/>
        <v>486120</v>
      </c>
      <c r="J55" s="134">
        <f t="shared" si="13"/>
        <v>100294</v>
      </c>
      <c r="K55" s="134">
        <f t="shared" si="13"/>
        <v>125702</v>
      </c>
      <c r="L55" s="134">
        <f t="shared" si="13"/>
        <v>126082</v>
      </c>
      <c r="M55" s="134">
        <f t="shared" si="13"/>
        <v>141224</v>
      </c>
      <c r="N55" s="134">
        <f t="shared" si="13"/>
        <v>133543</v>
      </c>
      <c r="O55" s="134">
        <f>+O47+O54</f>
        <v>126202</v>
      </c>
      <c r="P55" s="138">
        <f t="shared" si="10"/>
        <v>8.5684819294123082E-2</v>
      </c>
      <c r="Q55" s="134">
        <f>+Q47+Q54</f>
        <v>139253</v>
      </c>
      <c r="R55" s="138">
        <f t="shared" si="5"/>
        <v>7.749218973463462E-2</v>
      </c>
      <c r="S55" s="138">
        <f t="shared" si="3"/>
        <v>0.10341357506220186</v>
      </c>
      <c r="T55" s="180">
        <f>+T47+T54</f>
        <v>486121</v>
      </c>
      <c r="U55" s="187">
        <f t="shared" si="6"/>
        <v>9.1620990082140571E-2</v>
      </c>
      <c r="V55" s="180">
        <f>+V47+V54</f>
        <v>555138</v>
      </c>
      <c r="W55" s="187">
        <f t="shared" si="7"/>
        <v>9.4115656511370924E-2</v>
      </c>
      <c r="X55" s="187">
        <f>IF(T55&lt;&gt;0,(V55-T55)/T55,0)</f>
        <v>0.14197494039549824</v>
      </c>
    </row>
    <row r="56" spans="1:24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81">
        <v>-113919.04882074999</v>
      </c>
      <c r="I56" s="81">
        <v>-138457</v>
      </c>
      <c r="J56" s="135">
        <v>-39773</v>
      </c>
      <c r="K56" s="135">
        <v>-46692</v>
      </c>
      <c r="L56" s="135">
        <v>-37735</v>
      </c>
      <c r="M56" s="135">
        <v>-44055</v>
      </c>
      <c r="N56" s="135">
        <v>-39317</v>
      </c>
      <c r="O56" s="135">
        <v>-21632</v>
      </c>
      <c r="P56" s="129">
        <f t="shared" si="10"/>
        <v>-1.4687041496731196E-2</v>
      </c>
      <c r="Q56" s="135">
        <v>-38830</v>
      </c>
      <c r="R56" s="129">
        <f t="shared" si="5"/>
        <v>-2.1608308096743783E-2</v>
      </c>
      <c r="S56" s="129">
        <f t="shared" si="3"/>
        <v>0.79502588757396453</v>
      </c>
      <c r="T56" s="177">
        <v>-138457</v>
      </c>
      <c r="U56" s="187">
        <f t="shared" si="6"/>
        <v>-2.609549355778281E-2</v>
      </c>
      <c r="V56" s="177">
        <v>-174487</v>
      </c>
      <c r="W56" s="187">
        <f t="shared" si="7"/>
        <v>-2.95817590539642E-2</v>
      </c>
      <c r="X56" s="187">
        <f>IF(T56&lt;&gt;0,(V56-T56)/T56,0)</f>
        <v>0.2602251962703222</v>
      </c>
    </row>
    <row r="57" spans="1:24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81">
        <v>-2137.6216936399992</v>
      </c>
      <c r="I57" s="81">
        <v>-2156</v>
      </c>
      <c r="J57" s="135">
        <v>-917</v>
      </c>
      <c r="K57" s="135">
        <v>276</v>
      </c>
      <c r="L57" s="135">
        <v>-863</v>
      </c>
      <c r="M57" s="135">
        <v>-50</v>
      </c>
      <c r="N57" s="135">
        <v>-209</v>
      </c>
      <c r="O57" s="135">
        <v>-168</v>
      </c>
      <c r="P57" s="129">
        <f t="shared" si="10"/>
        <v>-1.1406356191987986E-4</v>
      </c>
      <c r="Q57" s="135">
        <v>-343</v>
      </c>
      <c r="R57" s="129">
        <f t="shared" si="5"/>
        <v>-1.9087431566271228E-4</v>
      </c>
      <c r="S57" s="129">
        <f t="shared" ref="S57:S59" si="14">IF(O57&lt;&gt;0,(Q57-O57)/O57,0)</f>
        <v>1.0416666666666667</v>
      </c>
      <c r="T57" s="177">
        <v>-2157</v>
      </c>
      <c r="U57" s="189">
        <f t="shared" si="6"/>
        <v>-4.065376225408432E-4</v>
      </c>
      <c r="V57" s="177">
        <v>-416</v>
      </c>
      <c r="W57" s="189">
        <f t="shared" si="7"/>
        <v>-7.0526811547273483E-5</v>
      </c>
      <c r="X57" s="187">
        <f>IF(T57&lt;&gt;0,(V57-T57)/T57,0)</f>
        <v>-0.80713954566527579</v>
      </c>
    </row>
    <row r="58" spans="1:24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113">
        <f t="shared" ref="H58:M58" si="15">+H55+H56+H57</f>
        <v>253511.34589881651</v>
      </c>
      <c r="I58" s="113">
        <f t="shared" si="15"/>
        <v>345507</v>
      </c>
      <c r="J58" s="136">
        <f t="shared" si="15"/>
        <v>59604</v>
      </c>
      <c r="K58" s="136">
        <f t="shared" si="15"/>
        <v>79286</v>
      </c>
      <c r="L58" s="136">
        <f t="shared" si="15"/>
        <v>87484</v>
      </c>
      <c r="M58" s="136">
        <f t="shared" si="15"/>
        <v>97119</v>
      </c>
      <c r="N58" s="136">
        <v>94017</v>
      </c>
      <c r="O58" s="136">
        <f>+O55+O56+O57</f>
        <v>104402</v>
      </c>
      <c r="P58" s="139">
        <f>+O58/$O$40</f>
        <v>7.0883714235472003E-2</v>
      </c>
      <c r="Q58" s="136">
        <f>+Q55+Q56+Q57</f>
        <v>100080</v>
      </c>
      <c r="R58" s="139">
        <f t="shared" si="5"/>
        <v>5.5693007322228122E-2</v>
      </c>
      <c r="S58" s="139">
        <f t="shared" si="14"/>
        <v>-4.1397674374054137E-2</v>
      </c>
      <c r="T58" s="190">
        <f>+T55+T56+T57</f>
        <v>345507</v>
      </c>
      <c r="U58" s="189">
        <f t="shared" si="6"/>
        <v>6.5118958901816917E-2</v>
      </c>
      <c r="V58" s="190">
        <f>+V55+V56+V57</f>
        <v>380235</v>
      </c>
      <c r="W58" s="189">
        <f t="shared" si="7"/>
        <v>6.4463370645859455E-2</v>
      </c>
      <c r="X58" s="191">
        <f>+(V58-T58)/T58</f>
        <v>0.10051315892297406</v>
      </c>
    </row>
    <row r="59" spans="1:24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91">
        <v>568131.17041880696</v>
      </c>
      <c r="I59" s="91">
        <v>671095</v>
      </c>
      <c r="J59" s="137">
        <v>150246</v>
      </c>
      <c r="K59" s="137">
        <v>179705</v>
      </c>
      <c r="L59" s="137">
        <v>161808</v>
      </c>
      <c r="M59" s="137">
        <v>196119</v>
      </c>
      <c r="N59" s="137">
        <v>176006</v>
      </c>
      <c r="O59" s="137">
        <v>183035</v>
      </c>
      <c r="P59" s="140">
        <f>+O59/$O$40</f>
        <v>0.12427157176193576</v>
      </c>
      <c r="Q59" s="137">
        <v>257673</v>
      </c>
      <c r="R59" s="140">
        <f t="shared" si="5"/>
        <v>0.14339112985352204</v>
      </c>
      <c r="S59" s="140">
        <f t="shared" si="14"/>
        <v>0.40777993279973773</v>
      </c>
      <c r="T59" s="178">
        <v>671095</v>
      </c>
      <c r="U59" s="192">
        <f t="shared" si="6"/>
        <v>0.1264837115433691</v>
      </c>
      <c r="V59" s="178">
        <v>832827</v>
      </c>
      <c r="W59" s="192">
        <f t="shared" si="7"/>
        <v>0.14119382903961811</v>
      </c>
      <c r="X59" s="193">
        <f>+(V59-T59)/T59</f>
        <v>0.24099717625671477</v>
      </c>
    </row>
    <row r="60" spans="1:24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82"/>
      <c r="O60" s="82"/>
      <c r="P60" s="101"/>
      <c r="Q60" s="101"/>
    </row>
    <row r="61" spans="1:24" s="85" customFormat="1" x14ac:dyDescent="0.3">
      <c r="A61" s="196" t="s">
        <v>53</v>
      </c>
      <c r="H61" s="112"/>
      <c r="I61" s="112"/>
      <c r="J61" s="112"/>
      <c r="K61" s="112"/>
      <c r="L61" s="112"/>
      <c r="M61" s="82"/>
      <c r="N61" s="82"/>
      <c r="O61" s="82"/>
      <c r="P61" s="101"/>
      <c r="Q61" s="101"/>
    </row>
    <row r="62" spans="1:24" s="85" customFormat="1" x14ac:dyDescent="0.3">
      <c r="H62" s="81"/>
      <c r="I62" s="81"/>
      <c r="J62" s="81"/>
      <c r="K62" s="81"/>
      <c r="L62" s="112"/>
      <c r="M62" s="82"/>
      <c r="N62" s="82"/>
      <c r="O62" s="82"/>
      <c r="P62" s="101"/>
      <c r="Q62" s="101"/>
    </row>
    <row r="63" spans="1:24" s="85" customFormat="1" x14ac:dyDescent="0.3">
      <c r="H63" s="81"/>
      <c r="I63" s="81"/>
      <c r="J63" s="81"/>
      <c r="K63" s="81"/>
      <c r="L63" s="82"/>
      <c r="M63" s="82"/>
      <c r="N63" s="82"/>
      <c r="O63" s="82"/>
      <c r="P63" s="101"/>
      <c r="Q63" s="101"/>
    </row>
    <row r="64" spans="1:24" s="85" customFormat="1" x14ac:dyDescent="0.3">
      <c r="H64" s="81"/>
      <c r="I64" s="81"/>
      <c r="J64" s="81"/>
      <c r="K64" s="81"/>
      <c r="L64" s="89"/>
      <c r="M64" s="82"/>
      <c r="N64" s="82"/>
      <c r="O64" s="82"/>
      <c r="P64" s="101"/>
      <c r="Q64" s="101"/>
      <c r="R64" s="194"/>
    </row>
    <row r="65" spans="13:15" x14ac:dyDescent="0.3">
      <c r="M65" s="77"/>
      <c r="N65" s="77"/>
      <c r="O65" s="77"/>
    </row>
    <row r="82" spans="13:15" x14ac:dyDescent="0.3">
      <c r="M82" s="77"/>
      <c r="N82" s="77"/>
      <c r="O82" s="7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A7" workbookViewId="0">
      <pane xSplit="1" ySplit="4" topLeftCell="E32" activePane="bottomRight" state="frozen"/>
      <selection activeCell="A7" sqref="A7"/>
      <selection pane="topRight" activeCell="B7" sqref="B7"/>
      <selection pane="bottomLeft" activeCell="A11" sqref="A11"/>
      <selection pane="bottomRight" activeCell="O22" sqref="O22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20" x14ac:dyDescent="0.3">
      <c r="M1" s="75"/>
      <c r="N1" s="76"/>
      <c r="O1" s="76"/>
    </row>
    <row r="2" spans="1:20" x14ac:dyDescent="0.3">
      <c r="M2" s="75"/>
      <c r="N2" s="76"/>
      <c r="O2" s="76"/>
    </row>
    <row r="3" spans="1:20" x14ac:dyDescent="0.3">
      <c r="M3" s="75"/>
      <c r="N3" s="76"/>
      <c r="O3" s="76"/>
    </row>
    <row r="4" spans="1:20" x14ac:dyDescent="0.3">
      <c r="M4" s="75"/>
      <c r="N4" s="76"/>
      <c r="O4" s="76"/>
    </row>
    <row r="5" spans="1:20" x14ac:dyDescent="0.3">
      <c r="M5" s="75"/>
      <c r="N5" s="76"/>
      <c r="O5" s="76"/>
    </row>
    <row r="6" spans="1:20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20" ht="15.75" x14ac:dyDescent="0.3">
      <c r="A7" s="78" t="s">
        <v>65</v>
      </c>
      <c r="B7" s="78"/>
      <c r="C7" s="78"/>
      <c r="D7" s="78"/>
      <c r="E7" s="78"/>
      <c r="F7" s="78"/>
      <c r="G7" s="78"/>
      <c r="M7" s="75"/>
      <c r="N7" s="76"/>
      <c r="O7" s="76"/>
    </row>
    <row r="8" spans="1:20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20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98">
        <v>2011</v>
      </c>
      <c r="I10" s="157">
        <v>2012</v>
      </c>
      <c r="J10" s="145">
        <v>2013</v>
      </c>
      <c r="K10" s="158" t="s">
        <v>46</v>
      </c>
      <c r="L10" s="145">
        <v>2013</v>
      </c>
      <c r="M10" s="145">
        <v>2014</v>
      </c>
      <c r="N10" s="158" t="s">
        <v>46</v>
      </c>
    </row>
    <row r="11" spans="1:20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199">
        <v>94</v>
      </c>
      <c r="I11" s="135">
        <v>74</v>
      </c>
      <c r="J11" s="135">
        <v>58</v>
      </c>
      <c r="K11" s="129">
        <f>(J11-I11)/I11</f>
        <v>-0.21621621621621623</v>
      </c>
      <c r="L11" s="135">
        <v>183</v>
      </c>
      <c r="M11" s="135">
        <v>48</v>
      </c>
      <c r="N11" s="129">
        <f>IF(L11&lt;&gt;0,(M11-L11)/L11,0)</f>
        <v>-0.73770491803278693</v>
      </c>
      <c r="O11" s="82"/>
    </row>
    <row r="12" spans="1:20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199">
        <v>3554895</v>
      </c>
      <c r="I12" s="135">
        <v>3748346</v>
      </c>
      <c r="J12" s="135">
        <v>4126523</v>
      </c>
      <c r="K12" s="129">
        <f t="shared" ref="K12:K13" si="0">(J12-I12)/I12</f>
        <v>0.10089169996579825</v>
      </c>
      <c r="L12" s="135">
        <v>3787717</v>
      </c>
      <c r="M12" s="135">
        <v>4152714</v>
      </c>
      <c r="N12" s="129">
        <f t="shared" ref="N12:N17" si="1">IF(L12&lt;&gt;0,(M12-L12)/L12,0)</f>
        <v>9.6363323870289147E-2</v>
      </c>
      <c r="O12" s="82"/>
    </row>
    <row r="13" spans="1:20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199">
        <v>10662</v>
      </c>
      <c r="I13" s="135">
        <v>14922</v>
      </c>
      <c r="J13" s="135">
        <v>18191</v>
      </c>
      <c r="K13" s="129">
        <f t="shared" si="0"/>
        <v>0.21907251038734754</v>
      </c>
      <c r="L13" s="135">
        <v>53661</v>
      </c>
      <c r="M13" s="135">
        <v>52249</v>
      </c>
      <c r="N13" s="129">
        <f t="shared" si="1"/>
        <v>-2.6313337433145116E-2</v>
      </c>
      <c r="O13" s="82"/>
      <c r="P13" s="85"/>
      <c r="R13" s="85"/>
      <c r="S13" s="85"/>
      <c r="T13" s="85"/>
    </row>
    <row r="14" spans="1:20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199">
        <v>0</v>
      </c>
      <c r="I14" s="135">
        <v>0</v>
      </c>
      <c r="J14" s="135">
        <v>0</v>
      </c>
      <c r="K14" s="129">
        <v>0</v>
      </c>
      <c r="L14" s="135">
        <v>0</v>
      </c>
      <c r="M14" s="135">
        <v>0</v>
      </c>
      <c r="N14" s="129">
        <f t="shared" si="1"/>
        <v>0</v>
      </c>
      <c r="O14" s="82"/>
      <c r="P14" s="85"/>
      <c r="R14" s="85"/>
      <c r="S14" s="85"/>
      <c r="T14" s="85"/>
    </row>
    <row r="15" spans="1:20" s="89" customFormat="1" x14ac:dyDescent="0.3">
      <c r="A15" s="88" t="s">
        <v>83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199">
        <f>503+155</f>
        <v>658</v>
      </c>
      <c r="I15" s="135">
        <v>118</v>
      </c>
      <c r="J15" s="135">
        <v>4612</v>
      </c>
      <c r="K15" s="197" t="s">
        <v>116</v>
      </c>
      <c r="L15" s="135">
        <v>5049</v>
      </c>
      <c r="M15" s="135">
        <v>13085</v>
      </c>
      <c r="N15" s="129">
        <f t="shared" si="1"/>
        <v>1.5916022974846504</v>
      </c>
      <c r="O15" s="82"/>
      <c r="P15" s="85"/>
      <c r="R15" s="85"/>
      <c r="S15" s="85"/>
      <c r="T15" s="85"/>
    </row>
    <row r="16" spans="1:20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199">
        <v>2979150</v>
      </c>
      <c r="I16" s="135">
        <v>3733696</v>
      </c>
      <c r="J16" s="135">
        <v>3357714</v>
      </c>
      <c r="K16" s="129">
        <f>(J16-I16)/I16</f>
        <v>-0.10069968203088843</v>
      </c>
      <c r="L16" s="135">
        <v>3775560</v>
      </c>
      <c r="M16" s="135">
        <v>3617096</v>
      </c>
      <c r="N16" s="129">
        <f t="shared" si="1"/>
        <v>-4.1970992382586954E-2</v>
      </c>
      <c r="O16" s="82"/>
      <c r="P16" s="85"/>
      <c r="R16" s="85"/>
      <c r="S16" s="85"/>
      <c r="T16" s="85"/>
    </row>
    <row r="17" spans="1:20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2">SUM(F11:F16)</f>
        <v>5514960</v>
      </c>
      <c r="G17" s="91">
        <f t="shared" si="2"/>
        <v>6403741</v>
      </c>
      <c r="H17" s="200">
        <f>SUM(H11:H16)</f>
        <v>6545459</v>
      </c>
      <c r="I17" s="137">
        <f>SUM(I11:I16)</f>
        <v>7497156</v>
      </c>
      <c r="J17" s="137">
        <f>SUM(J11:J16)</f>
        <v>7507098</v>
      </c>
      <c r="K17" s="159">
        <f>(J17-I17)/I17</f>
        <v>1.3261028582038309E-3</v>
      </c>
      <c r="L17" s="137">
        <f>SUM(L11:L16)</f>
        <v>7622170</v>
      </c>
      <c r="M17" s="137">
        <f>SUM(M11:M16)</f>
        <v>7835192</v>
      </c>
      <c r="N17" s="159">
        <f t="shared" si="1"/>
        <v>2.7947684189673021E-2</v>
      </c>
      <c r="O17" s="82"/>
      <c r="P17" s="85"/>
      <c r="R17" s="85"/>
      <c r="S17" s="85"/>
      <c r="T17" s="85"/>
    </row>
    <row r="18" spans="1:20" s="85" customFormat="1" x14ac:dyDescent="0.3">
      <c r="B18" s="81"/>
      <c r="C18" s="81"/>
      <c r="D18" s="81"/>
      <c r="E18" s="81"/>
      <c r="F18" s="81"/>
      <c r="G18" s="81"/>
      <c r="H18" s="199"/>
      <c r="I18" s="135"/>
      <c r="J18" s="135"/>
      <c r="K18" s="129"/>
      <c r="L18" s="135"/>
      <c r="M18" s="135"/>
      <c r="N18" s="129"/>
      <c r="O18" s="107"/>
    </row>
    <row r="19" spans="1:20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207">
        <v>2011</v>
      </c>
      <c r="I19" s="161">
        <v>2012</v>
      </c>
      <c r="J19" s="161">
        <v>2013</v>
      </c>
      <c r="K19" s="162" t="s">
        <v>46</v>
      </c>
      <c r="L19" s="161">
        <v>2013</v>
      </c>
      <c r="M19" s="161">
        <v>2014</v>
      </c>
      <c r="N19" s="162" t="s">
        <v>46</v>
      </c>
      <c r="O19" s="107"/>
      <c r="P19" s="85"/>
      <c r="R19" s="85"/>
      <c r="S19" s="85"/>
      <c r="T19" s="85"/>
    </row>
    <row r="20" spans="1:20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199">
        <v>0</v>
      </c>
      <c r="I20" s="135">
        <v>7</v>
      </c>
      <c r="J20" s="135">
        <v>0</v>
      </c>
      <c r="K20" s="129">
        <f>(J20-I20)/I20</f>
        <v>-1</v>
      </c>
      <c r="L20" s="135">
        <v>0</v>
      </c>
      <c r="M20" s="135">
        <v>0</v>
      </c>
      <c r="N20" s="129">
        <f t="shared" ref="N20:N28" si="3">IF(L20&lt;&gt;0,(M20-L20)/L20,0)</f>
        <v>0</v>
      </c>
      <c r="O20" s="82"/>
      <c r="P20" s="85"/>
      <c r="R20" s="85"/>
      <c r="S20" s="85"/>
      <c r="T20" s="85"/>
    </row>
    <row r="21" spans="1:20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199">
        <v>59466</v>
      </c>
      <c r="I21" s="135">
        <v>65083</v>
      </c>
      <c r="J21" s="135">
        <v>70701</v>
      </c>
      <c r="K21" s="129">
        <f>(J21-I21)/I21</f>
        <v>8.6320544535439359E-2</v>
      </c>
      <c r="L21" s="135">
        <v>221819</v>
      </c>
      <c r="M21" s="135">
        <v>231256</v>
      </c>
      <c r="N21" s="129">
        <f t="shared" si="3"/>
        <v>4.2543695535549257E-2</v>
      </c>
      <c r="O21" s="82"/>
      <c r="P21" s="85"/>
      <c r="R21" s="85"/>
      <c r="S21" s="85"/>
      <c r="T21" s="85"/>
    </row>
    <row r="22" spans="1:20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199">
        <v>585</v>
      </c>
      <c r="I22" s="135">
        <v>657</v>
      </c>
      <c r="J22" s="135">
        <v>2299</v>
      </c>
      <c r="K22" s="129">
        <f t="shared" ref="K22:K26" si="4">(J22-I22)/I22</f>
        <v>2.4992389649923896</v>
      </c>
      <c r="L22" s="135">
        <v>1015</v>
      </c>
      <c r="M22" s="135">
        <v>1234</v>
      </c>
      <c r="N22" s="129">
        <f t="shared" si="3"/>
        <v>0.21576354679802956</v>
      </c>
      <c r="O22" s="82"/>
    </row>
    <row r="23" spans="1:20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199">
        <v>872</v>
      </c>
      <c r="I23" s="135">
        <v>481</v>
      </c>
      <c r="J23" s="135">
        <v>932</v>
      </c>
      <c r="K23" s="129">
        <f t="shared" si="4"/>
        <v>0.93762993762993763</v>
      </c>
      <c r="L23" s="135">
        <v>482</v>
      </c>
      <c r="M23" s="135">
        <v>22</v>
      </c>
      <c r="N23" s="129">
        <f t="shared" si="3"/>
        <v>-0.9543568464730291</v>
      </c>
      <c r="O23" s="82"/>
    </row>
    <row r="24" spans="1:20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199">
        <v>0</v>
      </c>
      <c r="I24" s="135">
        <v>0</v>
      </c>
      <c r="J24" s="135">
        <v>0</v>
      </c>
      <c r="K24" s="129">
        <v>0</v>
      </c>
      <c r="L24" s="135">
        <v>2432</v>
      </c>
      <c r="M24" s="135">
        <v>131</v>
      </c>
      <c r="N24" s="129">
        <f t="shared" si="3"/>
        <v>-0.94613486842105265</v>
      </c>
      <c r="O24" s="82"/>
    </row>
    <row r="25" spans="1:20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199">
        <v>8296</v>
      </c>
      <c r="I25" s="135">
        <v>8803</v>
      </c>
      <c r="J25" s="135">
        <v>9622</v>
      </c>
      <c r="K25" s="129">
        <f t="shared" si="4"/>
        <v>9.3036464841531302E-2</v>
      </c>
      <c r="L25" s="135">
        <v>38966</v>
      </c>
      <c r="M25" s="135">
        <v>43328</v>
      </c>
      <c r="N25" s="129">
        <f t="shared" si="3"/>
        <v>0.11194374582969768</v>
      </c>
      <c r="O25" s="82"/>
    </row>
    <row r="26" spans="1:20" s="95" customFormat="1" x14ac:dyDescent="0.3">
      <c r="A26" s="93" t="s">
        <v>33</v>
      </c>
      <c r="B26" s="80">
        <f t="shared" ref="B26:G26" si="5">SUM(B20:B25)</f>
        <v>43329</v>
      </c>
      <c r="C26" s="80">
        <f t="shared" si="5"/>
        <v>63235</v>
      </c>
      <c r="D26" s="80">
        <f t="shared" si="5"/>
        <v>73581</v>
      </c>
      <c r="E26" s="80">
        <f t="shared" si="5"/>
        <v>83903</v>
      </c>
      <c r="F26" s="80">
        <f t="shared" si="5"/>
        <v>115757</v>
      </c>
      <c r="G26" s="80">
        <f t="shared" si="5"/>
        <v>80066</v>
      </c>
      <c r="H26" s="202">
        <f>SUM(H20:H25)</f>
        <v>69219</v>
      </c>
      <c r="I26" s="134">
        <f>SUM(I20:I25)</f>
        <v>75031</v>
      </c>
      <c r="J26" s="134">
        <f>SUM(J20:J25)</f>
        <v>83554</v>
      </c>
      <c r="K26" s="129">
        <f t="shared" si="4"/>
        <v>0.11359304820674121</v>
      </c>
      <c r="L26" s="134">
        <f>SUM(L20:L25)</f>
        <v>264714</v>
      </c>
      <c r="M26" s="134">
        <f>SUM(M20:M25)</f>
        <v>275971</v>
      </c>
      <c r="N26" s="138">
        <f t="shared" si="3"/>
        <v>4.2525140340140682E-2</v>
      </c>
      <c r="O26" s="82"/>
      <c r="P26" s="85"/>
      <c r="R26" s="85"/>
      <c r="S26" s="85"/>
      <c r="T26" s="85"/>
    </row>
    <row r="27" spans="1:20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203">
        <v>6476240</v>
      </c>
      <c r="I27" s="163">
        <f>+I17-I26</f>
        <v>7422125</v>
      </c>
      <c r="J27" s="163">
        <f>+J17-J26</f>
        <v>7423544</v>
      </c>
      <c r="K27" s="131">
        <f>(J27-I27)/I27</f>
        <v>1.9118513902689595E-4</v>
      </c>
      <c r="L27" s="163">
        <f>+L17-L26</f>
        <v>7357456</v>
      </c>
      <c r="M27" s="163">
        <f>+M17-M26</f>
        <v>7559221</v>
      </c>
      <c r="N27" s="131">
        <f t="shared" si="3"/>
        <v>2.7423201715375531E-2</v>
      </c>
      <c r="O27" s="82"/>
      <c r="P27" s="85"/>
      <c r="R27" s="85"/>
      <c r="S27" s="85"/>
      <c r="T27" s="85"/>
    </row>
    <row r="28" spans="1:20" s="95" customFormat="1" ht="15.75" thickBot="1" x14ac:dyDescent="0.35">
      <c r="A28" s="90" t="s">
        <v>35</v>
      </c>
      <c r="B28" s="91">
        <f t="shared" ref="B28:G28" si="6">+B26+B27</f>
        <v>3744102</v>
      </c>
      <c r="C28" s="91">
        <f t="shared" si="6"/>
        <v>4028640</v>
      </c>
      <c r="D28" s="91">
        <f t="shared" si="6"/>
        <v>4241740</v>
      </c>
      <c r="E28" s="91">
        <f t="shared" si="6"/>
        <v>3957512</v>
      </c>
      <c r="F28" s="91">
        <f t="shared" si="6"/>
        <v>5514960</v>
      </c>
      <c r="G28" s="91">
        <f t="shared" si="6"/>
        <v>6403741</v>
      </c>
      <c r="H28" s="200">
        <f>+H26+H27</f>
        <v>6545459</v>
      </c>
      <c r="I28" s="137">
        <f>+I26+I27</f>
        <v>7497156</v>
      </c>
      <c r="J28" s="137">
        <f>+J26+J27</f>
        <v>7507098</v>
      </c>
      <c r="K28" s="130">
        <f>(J28-I28)/I28</f>
        <v>1.3261028582038309E-3</v>
      </c>
      <c r="L28" s="137">
        <f>+L26+L27</f>
        <v>7622170</v>
      </c>
      <c r="M28" s="137">
        <f>+M26+M27</f>
        <v>7835192</v>
      </c>
      <c r="N28" s="130">
        <f t="shared" si="3"/>
        <v>2.7947684189673021E-2</v>
      </c>
      <c r="O28" s="82"/>
      <c r="P28" s="85"/>
      <c r="R28" s="85"/>
      <c r="S28" s="85"/>
      <c r="T28" s="85"/>
    </row>
    <row r="29" spans="1:20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199">
        <f>435123458+25000000</f>
        <v>460123458</v>
      </c>
      <c r="I29" s="135">
        <f>435123458+25000000</f>
        <v>460123458</v>
      </c>
      <c r="J29" s="135">
        <f>435123458+25000000</f>
        <v>460123458</v>
      </c>
      <c r="K29" s="129"/>
      <c r="L29" s="135">
        <f>435123458+25000000</f>
        <v>460123458</v>
      </c>
      <c r="M29" s="135">
        <f>435123458+25000000</f>
        <v>460123458</v>
      </c>
      <c r="N29" s="129"/>
      <c r="O29" s="107"/>
    </row>
    <row r="30" spans="1:20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7">+F27/+(F29/1000000)</f>
        <v>12408.439261851976</v>
      </c>
      <c r="G30" s="100">
        <f t="shared" si="7"/>
        <v>14533.059258781675</v>
      </c>
      <c r="H30" s="208">
        <f>+H27/+(H29/1000000)</f>
        <v>14075.005060924323</v>
      </c>
      <c r="I30" s="165">
        <f>+I27/+(I29/1000000)</f>
        <v>16130.725071617626</v>
      </c>
      <c r="J30" s="165">
        <f>+J27/+(J29/1000000)</f>
        <v>16133.809026533047</v>
      </c>
      <c r="K30" s="129"/>
      <c r="L30" s="165">
        <f>+L27/+(L29/1000000)</f>
        <v>15990.178010007045</v>
      </c>
      <c r="M30" s="165">
        <f>+M27/+(M29/1000000)</f>
        <v>16428.679887040227</v>
      </c>
      <c r="N30" s="129"/>
      <c r="O30" s="107"/>
    </row>
    <row r="31" spans="1:20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N31" s="107"/>
    </row>
    <row r="32" spans="1:20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N32" s="107"/>
    </row>
    <row r="33" spans="1:18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109"/>
      <c r="O33" s="76"/>
    </row>
    <row r="34" spans="1:18" ht="15.75" x14ac:dyDescent="0.3">
      <c r="A34" s="78" t="s">
        <v>126</v>
      </c>
      <c r="B34" s="78"/>
      <c r="C34" s="78"/>
      <c r="D34" s="78"/>
      <c r="E34" s="78"/>
      <c r="F34" s="78"/>
      <c r="G34" s="78"/>
      <c r="M34" s="75"/>
      <c r="N34" s="109"/>
      <c r="O34" s="76"/>
    </row>
    <row r="35" spans="1:18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109"/>
      <c r="O35" s="76"/>
    </row>
    <row r="36" spans="1:18" s="85" customFormat="1" x14ac:dyDescent="0.3">
      <c r="H36" s="81"/>
      <c r="I36" s="81"/>
      <c r="J36" s="81"/>
      <c r="K36" s="81"/>
      <c r="L36" s="82"/>
      <c r="N36" s="107"/>
    </row>
    <row r="37" spans="1:18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98">
        <v>2011</v>
      </c>
      <c r="I37" s="157">
        <v>2012</v>
      </c>
      <c r="J37" s="210">
        <v>2013</v>
      </c>
      <c r="K37" s="167" t="s">
        <v>46</v>
      </c>
      <c r="L37" s="145" t="s">
        <v>95</v>
      </c>
      <c r="M37" s="145" t="s">
        <v>124</v>
      </c>
      <c r="N37" s="167" t="s">
        <v>46</v>
      </c>
      <c r="P37" s="107"/>
    </row>
    <row r="38" spans="1:18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202">
        <v>223644</v>
      </c>
      <c r="I38" s="134">
        <v>312990</v>
      </c>
      <c r="J38" s="211">
        <v>344939</v>
      </c>
      <c r="K38" s="129">
        <f>(J38-I38)/I38</f>
        <v>0.10207674366593182</v>
      </c>
      <c r="L38" s="134">
        <v>77093</v>
      </c>
      <c r="M38" s="134">
        <v>78232</v>
      </c>
      <c r="N38" s="129">
        <f>IF(L38&lt;&gt;0,(M38-L38)/L38,0)</f>
        <v>1.4774363431180522E-2</v>
      </c>
      <c r="O38" s="169"/>
      <c r="P38" s="85"/>
      <c r="Q38" s="85"/>
      <c r="R38" s="85"/>
    </row>
    <row r="39" spans="1:18" s="85" customFormat="1" x14ac:dyDescent="0.3">
      <c r="A39" s="85" t="s">
        <v>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199">
        <v>11024</v>
      </c>
      <c r="I39" s="135">
        <v>0</v>
      </c>
      <c r="J39" s="212">
        <v>-176</v>
      </c>
      <c r="K39" s="197">
        <v>0</v>
      </c>
      <c r="L39" s="135">
        <v>0</v>
      </c>
      <c r="M39" s="135">
        <v>640</v>
      </c>
      <c r="N39" s="129">
        <f t="shared" ref="N39:N49" si="8">IF(L39&lt;&gt;0,(M39-L39)/L39,0)</f>
        <v>0</v>
      </c>
      <c r="O39" s="169"/>
    </row>
    <row r="40" spans="1:18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199">
        <v>33432</v>
      </c>
      <c r="I40" s="135">
        <v>35105</v>
      </c>
      <c r="J40" s="212">
        <v>39426</v>
      </c>
      <c r="K40" s="129">
        <f t="shared" ref="K40:K48" si="9">(J40-I40)/I40</f>
        <v>0.1230878792194844</v>
      </c>
      <c r="L40" s="135">
        <v>8803</v>
      </c>
      <c r="M40" s="135">
        <v>9622</v>
      </c>
      <c r="N40" s="129">
        <f t="shared" si="8"/>
        <v>9.3036464841531302E-2</v>
      </c>
      <c r="O40" s="169"/>
      <c r="P40" s="85"/>
      <c r="Q40" s="85"/>
      <c r="R40" s="85"/>
    </row>
    <row r="41" spans="1:18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199">
        <v>7221</v>
      </c>
      <c r="I41" s="135">
        <v>8379</v>
      </c>
      <c r="J41" s="212">
        <v>14465</v>
      </c>
      <c r="K41" s="129">
        <f t="shared" si="9"/>
        <v>0.72633965867048578</v>
      </c>
      <c r="L41" s="135">
        <v>2650</v>
      </c>
      <c r="M41" s="135">
        <v>3254</v>
      </c>
      <c r="N41" s="129">
        <f t="shared" si="8"/>
        <v>0.22792452830188678</v>
      </c>
      <c r="O41" s="169"/>
      <c r="P41" s="85"/>
      <c r="Q41" s="85"/>
      <c r="R41" s="85"/>
    </row>
    <row r="42" spans="1:18" s="95" customFormat="1" x14ac:dyDescent="0.3">
      <c r="A42" s="95" t="s">
        <v>4</v>
      </c>
      <c r="B42" s="80">
        <f t="shared" ref="B42:G42" si="10">SUM(B38:B41)</f>
        <v>190916</v>
      </c>
      <c r="C42" s="80">
        <f t="shared" si="10"/>
        <v>244001</v>
      </c>
      <c r="D42" s="80">
        <f t="shared" si="10"/>
        <v>251869</v>
      </c>
      <c r="E42" s="80">
        <f t="shared" si="10"/>
        <v>299526</v>
      </c>
      <c r="F42" s="80">
        <f t="shared" si="10"/>
        <v>235968</v>
      </c>
      <c r="G42" s="80">
        <f t="shared" si="10"/>
        <v>285499</v>
      </c>
      <c r="H42" s="202">
        <f>SUM(H38:H41)</f>
        <v>275321</v>
      </c>
      <c r="I42" s="134">
        <f>SUM(I38:I41)</f>
        <v>356474</v>
      </c>
      <c r="J42" s="211">
        <f t="shared" ref="J42" si="11">SUM(J38:J41)</f>
        <v>398654</v>
      </c>
      <c r="K42" s="129">
        <f t="shared" si="9"/>
        <v>0.11832560018402465</v>
      </c>
      <c r="L42" s="134">
        <f>SUM(L38:L41)</f>
        <v>88546</v>
      </c>
      <c r="M42" s="134">
        <f>SUM(M38:M41)</f>
        <v>91748</v>
      </c>
      <c r="N42" s="129">
        <f t="shared" si="8"/>
        <v>3.6161994895308656E-2</v>
      </c>
      <c r="O42" s="169"/>
      <c r="P42" s="85"/>
      <c r="Q42" s="85"/>
      <c r="R42" s="85"/>
    </row>
    <row r="43" spans="1:18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199">
        <v>-9004</v>
      </c>
      <c r="I43" s="135">
        <v>-10090</v>
      </c>
      <c r="J43" s="212">
        <v>-13551</v>
      </c>
      <c r="K43" s="129">
        <f t="shared" si="9"/>
        <v>0.34301288404360752</v>
      </c>
      <c r="L43" s="135">
        <f>-2393-5938</f>
        <v>-8331</v>
      </c>
      <c r="M43" s="135">
        <v>-6805</v>
      </c>
      <c r="N43" s="129">
        <f t="shared" si="8"/>
        <v>-0.18317128796062898</v>
      </c>
      <c r="O43" s="169"/>
    </row>
    <row r="44" spans="1:18" s="95" customFormat="1" x14ac:dyDescent="0.3">
      <c r="A44" s="95" t="s">
        <v>42</v>
      </c>
      <c r="B44" s="80">
        <f t="shared" ref="B44:G44" si="12">SUM(B42:B43)</f>
        <v>168810</v>
      </c>
      <c r="C44" s="80">
        <f t="shared" si="12"/>
        <v>202580</v>
      </c>
      <c r="D44" s="80">
        <f t="shared" si="12"/>
        <v>244681</v>
      </c>
      <c r="E44" s="80">
        <f t="shared" si="12"/>
        <v>290753</v>
      </c>
      <c r="F44" s="80">
        <f t="shared" si="12"/>
        <v>227228</v>
      </c>
      <c r="G44" s="80">
        <f t="shared" si="12"/>
        <v>273936</v>
      </c>
      <c r="H44" s="202">
        <f>SUM(H42:H43)</f>
        <v>266317</v>
      </c>
      <c r="I44" s="134">
        <f>SUM(I42:I43)</f>
        <v>346384</v>
      </c>
      <c r="J44" s="211">
        <f t="shared" ref="J44" si="13">SUM(J42:J43)</f>
        <v>385103</v>
      </c>
      <c r="K44" s="129">
        <f t="shared" si="9"/>
        <v>0.1117805672317428</v>
      </c>
      <c r="L44" s="134">
        <f>SUM(L42:L43)</f>
        <v>80215</v>
      </c>
      <c r="M44" s="134">
        <f>SUM(M42:M43)</f>
        <v>84943</v>
      </c>
      <c r="N44" s="129">
        <f t="shared" si="8"/>
        <v>5.8941594464875645E-2</v>
      </c>
      <c r="O44" s="169"/>
      <c r="P44" s="85"/>
      <c r="Q44" s="85"/>
      <c r="R44" s="85"/>
    </row>
    <row r="45" spans="1:18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199">
        <v>814</v>
      </c>
      <c r="I45" s="135">
        <v>851</v>
      </c>
      <c r="J45" s="212">
        <v>203</v>
      </c>
      <c r="K45" s="129">
        <f t="shared" si="9"/>
        <v>-0.76145710928319621</v>
      </c>
      <c r="L45" s="135">
        <v>61</v>
      </c>
      <c r="M45" s="135">
        <v>7</v>
      </c>
      <c r="N45" s="129">
        <f t="shared" si="8"/>
        <v>-0.88524590163934425</v>
      </c>
      <c r="O45" s="169"/>
      <c r="P45" s="85"/>
      <c r="Q45" s="85"/>
      <c r="R45" s="85"/>
    </row>
    <row r="46" spans="1:18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199">
        <v>-11022</v>
      </c>
      <c r="I46" s="135">
        <v>-1390</v>
      </c>
      <c r="J46" s="212">
        <v>-2974</v>
      </c>
      <c r="K46" s="129">
        <f t="shared" si="9"/>
        <v>1.1395683453237411</v>
      </c>
      <c r="L46" s="135">
        <v>-127</v>
      </c>
      <c r="M46" s="135">
        <v>-10</v>
      </c>
      <c r="N46" s="129">
        <f t="shared" si="8"/>
        <v>-0.92125984251968507</v>
      </c>
      <c r="O46" s="169"/>
    </row>
    <row r="47" spans="1:18" s="95" customFormat="1" x14ac:dyDescent="0.3">
      <c r="A47" s="95" t="s">
        <v>43</v>
      </c>
      <c r="B47" s="80">
        <f t="shared" ref="B47:G47" si="14">SUM(B44:B46)</f>
        <v>172912</v>
      </c>
      <c r="C47" s="80">
        <f t="shared" si="14"/>
        <v>210911</v>
      </c>
      <c r="D47" s="80">
        <f t="shared" si="14"/>
        <v>244482</v>
      </c>
      <c r="E47" s="80">
        <f t="shared" si="14"/>
        <v>291080</v>
      </c>
      <c r="F47" s="80">
        <f t="shared" si="14"/>
        <v>225701</v>
      </c>
      <c r="G47" s="80">
        <f t="shared" si="14"/>
        <v>280279</v>
      </c>
      <c r="H47" s="202">
        <f>SUM(H44:H46)</f>
        <v>256109</v>
      </c>
      <c r="I47" s="134">
        <f>SUM(I44:I46)</f>
        <v>345845</v>
      </c>
      <c r="J47" s="211">
        <f t="shared" ref="J47" si="15">SUM(J44:J46)</f>
        <v>382332</v>
      </c>
      <c r="K47" s="129">
        <f t="shared" si="9"/>
        <v>0.10550101924272434</v>
      </c>
      <c r="L47" s="134">
        <f>SUM(L44:L46)</f>
        <v>80149</v>
      </c>
      <c r="M47" s="134">
        <f>SUM(M44:M46)</f>
        <v>84940</v>
      </c>
      <c r="N47" s="129">
        <f t="shared" si="8"/>
        <v>5.9776166889168925E-2</v>
      </c>
      <c r="O47" s="169"/>
      <c r="P47" s="85"/>
      <c r="Q47" s="85"/>
      <c r="R47" s="85"/>
    </row>
    <row r="48" spans="1:18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199">
        <v>-127</v>
      </c>
      <c r="I48" s="135">
        <v>-361</v>
      </c>
      <c r="J48" s="212">
        <v>-2436</v>
      </c>
      <c r="K48" s="129">
        <f t="shared" si="9"/>
        <v>5.7479224376731306</v>
      </c>
      <c r="L48" s="135">
        <v>-2289</v>
      </c>
      <c r="M48" s="135">
        <v>-54</v>
      </c>
      <c r="N48" s="129">
        <f t="shared" si="8"/>
        <v>-0.97640891218872872</v>
      </c>
      <c r="O48" s="169"/>
    </row>
    <row r="49" spans="1:15" s="85" customFormat="1" ht="15.75" thickBot="1" x14ac:dyDescent="0.35">
      <c r="A49" s="102" t="s">
        <v>17</v>
      </c>
      <c r="B49" s="103">
        <f t="shared" ref="B49:G49" si="16">SUM(B47:B48)</f>
        <v>169411</v>
      </c>
      <c r="C49" s="103">
        <f t="shared" si="16"/>
        <v>210697</v>
      </c>
      <c r="D49" s="103">
        <f t="shared" si="16"/>
        <v>244292</v>
      </c>
      <c r="E49" s="103">
        <f t="shared" si="16"/>
        <v>291006</v>
      </c>
      <c r="F49" s="103">
        <f t="shared" si="16"/>
        <v>225496</v>
      </c>
      <c r="G49" s="103">
        <f t="shared" si="16"/>
        <v>278403</v>
      </c>
      <c r="H49" s="209">
        <f>SUM(H47:H48)</f>
        <v>255982</v>
      </c>
      <c r="I49" s="166">
        <f>SUM(I47:I48)</f>
        <v>345484</v>
      </c>
      <c r="J49" s="213">
        <f t="shared" ref="J49" si="17">SUM(J47:J48)</f>
        <v>379896</v>
      </c>
      <c r="K49" s="130">
        <f>(J49-I49)/I49</f>
        <v>9.9605191557351425E-2</v>
      </c>
      <c r="L49" s="166">
        <f>SUM(L47:L48)</f>
        <v>77860</v>
      </c>
      <c r="M49" s="166">
        <f>SUM(M47:M48)</f>
        <v>84886</v>
      </c>
      <c r="N49" s="130">
        <f t="shared" si="8"/>
        <v>9.0238890315951711E-2</v>
      </c>
      <c r="O49" s="169"/>
    </row>
    <row r="50" spans="1:15" s="85" customFormat="1" x14ac:dyDescent="0.3">
      <c r="C50" s="80"/>
      <c r="H50" s="81"/>
      <c r="I50" s="81"/>
      <c r="J50" s="81"/>
      <c r="K50" s="81"/>
      <c r="L50" s="82"/>
    </row>
    <row r="51" spans="1:15" s="85" customFormat="1" x14ac:dyDescent="0.3">
      <c r="C51" s="81"/>
      <c r="H51" s="81"/>
      <c r="I51" s="81"/>
      <c r="J51" s="81"/>
      <c r="K51" s="81"/>
      <c r="L51" s="82"/>
    </row>
    <row r="52" spans="1:15" s="85" customFormat="1" x14ac:dyDescent="0.3">
      <c r="C52" s="81"/>
      <c r="E52" s="80"/>
      <c r="H52" s="81"/>
      <c r="I52" s="81"/>
      <c r="J52" s="81"/>
      <c r="K52" s="81"/>
      <c r="L52" s="82"/>
    </row>
    <row r="53" spans="1:15" s="85" customFormat="1" x14ac:dyDescent="0.3">
      <c r="C53" s="81"/>
      <c r="E53" s="81"/>
      <c r="H53" s="81"/>
      <c r="I53" s="81"/>
      <c r="J53" s="81"/>
      <c r="K53" s="81"/>
      <c r="L53" s="82"/>
    </row>
    <row r="54" spans="1:15" s="85" customFormat="1" x14ac:dyDescent="0.3">
      <c r="C54" s="80"/>
      <c r="E54" s="81"/>
      <c r="H54" s="81"/>
      <c r="I54" s="81"/>
      <c r="J54" s="81"/>
      <c r="K54" s="81"/>
      <c r="L54" s="82"/>
    </row>
    <row r="55" spans="1:15" s="85" customFormat="1" x14ac:dyDescent="0.3">
      <c r="C55" s="81"/>
      <c r="E55" s="81"/>
      <c r="H55" s="81"/>
      <c r="I55" s="81"/>
      <c r="J55" s="81"/>
      <c r="K55" s="81"/>
      <c r="L55" s="82"/>
    </row>
    <row r="56" spans="1:15" x14ac:dyDescent="0.3">
      <c r="C56" s="80"/>
      <c r="E56" s="80"/>
    </row>
    <row r="57" spans="1:15" x14ac:dyDescent="0.3">
      <c r="C57" s="81"/>
      <c r="E57" s="81"/>
    </row>
    <row r="58" spans="1:15" x14ac:dyDescent="0.3">
      <c r="C58" s="81"/>
      <c r="E58" s="8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workbookViewId="0"/>
  </sheetViews>
  <sheetFormatPr baseColWidth="10" defaultRowHeight="15" x14ac:dyDescent="0.3"/>
  <cols>
    <col min="1" max="1" width="35.5703125" style="5" bestFit="1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7" width="3.42578125" style="4" customWidth="1"/>
    <col min="8" max="16384" width="11.42578125" style="5"/>
  </cols>
  <sheetData>
    <row r="1" spans="1:5" x14ac:dyDescent="0.3">
      <c r="A1" s="38" t="s">
        <v>40</v>
      </c>
    </row>
    <row r="2" spans="1:5" x14ac:dyDescent="0.3">
      <c r="A2" s="24" t="s">
        <v>63</v>
      </c>
    </row>
    <row r="3" spans="1:5" x14ac:dyDescent="0.3">
      <c r="A3" s="24" t="s">
        <v>44</v>
      </c>
    </row>
    <row r="4" spans="1:5" x14ac:dyDescent="0.3">
      <c r="A4" s="24" t="s">
        <v>45</v>
      </c>
    </row>
    <row r="6" spans="1:5" x14ac:dyDescent="0.3">
      <c r="A6" s="6" t="s">
        <v>20</v>
      </c>
      <c r="B6" s="6">
        <v>2006</v>
      </c>
      <c r="C6" s="6">
        <v>2007</v>
      </c>
      <c r="D6" s="7" t="s">
        <v>46</v>
      </c>
      <c r="E6" s="16"/>
    </row>
    <row r="7" spans="1:5" x14ac:dyDescent="0.3">
      <c r="A7" s="18" t="s">
        <v>21</v>
      </c>
      <c r="B7" s="14">
        <v>480504</v>
      </c>
      <c r="C7" s="14">
        <v>144117</v>
      </c>
      <c r="D7" s="17">
        <f t="shared" ref="D7:D16" si="0">+(C7-B7)/B7</f>
        <v>-0.70007117526597074</v>
      </c>
      <c r="E7" s="17"/>
    </row>
    <row r="8" spans="1:5" x14ac:dyDescent="0.3">
      <c r="A8" s="18" t="s">
        <v>22</v>
      </c>
      <c r="B8" s="14">
        <v>344040</v>
      </c>
      <c r="C8" s="14">
        <v>346162</v>
      </c>
      <c r="D8" s="17">
        <f t="shared" si="0"/>
        <v>6.1678874549470995E-3</v>
      </c>
      <c r="E8" s="17"/>
    </row>
    <row r="9" spans="1:5" x14ac:dyDescent="0.3">
      <c r="A9" s="18" t="s">
        <v>23</v>
      </c>
      <c r="B9" s="14">
        <v>366696</v>
      </c>
      <c r="C9" s="14">
        <v>390751</v>
      </c>
      <c r="D9" s="17">
        <f t="shared" si="0"/>
        <v>6.55992975107446E-2</v>
      </c>
      <c r="E9" s="17"/>
    </row>
    <row r="10" spans="1:5" x14ac:dyDescent="0.3">
      <c r="A10" s="18" t="s">
        <v>36</v>
      </c>
      <c r="B10" s="14">
        <v>313880</v>
      </c>
      <c r="C10" s="14">
        <v>426868</v>
      </c>
      <c r="D10" s="17">
        <f t="shared" si="0"/>
        <v>0.35997196380782465</v>
      </c>
      <c r="E10" s="17"/>
    </row>
    <row r="11" spans="1:5" x14ac:dyDescent="0.3">
      <c r="A11" s="18" t="s">
        <v>60</v>
      </c>
      <c r="B11" s="14">
        <v>526318</v>
      </c>
      <c r="C11" s="14">
        <v>591538</v>
      </c>
      <c r="D11" s="17">
        <f t="shared" si="0"/>
        <v>0.1239174795465859</v>
      </c>
      <c r="E11" s="17"/>
    </row>
    <row r="12" spans="1:5" x14ac:dyDescent="0.3">
      <c r="A12" s="18" t="s">
        <v>47</v>
      </c>
      <c r="B12" s="14">
        <v>559865</v>
      </c>
      <c r="C12" s="14">
        <v>560066</v>
      </c>
      <c r="D12" s="17">
        <f t="shared" si="0"/>
        <v>3.5901511971636022E-4</v>
      </c>
      <c r="E12" s="17"/>
    </row>
    <row r="13" spans="1:5" x14ac:dyDescent="0.3">
      <c r="A13" s="18" t="s">
        <v>24</v>
      </c>
      <c r="B13" s="14">
        <v>17082</v>
      </c>
      <c r="C13" s="14">
        <v>45191</v>
      </c>
      <c r="D13" s="17">
        <f t="shared" si="0"/>
        <v>1.6455333099168716</v>
      </c>
      <c r="E13" s="17"/>
    </row>
    <row r="14" spans="1:5" x14ac:dyDescent="0.3">
      <c r="A14" s="18" t="s">
        <v>25</v>
      </c>
      <c r="B14" s="14">
        <v>11959</v>
      </c>
      <c r="C14" s="14">
        <v>11023</v>
      </c>
      <c r="D14" s="17">
        <f t="shared" si="0"/>
        <v>-7.8267413663349772E-2</v>
      </c>
      <c r="E14" s="17"/>
    </row>
    <row r="15" spans="1:5" x14ac:dyDescent="0.3">
      <c r="A15" s="18" t="s">
        <v>26</v>
      </c>
      <c r="B15" s="14">
        <v>1749382</v>
      </c>
      <c r="C15" s="14">
        <v>2467655</v>
      </c>
      <c r="D15" s="17">
        <f t="shared" si="0"/>
        <v>0.41058671004960606</v>
      </c>
      <c r="E15" s="17"/>
    </row>
    <row r="16" spans="1:5" ht="15.75" thickBot="1" x14ac:dyDescent="0.35">
      <c r="A16" s="26" t="s">
        <v>27</v>
      </c>
      <c r="B16" s="27">
        <f>SUM(B7:B15)</f>
        <v>4369726</v>
      </c>
      <c r="C16" s="27">
        <f>SUM(C7:C15)</f>
        <v>4983371</v>
      </c>
      <c r="D16" s="45">
        <f t="shared" si="0"/>
        <v>0.14043100185229004</v>
      </c>
      <c r="E16" s="17"/>
    </row>
    <row r="17" spans="1:6" x14ac:dyDescent="0.3">
      <c r="A17" s="1"/>
      <c r="E17" s="17"/>
    </row>
    <row r="18" spans="1:6" x14ac:dyDescent="0.3">
      <c r="A18" s="6" t="s">
        <v>48</v>
      </c>
      <c r="B18" s="6">
        <v>2006</v>
      </c>
      <c r="C18" s="6">
        <v>2007</v>
      </c>
      <c r="D18" s="7" t="s">
        <v>46</v>
      </c>
      <c r="E18" s="17"/>
    </row>
    <row r="19" spans="1:6" x14ac:dyDescent="0.3">
      <c r="A19" s="18" t="s">
        <v>28</v>
      </c>
      <c r="B19" s="14">
        <v>804882</v>
      </c>
      <c r="C19" s="14">
        <v>713125</v>
      </c>
      <c r="D19" s="17">
        <f t="shared" ref="D19:D30" si="1">+(C19-B19)/B19</f>
        <v>-0.11400056157300076</v>
      </c>
      <c r="E19" s="17"/>
    </row>
    <row r="20" spans="1:6" x14ac:dyDescent="0.3">
      <c r="A20" s="18" t="s">
        <v>49</v>
      </c>
      <c r="B20" s="14">
        <v>124952</v>
      </c>
      <c r="C20" s="14">
        <v>131752</v>
      </c>
      <c r="D20" s="17">
        <f t="shared" si="1"/>
        <v>5.4420897624687881E-2</v>
      </c>
      <c r="E20" s="17"/>
    </row>
    <row r="21" spans="1:6" x14ac:dyDescent="0.3">
      <c r="A21" s="18" t="s">
        <v>38</v>
      </c>
      <c r="B21" s="14">
        <v>137587</v>
      </c>
      <c r="C21" s="14">
        <v>156446</v>
      </c>
      <c r="D21" s="17">
        <f t="shared" si="1"/>
        <v>0.13706963593944196</v>
      </c>
      <c r="E21" s="17"/>
    </row>
    <row r="22" spans="1:6" x14ac:dyDescent="0.3">
      <c r="A22" s="18" t="s">
        <v>30</v>
      </c>
      <c r="B22" s="14">
        <v>45569</v>
      </c>
      <c r="C22" s="14">
        <v>39925</v>
      </c>
      <c r="D22" s="17">
        <f t="shared" si="1"/>
        <v>-0.12385613026399526</v>
      </c>
      <c r="E22" s="17"/>
    </row>
    <row r="23" spans="1:6" x14ac:dyDescent="0.3">
      <c r="A23" s="18" t="s">
        <v>31</v>
      </c>
      <c r="B23" s="14">
        <v>26279</v>
      </c>
      <c r="C23" s="14">
        <v>29862</v>
      </c>
      <c r="D23" s="17">
        <f t="shared" si="1"/>
        <v>0.1363446097644507</v>
      </c>
      <c r="E23" s="17"/>
    </row>
    <row r="24" spans="1:6" x14ac:dyDescent="0.3">
      <c r="A24" s="18" t="s">
        <v>32</v>
      </c>
      <c r="B24" s="14">
        <v>126207</v>
      </c>
      <c r="C24" s="14">
        <v>119727</v>
      </c>
      <c r="D24" s="17">
        <f t="shared" si="1"/>
        <v>-5.1344220209655567E-2</v>
      </c>
      <c r="E24" s="17"/>
    </row>
    <row r="25" spans="1:6" x14ac:dyDescent="0.3">
      <c r="A25" s="18" t="s">
        <v>24</v>
      </c>
      <c r="B25" s="14">
        <v>10647</v>
      </c>
      <c r="C25" s="14">
        <v>10961</v>
      </c>
      <c r="D25" s="17">
        <f t="shared" si="1"/>
        <v>2.94918756457218E-2</v>
      </c>
      <c r="E25" s="17"/>
      <c r="F25" s="15"/>
    </row>
    <row r="26" spans="1:6" x14ac:dyDescent="0.3">
      <c r="A26" s="18" t="s">
        <v>0</v>
      </c>
      <c r="B26" s="14">
        <v>2319</v>
      </c>
      <c r="C26" s="14">
        <v>2018</v>
      </c>
      <c r="D26" s="17">
        <f t="shared" si="1"/>
        <v>-0.12979732643380767</v>
      </c>
      <c r="E26" s="17"/>
    </row>
    <row r="27" spans="1:6" x14ac:dyDescent="0.3">
      <c r="A27" s="18" t="s">
        <v>33</v>
      </c>
      <c r="B27" s="14">
        <f>SUM(B19:B26)</f>
        <v>1278442</v>
      </c>
      <c r="C27" s="14">
        <f>SUM(C19:C26)</f>
        <v>1203816</v>
      </c>
      <c r="D27" s="17">
        <f t="shared" si="1"/>
        <v>-5.8372612914782213E-2</v>
      </c>
      <c r="E27" s="17"/>
    </row>
    <row r="28" spans="1:6" x14ac:dyDescent="0.3">
      <c r="A28" s="18" t="s">
        <v>39</v>
      </c>
      <c r="B28" s="14">
        <v>1695</v>
      </c>
      <c r="C28" s="14">
        <v>2848</v>
      </c>
      <c r="D28" s="17">
        <f t="shared" si="1"/>
        <v>0.68023598820058995</v>
      </c>
      <c r="E28" s="17"/>
    </row>
    <row r="29" spans="1:6" x14ac:dyDescent="0.3">
      <c r="A29" s="31" t="s">
        <v>34</v>
      </c>
      <c r="B29" s="32">
        <v>3089589</v>
      </c>
      <c r="C29" s="32">
        <v>3776707</v>
      </c>
      <c r="D29" s="47">
        <f t="shared" si="1"/>
        <v>0.22239786586500665</v>
      </c>
      <c r="E29" s="17"/>
    </row>
    <row r="30" spans="1:6" ht="15.75" thickBot="1" x14ac:dyDescent="0.35">
      <c r="A30" s="39" t="s">
        <v>35</v>
      </c>
      <c r="B30" s="40">
        <f>+B27+B28+B29</f>
        <v>4369726</v>
      </c>
      <c r="C30" s="40">
        <f>+C27+C28+C29</f>
        <v>4983371</v>
      </c>
      <c r="D30" s="49">
        <f t="shared" si="1"/>
        <v>0.14043100185229004</v>
      </c>
      <c r="E30" s="17"/>
    </row>
    <row r="31" spans="1:6" x14ac:dyDescent="0.3">
      <c r="A31" s="19"/>
      <c r="B31" s="14"/>
      <c r="C31" s="14"/>
      <c r="D31" s="17"/>
      <c r="E31" s="17"/>
    </row>
    <row r="32" spans="1:6" x14ac:dyDescent="0.3">
      <c r="A32" s="41" t="s">
        <v>3</v>
      </c>
      <c r="B32" s="14"/>
      <c r="C32" s="14"/>
      <c r="D32" s="17"/>
    </row>
    <row r="33" spans="1:7" x14ac:dyDescent="0.3">
      <c r="A33" s="41" t="s">
        <v>64</v>
      </c>
      <c r="B33" s="14"/>
      <c r="C33" s="14"/>
      <c r="D33" s="17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2006</v>
      </c>
      <c r="C36" s="7" t="s">
        <v>55</v>
      </c>
      <c r="D36" s="6">
        <v>2007</v>
      </c>
      <c r="E36" s="7" t="s">
        <v>55</v>
      </c>
      <c r="F36" s="7" t="s">
        <v>46</v>
      </c>
    </row>
    <row r="37" spans="1:7" s="9" customFormat="1" x14ac:dyDescent="0.3">
      <c r="A37" s="30" t="s">
        <v>4</v>
      </c>
      <c r="B37" s="30">
        <v>1272106</v>
      </c>
      <c r="C37" s="42">
        <v>1</v>
      </c>
      <c r="D37" s="50">
        <v>1582226</v>
      </c>
      <c r="E37" s="42">
        <v>1</v>
      </c>
      <c r="F37" s="42">
        <f t="shared" ref="F37:F55" si="2">+(D37-B37)/B37</f>
        <v>0.24378471605353641</v>
      </c>
      <c r="G37" s="8"/>
    </row>
    <row r="38" spans="1:7" x14ac:dyDescent="0.3">
      <c r="A38" s="14" t="s">
        <v>50</v>
      </c>
      <c r="B38" s="14">
        <v>-780471</v>
      </c>
      <c r="C38" s="17">
        <f t="shared" ref="C38:C55" si="3">+B38/$B$37</f>
        <v>-0.61352670296343226</v>
      </c>
      <c r="D38" s="51">
        <v>-947458</v>
      </c>
      <c r="E38" s="17">
        <f>+D38/$D$37</f>
        <v>-0.5988133174401129</v>
      </c>
      <c r="F38" s="17">
        <f t="shared" si="2"/>
        <v>0.21395670050520776</v>
      </c>
    </row>
    <row r="39" spans="1:7" s="9" customFormat="1" x14ac:dyDescent="0.3">
      <c r="A39" s="30" t="s">
        <v>6</v>
      </c>
      <c r="B39" s="30">
        <f>SUM(B37:B38)</f>
        <v>491635</v>
      </c>
      <c r="C39" s="42">
        <f t="shared" si="3"/>
        <v>0.38647329703656769</v>
      </c>
      <c r="D39" s="30">
        <f>SUM(D37:D38)</f>
        <v>634768</v>
      </c>
      <c r="E39" s="42">
        <f t="shared" ref="E39:E55" si="4">+D39/$D$37</f>
        <v>0.40118668255988715</v>
      </c>
      <c r="F39" s="42">
        <f t="shared" si="2"/>
        <v>0.29113671728009599</v>
      </c>
      <c r="G39" s="8"/>
    </row>
    <row r="40" spans="1:7" x14ac:dyDescent="0.3">
      <c r="A40" s="14" t="s">
        <v>7</v>
      </c>
      <c r="B40" s="14">
        <v>-51431</v>
      </c>
      <c r="C40" s="17">
        <f t="shared" si="3"/>
        <v>-4.042980695004976E-2</v>
      </c>
      <c r="D40" s="14">
        <v>-75735</v>
      </c>
      <c r="E40" s="17">
        <f t="shared" si="4"/>
        <v>-4.7866107623057638E-2</v>
      </c>
      <c r="F40" s="17">
        <f t="shared" si="2"/>
        <v>0.47255546265870779</v>
      </c>
    </row>
    <row r="41" spans="1:7" x14ac:dyDescent="0.3">
      <c r="A41" s="14" t="s">
        <v>8</v>
      </c>
      <c r="B41" s="14">
        <v>-306736</v>
      </c>
      <c r="C41" s="17">
        <f t="shared" si="3"/>
        <v>-0.24112456037468577</v>
      </c>
      <c r="D41" s="14">
        <v>-386109</v>
      </c>
      <c r="E41" s="17">
        <f t="shared" si="4"/>
        <v>-0.24402898195327344</v>
      </c>
      <c r="F41" s="17">
        <f t="shared" si="2"/>
        <v>0.25876649627040843</v>
      </c>
    </row>
    <row r="42" spans="1:7" s="9" customFormat="1" x14ac:dyDescent="0.3">
      <c r="A42" s="30" t="s">
        <v>9</v>
      </c>
      <c r="B42" s="30">
        <f>SUM(B40:B41)</f>
        <v>-358167</v>
      </c>
      <c r="C42" s="42">
        <f t="shared" si="3"/>
        <v>-0.28155436732473554</v>
      </c>
      <c r="D42" s="30">
        <f>SUM(D40:D41)</f>
        <v>-461844</v>
      </c>
      <c r="E42" s="42">
        <f t="shared" si="4"/>
        <v>-0.29189508957633109</v>
      </c>
      <c r="F42" s="42">
        <f t="shared" si="2"/>
        <v>0.28946552865004316</v>
      </c>
      <c r="G42" s="8"/>
    </row>
    <row r="43" spans="1:7" s="9" customFormat="1" x14ac:dyDescent="0.3">
      <c r="A43" s="30" t="s">
        <v>1</v>
      </c>
      <c r="B43" s="30">
        <f>+B39+B42</f>
        <v>133468</v>
      </c>
      <c r="C43" s="42">
        <f t="shared" si="3"/>
        <v>0.10491892971183218</v>
      </c>
      <c r="D43" s="30">
        <f>+D39+D42</f>
        <v>172924</v>
      </c>
      <c r="E43" s="42">
        <f t="shared" si="4"/>
        <v>0.10929159298355608</v>
      </c>
      <c r="F43" s="42">
        <f t="shared" si="2"/>
        <v>0.29562142236341293</v>
      </c>
      <c r="G43" s="8"/>
    </row>
    <row r="44" spans="1:7" x14ac:dyDescent="0.3">
      <c r="A44" s="14" t="s">
        <v>51</v>
      </c>
      <c r="B44" s="14">
        <v>6561</v>
      </c>
      <c r="C44" s="17">
        <f t="shared" si="3"/>
        <v>5.1575890688354588E-3</v>
      </c>
      <c r="D44" s="14">
        <v>5502</v>
      </c>
      <c r="E44" s="17">
        <f t="shared" si="4"/>
        <v>3.4773793377178733E-3</v>
      </c>
      <c r="F44" s="17">
        <f t="shared" si="2"/>
        <v>-0.16140832190214907</v>
      </c>
    </row>
    <row r="45" spans="1:7" x14ac:dyDescent="0.3">
      <c r="A45" s="14" t="s">
        <v>11</v>
      </c>
      <c r="B45" s="14">
        <v>-10134</v>
      </c>
      <c r="C45" s="17">
        <f t="shared" si="3"/>
        <v>-7.9663172723027798E-3</v>
      </c>
      <c r="D45" s="14">
        <v>-26835</v>
      </c>
      <c r="E45" s="17">
        <f t="shared" si="4"/>
        <v>-1.6960282538651242E-2</v>
      </c>
      <c r="F45" s="17">
        <f t="shared" si="2"/>
        <v>1.64801657785672</v>
      </c>
    </row>
    <row r="46" spans="1:7" x14ac:dyDescent="0.3">
      <c r="A46" s="14" t="s">
        <v>12</v>
      </c>
      <c r="B46" s="14">
        <v>24819</v>
      </c>
      <c r="C46" s="17">
        <f t="shared" si="3"/>
        <v>1.9510166605613055E-2</v>
      </c>
      <c r="D46" s="14">
        <v>-43764</v>
      </c>
      <c r="E46" s="17">
        <f t="shared" si="4"/>
        <v>-2.7659765419099421E-2</v>
      </c>
      <c r="F46" s="17">
        <f t="shared" si="2"/>
        <v>-2.7633264837422944</v>
      </c>
    </row>
    <row r="47" spans="1:7" x14ac:dyDescent="0.3">
      <c r="A47" s="14" t="s">
        <v>52</v>
      </c>
      <c r="B47" s="14">
        <f>-43827-3100</f>
        <v>-46927</v>
      </c>
      <c r="C47" s="17">
        <f t="shared" si="3"/>
        <v>-3.6889221495692966E-2</v>
      </c>
      <c r="D47" s="14">
        <v>-45093</v>
      </c>
      <c r="E47" s="17">
        <f t="shared" si="4"/>
        <v>-2.8499721278755375E-2</v>
      </c>
      <c r="F47" s="17">
        <f t="shared" si="2"/>
        <v>-3.9081978391970508E-2</v>
      </c>
    </row>
    <row r="48" spans="1:7" x14ac:dyDescent="0.3">
      <c r="A48" s="14" t="s">
        <v>14</v>
      </c>
      <c r="B48" s="14">
        <v>17937</v>
      </c>
      <c r="C48" s="17">
        <f t="shared" si="3"/>
        <v>1.4100240074333428E-2</v>
      </c>
      <c r="D48" s="14">
        <v>13054</v>
      </c>
      <c r="E48" s="17">
        <f t="shared" si="4"/>
        <v>8.2504016493219045E-3</v>
      </c>
      <c r="F48" s="17">
        <f t="shared" si="2"/>
        <v>-0.27223058482466411</v>
      </c>
    </row>
    <row r="49" spans="1:7" x14ac:dyDescent="0.3">
      <c r="A49" s="14" t="s">
        <v>16</v>
      </c>
      <c r="B49" s="14">
        <v>66197</v>
      </c>
      <c r="C49" s="17">
        <f t="shared" si="3"/>
        <v>5.2037330222481457E-2</v>
      </c>
      <c r="D49" s="14">
        <v>6542</v>
      </c>
      <c r="E49" s="17">
        <f t="shared" si="4"/>
        <v>4.134681139104022E-3</v>
      </c>
      <c r="F49" s="17">
        <f t="shared" si="2"/>
        <v>-0.90117376920404246</v>
      </c>
    </row>
    <row r="50" spans="1:7" s="9" customFormat="1" x14ac:dyDescent="0.3">
      <c r="A50" s="30" t="s">
        <v>2</v>
      </c>
      <c r="B50" s="30">
        <f>SUM(B44:B49)</f>
        <v>58453</v>
      </c>
      <c r="C50" s="42">
        <f t="shared" si="3"/>
        <v>4.5949787203267652E-2</v>
      </c>
      <c r="D50" s="30">
        <f>SUM(D44:D49)</f>
        <v>-90594</v>
      </c>
      <c r="E50" s="42">
        <f t="shared" si="4"/>
        <v>-5.7257307110362234E-2</v>
      </c>
      <c r="F50" s="42">
        <f t="shared" si="2"/>
        <v>-2.5498605717413989</v>
      </c>
      <c r="G50" s="8"/>
    </row>
    <row r="51" spans="1:7" s="9" customFormat="1" x14ac:dyDescent="0.3">
      <c r="A51" s="30" t="s">
        <v>41</v>
      </c>
      <c r="B51" s="30">
        <f>+B43+B50</f>
        <v>191921</v>
      </c>
      <c r="C51" s="42">
        <f t="shared" si="3"/>
        <v>0.15086871691509984</v>
      </c>
      <c r="D51" s="30">
        <f>+D43+D50</f>
        <v>82330</v>
      </c>
      <c r="E51" s="42">
        <f t="shared" si="4"/>
        <v>5.2034285873193843E-2</v>
      </c>
      <c r="F51" s="42">
        <f t="shared" si="2"/>
        <v>-0.5710214098509282</v>
      </c>
      <c r="G51" s="8"/>
    </row>
    <row r="52" spans="1:7" x14ac:dyDescent="0.3">
      <c r="A52" s="14" t="s">
        <v>15</v>
      </c>
      <c r="B52" s="14">
        <v>-53001</v>
      </c>
      <c r="C52" s="17">
        <f t="shared" si="3"/>
        <v>-4.1663980831786032E-2</v>
      </c>
      <c r="D52" s="14">
        <v>-32455</v>
      </c>
      <c r="E52" s="17">
        <f t="shared" si="4"/>
        <v>-2.0512240349987929E-2</v>
      </c>
      <c r="F52" s="17">
        <f t="shared" si="2"/>
        <v>-0.3876530631497519</v>
      </c>
    </row>
    <row r="53" spans="1:7" x14ac:dyDescent="0.3">
      <c r="A53" s="14" t="s">
        <v>18</v>
      </c>
      <c r="B53" s="14">
        <v>-6</v>
      </c>
      <c r="C53" s="17">
        <f t="shared" si="3"/>
        <v>-4.7165880830685495E-6</v>
      </c>
      <c r="D53" s="14">
        <v>-257</v>
      </c>
      <c r="E53" s="17">
        <f t="shared" si="4"/>
        <v>-1.6242938745792321E-4</v>
      </c>
      <c r="F53" s="17">
        <f t="shared" si="2"/>
        <v>41.833333333333336</v>
      </c>
    </row>
    <row r="54" spans="1:7" s="9" customFormat="1" x14ac:dyDescent="0.3">
      <c r="A54" s="43" t="s">
        <v>17</v>
      </c>
      <c r="B54" s="43">
        <f>+B51+B52+B53</f>
        <v>138914</v>
      </c>
      <c r="C54" s="44">
        <f t="shared" si="3"/>
        <v>0.10920001949523074</v>
      </c>
      <c r="D54" s="43">
        <f>+D51+D52+D53</f>
        <v>49618</v>
      </c>
      <c r="E54" s="44">
        <f t="shared" si="4"/>
        <v>3.1359616135747989E-2</v>
      </c>
      <c r="F54" s="44">
        <f t="shared" si="2"/>
        <v>-0.64281497905178742</v>
      </c>
      <c r="G54" s="8"/>
    </row>
    <row r="55" spans="1:7" s="9" customFormat="1" ht="15.75" thickBot="1" x14ac:dyDescent="0.35">
      <c r="A55" s="27" t="s">
        <v>19</v>
      </c>
      <c r="B55" s="27">
        <v>171403</v>
      </c>
      <c r="C55" s="45">
        <f t="shared" si="3"/>
        <v>0.13473955786703309</v>
      </c>
      <c r="D55" s="27">
        <v>220025</v>
      </c>
      <c r="E55" s="45">
        <f t="shared" si="4"/>
        <v>0.13906041235575703</v>
      </c>
      <c r="F55" s="45">
        <f t="shared" si="2"/>
        <v>0.28367064753825777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7"/>
    </row>
    <row r="58" spans="1:7" x14ac:dyDescent="0.3">
      <c r="D58" s="10"/>
    </row>
  </sheetData>
  <phoneticPr fontId="0" type="noConversion"/>
  <pageMargins left="0.7" right="0.7" top="0.75" bottom="0.75" header="0.3" footer="0.3"/>
  <legacy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82"/>
  <sheetViews>
    <sheetView topLeftCell="A11" workbookViewId="0">
      <selection activeCell="A38" sqref="A38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9" width="11.140625" style="74" bestFit="1" customWidth="1"/>
    <col min="10" max="10" width="11.5703125" style="74" bestFit="1" customWidth="1"/>
    <col min="11" max="11" width="11.140625" style="74" bestFit="1" customWidth="1"/>
    <col min="12" max="12" width="11.140625" style="75" bestFit="1" customWidth="1"/>
    <col min="13" max="13" width="11.7109375" style="75" customWidth="1"/>
    <col min="14" max="15" width="10.42578125" style="76" bestFit="1" customWidth="1"/>
    <col min="16" max="16" width="10.28515625" style="73" bestFit="1" customWidth="1"/>
    <col min="17" max="16384" width="11.42578125" style="73"/>
  </cols>
  <sheetData>
    <row r="6" spans="1:20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20" ht="15.75" x14ac:dyDescent="0.3">
      <c r="A7" s="78" t="s">
        <v>125</v>
      </c>
      <c r="B7" s="78"/>
      <c r="C7" s="78"/>
      <c r="D7" s="78"/>
      <c r="E7" s="78"/>
      <c r="F7" s="78"/>
      <c r="G7" s="78"/>
    </row>
    <row r="8" spans="1:20" x14ac:dyDescent="0.3">
      <c r="A8" s="79" t="s">
        <v>88</v>
      </c>
      <c r="B8" s="79"/>
      <c r="C8" s="79"/>
      <c r="D8" s="79"/>
      <c r="E8" s="79"/>
      <c r="F8" s="79"/>
      <c r="G8" s="79"/>
    </row>
    <row r="9" spans="1:20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98">
        <v>2011</v>
      </c>
      <c r="I10" s="145">
        <v>2012</v>
      </c>
      <c r="J10" s="145">
        <v>2013</v>
      </c>
      <c r="K10" s="146" t="s">
        <v>46</v>
      </c>
      <c r="L10" s="145" t="s">
        <v>95</v>
      </c>
      <c r="M10" s="145" t="s">
        <v>124</v>
      </c>
      <c r="N10" s="146" t="s">
        <v>46</v>
      </c>
      <c r="O10" s="83"/>
      <c r="P10" s="83"/>
      <c r="Q10" s="106"/>
      <c r="R10" s="84"/>
      <c r="S10" s="84"/>
      <c r="T10" s="84"/>
    </row>
    <row r="11" spans="1:20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99">
        <v>193087</v>
      </c>
      <c r="I11" s="117">
        <v>291812</v>
      </c>
      <c r="J11" s="117">
        <v>415478</v>
      </c>
      <c r="K11" s="129">
        <f t="shared" ref="K11:K20" si="0">+(J11-I11)/I11</f>
        <v>0.42378654750318701</v>
      </c>
      <c r="L11" s="117">
        <v>268522</v>
      </c>
      <c r="M11" s="117">
        <v>353987</v>
      </c>
      <c r="N11" s="129">
        <f>+(M11-L11)/L11</f>
        <v>0.31827932161983002</v>
      </c>
      <c r="O11" s="83"/>
      <c r="P11" s="83"/>
      <c r="Q11" s="108"/>
      <c r="R11" s="84"/>
      <c r="S11" s="84"/>
      <c r="T11" s="84"/>
    </row>
    <row r="12" spans="1:20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99">
        <v>329071</v>
      </c>
      <c r="I12" s="117">
        <v>330090</v>
      </c>
      <c r="J12" s="117">
        <v>357830</v>
      </c>
      <c r="K12" s="129">
        <f t="shared" si="0"/>
        <v>8.4037686691508379E-2</v>
      </c>
      <c r="L12" s="117">
        <v>356520</v>
      </c>
      <c r="M12" s="117">
        <v>376030</v>
      </c>
      <c r="N12" s="129">
        <f t="shared" ref="N12:N19" si="1">+(M12-L12)/L12</f>
        <v>5.4723437675305735E-2</v>
      </c>
      <c r="O12" s="170"/>
      <c r="P12" s="83"/>
      <c r="Q12" s="106"/>
      <c r="R12" s="84"/>
      <c r="S12" s="84"/>
      <c r="T12" s="84"/>
    </row>
    <row r="13" spans="1:20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99">
        <v>650631</v>
      </c>
      <c r="I13" s="117">
        <v>681860</v>
      </c>
      <c r="J13" s="117">
        <v>857299</v>
      </c>
      <c r="K13" s="129">
        <f t="shared" si="0"/>
        <v>0.25729475258850792</v>
      </c>
      <c r="L13" s="117">
        <v>721224</v>
      </c>
      <c r="M13" s="117">
        <v>901396</v>
      </c>
      <c r="N13" s="129">
        <f t="shared" si="1"/>
        <v>0.24981420474082947</v>
      </c>
      <c r="O13" s="83"/>
      <c r="P13" s="83"/>
      <c r="Q13" s="106"/>
      <c r="R13" s="84"/>
      <c r="S13" s="84"/>
      <c r="T13" s="84"/>
    </row>
    <row r="14" spans="1:20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99">
        <v>601866</v>
      </c>
      <c r="I14" s="117">
        <v>555796</v>
      </c>
      <c r="J14" s="117">
        <v>725323</v>
      </c>
      <c r="K14" s="129">
        <f t="shared" si="0"/>
        <v>0.30501658882035854</v>
      </c>
      <c r="L14" s="117">
        <v>565079</v>
      </c>
      <c r="M14" s="117">
        <v>759576</v>
      </c>
      <c r="N14" s="129">
        <f t="shared" si="1"/>
        <v>0.3441943515862384</v>
      </c>
      <c r="O14" s="83"/>
      <c r="P14" s="83"/>
      <c r="Q14" s="106"/>
      <c r="R14" s="84"/>
      <c r="S14" s="84"/>
      <c r="T14" s="84"/>
    </row>
    <row r="15" spans="1:20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99">
        <v>1009855</v>
      </c>
      <c r="I15" s="117">
        <v>1135785</v>
      </c>
      <c r="J15" s="117">
        <v>1456074</v>
      </c>
      <c r="K15" s="129">
        <f t="shared" si="0"/>
        <v>0.28199791333747143</v>
      </c>
      <c r="L15" s="117">
        <v>1130203</v>
      </c>
      <c r="M15" s="117">
        <v>1481507</v>
      </c>
      <c r="N15" s="129">
        <f t="shared" si="1"/>
        <v>0.31083265572644914</v>
      </c>
      <c r="O15" s="83"/>
      <c r="P15" s="83"/>
      <c r="Q15" s="106"/>
      <c r="R15" s="84"/>
      <c r="S15" s="84"/>
      <c r="T15" s="84"/>
    </row>
    <row r="16" spans="1:20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99">
        <v>900384</v>
      </c>
      <c r="I16" s="117">
        <v>1025441</v>
      </c>
      <c r="J16" s="117">
        <v>2038332</v>
      </c>
      <c r="K16" s="129">
        <f t="shared" si="0"/>
        <v>0.9877613631598503</v>
      </c>
      <c r="L16" s="117">
        <v>1030021</v>
      </c>
      <c r="M16" s="117">
        <v>1979821</v>
      </c>
      <c r="N16" s="129">
        <f t="shared" si="1"/>
        <v>0.92211712188392281</v>
      </c>
      <c r="O16" s="83"/>
      <c r="P16" s="83"/>
      <c r="Q16" s="106"/>
      <c r="R16" s="84"/>
      <c r="S16" s="84"/>
      <c r="T16" s="84"/>
    </row>
    <row r="17" spans="1:20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99">
        <v>130401</v>
      </c>
      <c r="I17" s="117">
        <v>57452</v>
      </c>
      <c r="J17" s="117">
        <v>101223</v>
      </c>
      <c r="K17" s="129">
        <f t="shared" si="0"/>
        <v>0.76187077908514933</v>
      </c>
      <c r="L17" s="117">
        <v>53810</v>
      </c>
      <c r="M17" s="117">
        <v>110933</v>
      </c>
      <c r="N17" s="129">
        <f t="shared" si="1"/>
        <v>1.0615684816948523</v>
      </c>
      <c r="O17" s="83"/>
      <c r="P17" s="83"/>
      <c r="Q17" s="106"/>
      <c r="R17" s="84"/>
      <c r="S17" s="84"/>
      <c r="T17" s="84"/>
    </row>
    <row r="18" spans="1:20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99">
        <v>18323</v>
      </c>
      <c r="I18" s="117">
        <v>6913</v>
      </c>
      <c r="J18" s="117">
        <v>16502</v>
      </c>
      <c r="K18" s="129">
        <f t="shared" si="0"/>
        <v>1.3870967741935485</v>
      </c>
      <c r="L18" s="117">
        <v>6387</v>
      </c>
      <c r="M18" s="117">
        <v>18237</v>
      </c>
      <c r="N18" s="129">
        <f t="shared" si="1"/>
        <v>1.8553311413809299</v>
      </c>
      <c r="O18" s="83"/>
      <c r="P18" s="83"/>
      <c r="Q18" s="106"/>
      <c r="R18" s="84"/>
      <c r="S18" s="84"/>
      <c r="T18" s="84"/>
    </row>
    <row r="19" spans="1:20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99">
        <v>4097551</v>
      </c>
      <c r="I19" s="117">
        <v>4866415</v>
      </c>
      <c r="J19" s="117">
        <v>4612437</v>
      </c>
      <c r="K19" s="129">
        <f t="shared" si="0"/>
        <v>-5.2189959138297902E-2</v>
      </c>
      <c r="L19" s="117">
        <v>4924714</v>
      </c>
      <c r="M19" s="117">
        <v>4881634</v>
      </c>
      <c r="N19" s="129">
        <f t="shared" si="1"/>
        <v>-8.7477161110269559E-3</v>
      </c>
      <c r="O19" s="83"/>
      <c r="P19" s="83"/>
      <c r="Q19" s="106"/>
      <c r="R19" s="84"/>
      <c r="S19" s="84"/>
      <c r="T19" s="84"/>
    </row>
    <row r="20" spans="1:20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200">
        <f>SUM(H11:H19)</f>
        <v>7931169</v>
      </c>
      <c r="I20" s="118">
        <f>SUM(I11:I19)</f>
        <v>8951564</v>
      </c>
      <c r="J20" s="118">
        <f>SUM(J11:J19)</f>
        <v>10580498</v>
      </c>
      <c r="K20" s="130">
        <f t="shared" si="0"/>
        <v>0.18197199952991455</v>
      </c>
      <c r="L20" s="118">
        <f>SUM(L11:L19)</f>
        <v>9056480</v>
      </c>
      <c r="M20" s="118">
        <f>SUM(M11:M19)</f>
        <v>10863121</v>
      </c>
      <c r="N20" s="130">
        <f>+(M20-L20)/L20</f>
        <v>0.19948600339204636</v>
      </c>
      <c r="O20" s="83"/>
      <c r="P20" s="83"/>
      <c r="Q20" s="106"/>
      <c r="R20" s="84"/>
      <c r="S20" s="84"/>
      <c r="T20" s="84"/>
    </row>
    <row r="21" spans="1:20" s="85" customFormat="1" x14ac:dyDescent="0.3">
      <c r="A21" s="153"/>
      <c r="B21" s="81"/>
      <c r="C21" s="81"/>
      <c r="D21" s="81"/>
      <c r="E21" s="81"/>
      <c r="F21" s="81"/>
      <c r="G21" s="81"/>
      <c r="H21" s="199"/>
      <c r="I21" s="117"/>
      <c r="J21" s="117"/>
      <c r="K21" s="129"/>
      <c r="L21" s="117"/>
      <c r="M21" s="117"/>
      <c r="N21" s="129"/>
      <c r="O21" s="83"/>
      <c r="P21" s="83"/>
      <c r="Q21" s="106"/>
      <c r="R21" s="84"/>
      <c r="S21" s="84"/>
      <c r="T21" s="84"/>
    </row>
    <row r="22" spans="1:20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201">
        <v>2011</v>
      </c>
      <c r="I22" s="127">
        <v>2012</v>
      </c>
      <c r="J22" s="127">
        <v>2013</v>
      </c>
      <c r="K22" s="128" t="s">
        <v>123</v>
      </c>
      <c r="L22" s="127" t="s">
        <v>95</v>
      </c>
      <c r="M22" s="127" t="s">
        <v>124</v>
      </c>
      <c r="N22" s="128" t="s">
        <v>46</v>
      </c>
      <c r="O22" s="83"/>
      <c r="P22" s="83"/>
      <c r="Q22" s="108"/>
      <c r="R22" s="84"/>
      <c r="S22" s="84"/>
      <c r="T22" s="84"/>
    </row>
    <row r="23" spans="1:20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99">
        <v>679598</v>
      </c>
      <c r="I23" s="117">
        <v>690354</v>
      </c>
      <c r="J23" s="117">
        <v>1996737</v>
      </c>
      <c r="K23" s="129">
        <f t="shared" ref="K23:K34" si="2">+(J23-I23)/I23</f>
        <v>1.8923378440626113</v>
      </c>
      <c r="L23" s="117">
        <v>698237</v>
      </c>
      <c r="M23" s="117">
        <v>1990883</v>
      </c>
      <c r="N23" s="129">
        <f t="shared" ref="N23:N34" si="3">+(M23-L23)/L23</f>
        <v>1.8512997735725836</v>
      </c>
      <c r="O23" s="83"/>
      <c r="P23" s="83"/>
      <c r="Q23" s="106"/>
      <c r="R23" s="84"/>
      <c r="S23" s="84"/>
      <c r="T23" s="84"/>
    </row>
    <row r="24" spans="1:20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99">
        <v>163168</v>
      </c>
      <c r="I24" s="117">
        <v>170648</v>
      </c>
      <c r="J24" s="117">
        <v>299136</v>
      </c>
      <c r="K24" s="129">
        <f t="shared" si="2"/>
        <v>0.75294172800150017</v>
      </c>
      <c r="L24" s="117">
        <v>166315</v>
      </c>
      <c r="M24" s="117">
        <v>224001</v>
      </c>
      <c r="N24" s="129">
        <f t="shared" si="3"/>
        <v>0.34684784896130838</v>
      </c>
      <c r="O24" s="83"/>
      <c r="P24" s="83"/>
      <c r="Q24" s="108"/>
      <c r="R24" s="84"/>
      <c r="S24" s="84"/>
      <c r="T24" s="84"/>
    </row>
    <row r="25" spans="1:20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99">
        <v>217244</v>
      </c>
      <c r="I25" s="117">
        <v>259622</v>
      </c>
      <c r="J25" s="117">
        <v>339737</v>
      </c>
      <c r="K25" s="129">
        <f t="shared" si="2"/>
        <v>0.30858324795279291</v>
      </c>
      <c r="L25" s="117">
        <v>349442</v>
      </c>
      <c r="M25" s="117">
        <v>440450</v>
      </c>
      <c r="N25" s="129">
        <f t="shared" si="3"/>
        <v>0.26043806983705453</v>
      </c>
      <c r="O25" s="83"/>
      <c r="P25" s="83"/>
      <c r="Q25" s="106"/>
      <c r="R25" s="84"/>
      <c r="S25" s="84"/>
      <c r="T25" s="84"/>
    </row>
    <row r="26" spans="1:20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99">
        <v>132822</v>
      </c>
      <c r="I26" s="117">
        <v>138203</v>
      </c>
      <c r="J26" s="117">
        <v>159523</v>
      </c>
      <c r="K26" s="129">
        <f t="shared" si="2"/>
        <v>0.15426582635688083</v>
      </c>
      <c r="L26" s="117">
        <v>103109</v>
      </c>
      <c r="M26" s="117">
        <v>114252</v>
      </c>
      <c r="N26" s="129">
        <f t="shared" si="3"/>
        <v>0.10807010057317984</v>
      </c>
      <c r="O26" s="83"/>
      <c r="P26" s="83"/>
      <c r="Q26" s="106"/>
      <c r="R26" s="84"/>
      <c r="S26" s="84"/>
      <c r="T26" s="84"/>
    </row>
    <row r="27" spans="1:20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99">
        <v>96429</v>
      </c>
      <c r="I27" s="117">
        <v>109969</v>
      </c>
      <c r="J27" s="117">
        <v>138378</v>
      </c>
      <c r="K27" s="129">
        <f t="shared" si="2"/>
        <v>0.25833644026953051</v>
      </c>
      <c r="L27" s="117">
        <v>67660</v>
      </c>
      <c r="M27" s="117">
        <v>75652</v>
      </c>
      <c r="N27" s="129">
        <f t="shared" si="3"/>
        <v>0.11812001182382501</v>
      </c>
      <c r="O27" s="83"/>
      <c r="P27" s="83"/>
      <c r="Q27" s="106"/>
      <c r="R27" s="84"/>
      <c r="S27" s="84"/>
      <c r="T27" s="84"/>
    </row>
    <row r="28" spans="1:20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99">
        <v>33608</v>
      </c>
      <c r="I28" s="117">
        <v>28288</v>
      </c>
      <c r="J28" s="117">
        <v>54184</v>
      </c>
      <c r="K28" s="129">
        <f t="shared" si="2"/>
        <v>0.9154411764705882</v>
      </c>
      <c r="L28" s="117">
        <v>156784</v>
      </c>
      <c r="M28" s="117">
        <v>223600</v>
      </c>
      <c r="N28" s="129">
        <f t="shared" si="3"/>
        <v>0.42616593529952035</v>
      </c>
      <c r="O28" s="83"/>
      <c r="P28" s="83"/>
      <c r="Q28" s="106"/>
      <c r="R28" s="84"/>
      <c r="S28" s="84"/>
      <c r="T28" s="84"/>
    </row>
    <row r="29" spans="1:20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99">
        <v>112430</v>
      </c>
      <c r="I29" s="117">
        <v>125466</v>
      </c>
      <c r="J29" s="117">
        <v>159573</v>
      </c>
      <c r="K29" s="129">
        <f t="shared" si="2"/>
        <v>0.27184257089570085</v>
      </c>
      <c r="L29" s="117">
        <v>160397</v>
      </c>
      <c r="M29" s="117">
        <v>224405</v>
      </c>
      <c r="N29" s="129">
        <f t="shared" si="3"/>
        <v>0.3990598327898901</v>
      </c>
      <c r="O29" s="83"/>
      <c r="P29" s="83"/>
      <c r="Q29" s="106"/>
      <c r="R29" s="84"/>
      <c r="S29" s="84"/>
      <c r="T29" s="84"/>
    </row>
    <row r="30" spans="1:20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99">
        <v>5031</v>
      </c>
      <c r="I30" s="117">
        <v>3762</v>
      </c>
      <c r="J30" s="117">
        <v>3159</v>
      </c>
      <c r="K30" s="129">
        <f t="shared" si="2"/>
        <v>-0.16028708133971292</v>
      </c>
      <c r="L30" s="117">
        <v>4320</v>
      </c>
      <c r="M30" s="117">
        <v>2502</v>
      </c>
      <c r="N30" s="129">
        <f t="shared" si="3"/>
        <v>-0.42083333333333334</v>
      </c>
      <c r="O30" s="83"/>
      <c r="P30" s="83"/>
      <c r="Q30" s="106"/>
      <c r="R30" s="84"/>
      <c r="S30" s="84"/>
      <c r="T30" s="84"/>
    </row>
    <row r="31" spans="1:20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202">
        <f>SUM(H23:H30)</f>
        <v>1440330</v>
      </c>
      <c r="I31" s="119">
        <f>SUM(I23:I30)</f>
        <v>1526312</v>
      </c>
      <c r="J31" s="119">
        <f>SUM(J23:J30)</f>
        <v>3150427</v>
      </c>
      <c r="K31" s="129">
        <f t="shared" si="2"/>
        <v>1.0640779866763808</v>
      </c>
      <c r="L31" s="119">
        <f>SUM(L23:L30)</f>
        <v>1706264</v>
      </c>
      <c r="M31" s="119">
        <f>SUM(M23:M30)</f>
        <v>3295745</v>
      </c>
      <c r="N31" s="129">
        <f t="shared" si="3"/>
        <v>0.93155631250498161</v>
      </c>
      <c r="O31" s="83"/>
      <c r="P31" s="83"/>
      <c r="Q31" s="106"/>
      <c r="R31" s="84"/>
      <c r="S31" s="84"/>
      <c r="T31" s="84"/>
    </row>
    <row r="32" spans="1:20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99">
        <v>16209</v>
      </c>
      <c r="I32" s="117">
        <v>16294</v>
      </c>
      <c r="J32" s="117">
        <v>19208</v>
      </c>
      <c r="K32" s="129">
        <f t="shared" si="2"/>
        <v>0.17883883638149012</v>
      </c>
      <c r="L32" s="117">
        <v>5700</v>
      </c>
      <c r="M32" s="117">
        <v>19809</v>
      </c>
      <c r="N32" s="129">
        <f t="shared" si="3"/>
        <v>2.4752631578947368</v>
      </c>
      <c r="O32" s="83"/>
      <c r="P32" s="83"/>
      <c r="Q32" s="106"/>
      <c r="R32" s="84"/>
      <c r="S32" s="84"/>
      <c r="T32" s="84"/>
    </row>
    <row r="33" spans="1:20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203">
        <v>6474630</v>
      </c>
      <c r="I33" s="120">
        <f>I20-I31-I32</f>
        <v>7408958</v>
      </c>
      <c r="J33" s="120">
        <f>J20-J31-J32</f>
        <v>7410863</v>
      </c>
      <c r="K33" s="131">
        <f t="shared" si="2"/>
        <v>2.5712117682405542E-4</v>
      </c>
      <c r="L33" s="120">
        <f>L20-L31-L32</f>
        <v>7344516</v>
      </c>
      <c r="M33" s="120">
        <f>M20-M31-M32</f>
        <v>7547567</v>
      </c>
      <c r="N33" s="131">
        <f t="shared" si="3"/>
        <v>2.7646614154016411E-2</v>
      </c>
      <c r="O33" s="83"/>
      <c r="P33" s="83"/>
      <c r="Q33" s="108"/>
      <c r="R33" s="84"/>
      <c r="S33" s="84"/>
      <c r="T33" s="84"/>
    </row>
    <row r="34" spans="1:20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200">
        <f>+H31+H32+H33</f>
        <v>7931169</v>
      </c>
      <c r="I34" s="118">
        <f>+I31+I32+I33</f>
        <v>8951564</v>
      </c>
      <c r="J34" s="118">
        <f>+J31+J32+J33</f>
        <v>10580498</v>
      </c>
      <c r="K34" s="130">
        <f t="shared" si="2"/>
        <v>0.18197199952991455</v>
      </c>
      <c r="L34" s="118">
        <f>+L31+L32+L33</f>
        <v>9056480</v>
      </c>
      <c r="M34" s="118">
        <f>+M31+M32+M33</f>
        <v>10863121</v>
      </c>
      <c r="N34" s="130">
        <f t="shared" si="3"/>
        <v>0.19948600339204636</v>
      </c>
      <c r="O34" s="83"/>
      <c r="P34" s="83"/>
      <c r="Q34" s="108"/>
      <c r="R34" s="84"/>
      <c r="S34" s="84"/>
      <c r="T34" s="84"/>
    </row>
    <row r="35" spans="1:20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84"/>
      <c r="R35" s="84"/>
      <c r="S35" s="84"/>
    </row>
    <row r="36" spans="1:20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0" ht="15.75" x14ac:dyDescent="0.3">
      <c r="A37" s="78" t="s">
        <v>126</v>
      </c>
      <c r="B37" s="78"/>
      <c r="C37" s="78"/>
      <c r="D37" s="78"/>
      <c r="E37" s="78"/>
      <c r="F37" s="78"/>
      <c r="G37" s="78"/>
    </row>
    <row r="38" spans="1:20" x14ac:dyDescent="0.3">
      <c r="A38" s="79" t="s">
        <v>88</v>
      </c>
      <c r="B38" s="79"/>
      <c r="C38" s="79"/>
      <c r="D38" s="79"/>
      <c r="E38" s="79"/>
      <c r="F38" s="79"/>
      <c r="G38" s="79"/>
    </row>
    <row r="39" spans="1:20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98">
        <v>2011</v>
      </c>
      <c r="I39" s="145">
        <v>2012</v>
      </c>
      <c r="J39" s="146" t="s">
        <v>55</v>
      </c>
      <c r="K39" s="145">
        <v>2013</v>
      </c>
      <c r="L39" s="146" t="s">
        <v>55</v>
      </c>
      <c r="M39" s="147" t="s">
        <v>46</v>
      </c>
      <c r="N39" s="145" t="s">
        <v>95</v>
      </c>
      <c r="O39" s="146" t="s">
        <v>55</v>
      </c>
      <c r="P39" s="145" t="s">
        <v>124</v>
      </c>
      <c r="Q39" s="146" t="s">
        <v>55</v>
      </c>
      <c r="R39" s="147" t="s">
        <v>46</v>
      </c>
      <c r="S39" s="144"/>
    </row>
    <row r="40" spans="1:20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204">
        <v>5057382.6182662696</v>
      </c>
      <c r="I40" s="185">
        <v>5305782</v>
      </c>
      <c r="J40" s="138">
        <v>1</v>
      </c>
      <c r="K40" s="185">
        <v>5898466</v>
      </c>
      <c r="L40" s="138">
        <v>1</v>
      </c>
      <c r="M40" s="129">
        <f t="shared" ref="M40:M57" si="4">IF(I40&lt;&gt;0,(K40-I40)/I40,0)</f>
        <v>0.11170530564580301</v>
      </c>
      <c r="N40" s="132">
        <v>1242052</v>
      </c>
      <c r="O40" s="138">
        <v>1</v>
      </c>
      <c r="P40" s="132">
        <v>1572825</v>
      </c>
      <c r="Q40" s="138">
        <v>1</v>
      </c>
      <c r="R40" s="129">
        <f t="shared" ref="R40:R57" si="5">IF(N40&lt;&gt;0,(P40-N40)/N40,0)</f>
        <v>0.2663117164176701</v>
      </c>
      <c r="S40" s="111"/>
      <c r="T40" s="85"/>
    </row>
    <row r="41" spans="1:20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205">
        <v>-3030201.8461819952</v>
      </c>
      <c r="I41" s="188">
        <v>-3064460</v>
      </c>
      <c r="J41" s="129">
        <f t="shared" ref="J41:J59" si="6">+I41/$I$40</f>
        <v>-0.57756990392745122</v>
      </c>
      <c r="K41" s="188">
        <v>-3260968</v>
      </c>
      <c r="L41" s="129">
        <f t="shared" ref="L41:L59" si="7">+K41/$K$40</f>
        <v>-0.55285018172521461</v>
      </c>
      <c r="M41" s="129">
        <f t="shared" si="4"/>
        <v>6.412483765492126E-2</v>
      </c>
      <c r="N41" s="133">
        <v>-682801</v>
      </c>
      <c r="O41" s="129">
        <f>+N41/$N$40</f>
        <v>-0.54973624292702716</v>
      </c>
      <c r="P41" s="133">
        <v>-875730</v>
      </c>
      <c r="Q41" s="129">
        <f>+P41/$P$40</f>
        <v>-0.55678794525773689</v>
      </c>
      <c r="R41" s="129">
        <f t="shared" si="5"/>
        <v>0.28255523937428328</v>
      </c>
      <c r="S41" s="101"/>
    </row>
    <row r="42" spans="1:20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202">
        <f>SUM(H40:H41)</f>
        <v>2027180.7720842743</v>
      </c>
      <c r="I42" s="180">
        <f>SUM(I40:I41)</f>
        <v>2241322</v>
      </c>
      <c r="J42" s="138">
        <f t="shared" si="6"/>
        <v>0.42243009607254878</v>
      </c>
      <c r="K42" s="180">
        <f>SUM(K40:K41)</f>
        <v>2637498</v>
      </c>
      <c r="L42" s="138">
        <f t="shared" si="7"/>
        <v>0.44714981827478534</v>
      </c>
      <c r="M42" s="129">
        <f t="shared" si="4"/>
        <v>0.1767599657702017</v>
      </c>
      <c r="N42" s="134">
        <f>SUM(N40:N41)</f>
        <v>559251</v>
      </c>
      <c r="O42" s="138">
        <f t="shared" ref="O42:O59" si="8">+N42/$N$40</f>
        <v>0.45026375707297278</v>
      </c>
      <c r="P42" s="134">
        <f>SUM(P40:P41)</f>
        <v>697095</v>
      </c>
      <c r="Q42" s="138">
        <f t="shared" ref="Q42:Q59" si="9">+P42/$P$40</f>
        <v>0.44321205474226311</v>
      </c>
      <c r="R42" s="129">
        <f t="shared" si="5"/>
        <v>0.24647966655401599</v>
      </c>
      <c r="S42" s="111"/>
      <c r="T42" s="85"/>
    </row>
    <row r="43" spans="1:20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199">
        <v>-250061.17590559012</v>
      </c>
      <c r="I43" s="177">
        <v>-270303</v>
      </c>
      <c r="J43" s="129">
        <f t="shared" si="6"/>
        <v>-5.0944987939572341E-2</v>
      </c>
      <c r="K43" s="177">
        <v>-347578</v>
      </c>
      <c r="L43" s="129">
        <f t="shared" si="7"/>
        <v>-5.8926846403793802E-2</v>
      </c>
      <c r="M43" s="129">
        <f t="shared" si="4"/>
        <v>0.28588287958328246</v>
      </c>
      <c r="N43" s="135">
        <v>-64873</v>
      </c>
      <c r="O43" s="129">
        <f t="shared" si="8"/>
        <v>-5.223050242662948E-2</v>
      </c>
      <c r="P43" s="135">
        <v>-103109</v>
      </c>
      <c r="Q43" s="129">
        <f t="shared" si="9"/>
        <v>-6.5556562236739627E-2</v>
      </c>
      <c r="R43" s="129">
        <f t="shared" si="5"/>
        <v>0.58939774636597664</v>
      </c>
      <c r="S43" s="101"/>
    </row>
    <row r="44" spans="1:20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199">
        <v>-1221301.5797654777</v>
      </c>
      <c r="I44" s="177">
        <v>-1326976</v>
      </c>
      <c r="J44" s="129">
        <f t="shared" si="6"/>
        <v>-0.25009998526136201</v>
      </c>
      <c r="K44" s="177">
        <v>-1505166</v>
      </c>
      <c r="L44" s="129">
        <f t="shared" si="7"/>
        <v>-0.25517922795520054</v>
      </c>
      <c r="M44" s="129">
        <f t="shared" si="4"/>
        <v>0.13428276020063665</v>
      </c>
      <c r="N44" s="135">
        <v>-325559</v>
      </c>
      <c r="O44" s="129">
        <f t="shared" si="8"/>
        <v>-0.26211382454196763</v>
      </c>
      <c r="P44" s="135">
        <v>-400920</v>
      </c>
      <c r="Q44" s="129">
        <f t="shared" si="9"/>
        <v>-0.25490439177912355</v>
      </c>
      <c r="R44" s="129">
        <f t="shared" si="5"/>
        <v>0.23148185121590864</v>
      </c>
      <c r="S44" s="101"/>
    </row>
    <row r="45" spans="1:20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199">
        <v>-123323</v>
      </c>
      <c r="I45" s="177">
        <v>-122931</v>
      </c>
      <c r="J45" s="129">
        <f t="shared" si="6"/>
        <v>-2.3169251959466106E-2</v>
      </c>
      <c r="K45" s="177">
        <v>-134527</v>
      </c>
      <c r="L45" s="129">
        <f t="shared" si="7"/>
        <v>-2.2807116290913605E-2</v>
      </c>
      <c r="M45" s="129">
        <f t="shared" si="4"/>
        <v>9.4329339222816055E-2</v>
      </c>
      <c r="N45" s="135">
        <v>-27738</v>
      </c>
      <c r="O45" s="129">
        <f t="shared" si="8"/>
        <v>-2.2332398321487344E-2</v>
      </c>
      <c r="P45" s="135">
        <v>-29371</v>
      </c>
      <c r="Q45" s="129">
        <f t="shared" si="9"/>
        <v>-1.8674041930920478E-2</v>
      </c>
      <c r="R45" s="129">
        <f t="shared" si="5"/>
        <v>5.887230514096186E-2</v>
      </c>
      <c r="S45" s="101"/>
    </row>
    <row r="46" spans="1:20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202">
        <f>SUM(H43:H45)</f>
        <v>-1594685.7556710679</v>
      </c>
      <c r="I46" s="180">
        <f>SUM(I43:I45)</f>
        <v>-1720210</v>
      </c>
      <c r="J46" s="138">
        <f t="shared" si="6"/>
        <v>-0.32421422516040049</v>
      </c>
      <c r="K46" s="180">
        <f>SUM(K43:K45)</f>
        <v>-1987271</v>
      </c>
      <c r="L46" s="138">
        <f t="shared" si="7"/>
        <v>-0.33691319064990793</v>
      </c>
      <c r="M46" s="129">
        <f t="shared" si="4"/>
        <v>0.15524906842769196</v>
      </c>
      <c r="N46" s="134">
        <f>SUM(N43:N45)</f>
        <v>-418170</v>
      </c>
      <c r="O46" s="138">
        <f t="shared" si="8"/>
        <v>-0.33667672529008447</v>
      </c>
      <c r="P46" s="134">
        <f>SUM(P43:P45)</f>
        <v>-533400</v>
      </c>
      <c r="Q46" s="138">
        <f t="shared" si="9"/>
        <v>-0.33913499594678365</v>
      </c>
      <c r="R46" s="129">
        <f t="shared" si="5"/>
        <v>0.27555778750269028</v>
      </c>
      <c r="S46" s="111"/>
      <c r="T46" s="85"/>
    </row>
    <row r="47" spans="1:20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202">
        <f>+H42+H46</f>
        <v>432495.01641320647</v>
      </c>
      <c r="I47" s="180">
        <f>+I42+I46</f>
        <v>521112</v>
      </c>
      <c r="J47" s="138">
        <f t="shared" si="6"/>
        <v>9.8215870912148298E-2</v>
      </c>
      <c r="K47" s="180">
        <f>+K42+K46</f>
        <v>650227</v>
      </c>
      <c r="L47" s="138">
        <f t="shared" si="7"/>
        <v>0.11023662762487739</v>
      </c>
      <c r="M47" s="129">
        <f t="shared" si="4"/>
        <v>0.24776823408403567</v>
      </c>
      <c r="N47" s="134">
        <f>+N42+N46</f>
        <v>141081</v>
      </c>
      <c r="O47" s="138">
        <f t="shared" si="8"/>
        <v>0.11358703178288831</v>
      </c>
      <c r="P47" s="134">
        <f>+P42+P46</f>
        <v>163695</v>
      </c>
      <c r="Q47" s="138">
        <f t="shared" si="9"/>
        <v>0.10407705879547947</v>
      </c>
      <c r="R47" s="129">
        <f t="shared" si="5"/>
        <v>0.16029089671890617</v>
      </c>
      <c r="S47" s="111"/>
      <c r="T47" s="85"/>
    </row>
    <row r="48" spans="1:20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199">
        <v>7592</v>
      </c>
      <c r="I48" s="177">
        <v>12296</v>
      </c>
      <c r="J48" s="129">
        <f t="shared" si="6"/>
        <v>2.3174717694771476E-3</v>
      </c>
      <c r="K48" s="177">
        <v>12207</v>
      </c>
      <c r="L48" s="129">
        <f t="shared" si="7"/>
        <v>2.0695211263403062E-3</v>
      </c>
      <c r="M48" s="129">
        <f t="shared" si="4"/>
        <v>-7.2381262199089132E-3</v>
      </c>
      <c r="N48" s="135">
        <v>2375</v>
      </c>
      <c r="O48" s="129">
        <f t="shared" si="8"/>
        <v>1.912158267125692E-3</v>
      </c>
      <c r="P48" s="135">
        <v>7447</v>
      </c>
      <c r="Q48" s="129">
        <f t="shared" si="9"/>
        <v>4.7347924912180313E-3</v>
      </c>
      <c r="R48" s="129">
        <f t="shared" si="5"/>
        <v>2.1355789473684212</v>
      </c>
      <c r="S48" s="101"/>
    </row>
    <row r="49" spans="1:20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199">
        <v>-84666</v>
      </c>
      <c r="I49" s="177">
        <v>-70722</v>
      </c>
      <c r="J49" s="129">
        <f t="shared" si="6"/>
        <v>-1.3329232147117993E-2</v>
      </c>
      <c r="K49" s="177">
        <v>-101111</v>
      </c>
      <c r="L49" s="129">
        <f t="shared" si="7"/>
        <v>-1.7141914524895118E-2</v>
      </c>
      <c r="M49" s="129">
        <f t="shared" si="4"/>
        <v>0.42969655835525011</v>
      </c>
      <c r="N49" s="135">
        <v>-16818</v>
      </c>
      <c r="O49" s="129">
        <f t="shared" si="8"/>
        <v>-1.3540495889061005E-2</v>
      </c>
      <c r="P49" s="135">
        <v>-39145</v>
      </c>
      <c r="Q49" s="129">
        <f t="shared" si="9"/>
        <v>-2.4888337863398662E-2</v>
      </c>
      <c r="R49" s="129">
        <f t="shared" si="5"/>
        <v>1.3275657034130099</v>
      </c>
      <c r="S49" s="101"/>
    </row>
    <row r="50" spans="1:20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199">
        <v>-3636</v>
      </c>
      <c r="I50" s="177">
        <v>1782</v>
      </c>
      <c r="J50" s="129">
        <f t="shared" si="6"/>
        <v>3.3586001083346433E-4</v>
      </c>
      <c r="K50" s="177">
        <v>8732</v>
      </c>
      <c r="L50" s="129">
        <f t="shared" si="7"/>
        <v>1.4803849000740192E-3</v>
      </c>
      <c r="M50" s="129">
        <f t="shared" si="4"/>
        <v>3.9001122334455669</v>
      </c>
      <c r="N50" s="135">
        <v>-1758</v>
      </c>
      <c r="O50" s="129">
        <f t="shared" si="8"/>
        <v>-1.4153996773081964E-3</v>
      </c>
      <c r="P50" s="135">
        <v>7445</v>
      </c>
      <c r="Q50" s="129">
        <f t="shared" si="9"/>
        <v>4.7335208939328919E-3</v>
      </c>
      <c r="R50" s="129">
        <f t="shared" si="5"/>
        <v>-5.2349260523321961</v>
      </c>
      <c r="S50" s="101"/>
    </row>
    <row r="51" spans="1:20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199">
        <v>-26933</v>
      </c>
      <c r="I51" s="177">
        <v>-13536</v>
      </c>
      <c r="J51" s="129">
        <f t="shared" si="6"/>
        <v>-2.5511790721895471E-3</v>
      </c>
      <c r="K51" s="177">
        <v>-54534</v>
      </c>
      <c r="L51" s="129">
        <f t="shared" si="7"/>
        <v>-9.245454665670701E-3</v>
      </c>
      <c r="M51" s="129">
        <f t="shared" si="4"/>
        <v>3.0288120567375887</v>
      </c>
      <c r="N51" s="135">
        <v>-7981</v>
      </c>
      <c r="O51" s="129">
        <f t="shared" si="8"/>
        <v>-6.4256568968126936E-3</v>
      </c>
      <c r="P51" s="135">
        <v>-8069</v>
      </c>
      <c r="Q51" s="129">
        <f t="shared" si="9"/>
        <v>-5.1302592468965083E-3</v>
      </c>
      <c r="R51" s="129">
        <f t="shared" si="5"/>
        <v>1.1026187194587145E-2</v>
      </c>
      <c r="S51" s="101"/>
    </row>
    <row r="52" spans="1:20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199">
        <v>33531</v>
      </c>
      <c r="I52" s="177">
        <v>35188</v>
      </c>
      <c r="J52" s="129">
        <f t="shared" si="6"/>
        <v>6.6320101353579929E-3</v>
      </c>
      <c r="K52" s="177">
        <v>39510</v>
      </c>
      <c r="L52" s="129">
        <f t="shared" si="7"/>
        <v>6.6983517409441706E-3</v>
      </c>
      <c r="M52" s="129">
        <f t="shared" si="4"/>
        <v>0.12282596339661248</v>
      </c>
      <c r="N52" s="135">
        <v>8803</v>
      </c>
      <c r="O52" s="129">
        <f t="shared" si="8"/>
        <v>7.0874649370557758E-3</v>
      </c>
      <c r="P52" s="135">
        <v>9657</v>
      </c>
      <c r="Q52" s="129">
        <f t="shared" si="9"/>
        <v>6.1399074912975062E-3</v>
      </c>
      <c r="R52" s="129">
        <f t="shared" si="5"/>
        <v>9.7012382142451434E-2</v>
      </c>
      <c r="S52" s="101"/>
    </row>
    <row r="53" spans="1:20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199">
        <v>11185</v>
      </c>
      <c r="I53" s="177">
        <v>0</v>
      </c>
      <c r="J53" s="129">
        <f t="shared" si="6"/>
        <v>0</v>
      </c>
      <c r="K53" s="177">
        <v>107</v>
      </c>
      <c r="L53" s="129">
        <f t="shared" si="7"/>
        <v>1.8140309700861208E-5</v>
      </c>
      <c r="M53" s="129">
        <f t="shared" si="4"/>
        <v>0</v>
      </c>
      <c r="N53" s="135">
        <v>0</v>
      </c>
      <c r="O53" s="129">
        <f t="shared" si="8"/>
        <v>0</v>
      </c>
      <c r="P53" s="135">
        <v>0</v>
      </c>
      <c r="Q53" s="129">
        <f t="shared" si="9"/>
        <v>0</v>
      </c>
      <c r="R53" s="129">
        <f t="shared" si="5"/>
        <v>0</v>
      </c>
      <c r="S53" s="101"/>
    </row>
    <row r="54" spans="1:20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202">
        <f>SUM(H48:H53)</f>
        <v>-62927</v>
      </c>
      <c r="I54" s="180">
        <f>SUM(I48:I53)</f>
        <v>-34992</v>
      </c>
      <c r="J54" s="138">
        <f t="shared" si="6"/>
        <v>-6.5950693036389355E-3</v>
      </c>
      <c r="K54" s="180">
        <f>SUM(K48:K53)</f>
        <v>-95089</v>
      </c>
      <c r="L54" s="138">
        <f t="shared" si="7"/>
        <v>-1.6120971113506462E-2</v>
      </c>
      <c r="M54" s="129">
        <f t="shared" si="4"/>
        <v>1.7174497027892091</v>
      </c>
      <c r="N54" s="134">
        <f>SUM(N48:N53)</f>
        <v>-15379</v>
      </c>
      <c r="O54" s="138">
        <f t="shared" si="8"/>
        <v>-1.2381929259000429E-2</v>
      </c>
      <c r="P54" s="134">
        <f>SUM(P48:P53)</f>
        <v>-22665</v>
      </c>
      <c r="Q54" s="138">
        <f t="shared" si="9"/>
        <v>-1.4410376233846741E-2</v>
      </c>
      <c r="R54" s="129">
        <f t="shared" si="5"/>
        <v>0.4737629234670655</v>
      </c>
      <c r="S54" s="111"/>
      <c r="T54" s="85"/>
    </row>
    <row r="55" spans="1:20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202">
        <f>+H47+H54</f>
        <v>369568.01641320647</v>
      </c>
      <c r="I55" s="180">
        <f>+I47+I54</f>
        <v>486120</v>
      </c>
      <c r="J55" s="138">
        <f t="shared" si="6"/>
        <v>9.1620801608509356E-2</v>
      </c>
      <c r="K55" s="180">
        <f>+K47+K54</f>
        <v>555138</v>
      </c>
      <c r="L55" s="138">
        <f t="shared" si="7"/>
        <v>9.4115656511370924E-2</v>
      </c>
      <c r="M55" s="129">
        <f t="shared" si="4"/>
        <v>0.1419772895581338</v>
      </c>
      <c r="N55" s="134">
        <f>+N47+N54</f>
        <v>125702</v>
      </c>
      <c r="O55" s="138">
        <f t="shared" si="8"/>
        <v>0.10120510252388788</v>
      </c>
      <c r="P55" s="134">
        <f>+P47+P54</f>
        <v>141030</v>
      </c>
      <c r="Q55" s="138">
        <f t="shared" si="9"/>
        <v>8.9666682561632724E-2</v>
      </c>
      <c r="R55" s="129">
        <f t="shared" si="5"/>
        <v>0.12193918951170228</v>
      </c>
      <c r="S55" s="111"/>
      <c r="T55" s="85"/>
    </row>
    <row r="56" spans="1:20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199">
        <v>-113919.04882074999</v>
      </c>
      <c r="I56" s="177">
        <v>-138457</v>
      </c>
      <c r="J56" s="129">
        <f t="shared" si="6"/>
        <v>-2.609549355778281E-2</v>
      </c>
      <c r="K56" s="177">
        <v>-174487</v>
      </c>
      <c r="L56" s="129">
        <f t="shared" si="7"/>
        <v>-2.95817590539642E-2</v>
      </c>
      <c r="M56" s="129">
        <f t="shared" si="4"/>
        <v>0.2602251962703222</v>
      </c>
      <c r="N56" s="135">
        <v>-46692</v>
      </c>
      <c r="O56" s="129">
        <f t="shared" si="8"/>
        <v>-3.7592628972055918E-2</v>
      </c>
      <c r="P56" s="135">
        <v>-54819</v>
      </c>
      <c r="Q56" s="129">
        <f t="shared" si="9"/>
        <v>-3.4853845787039248E-2</v>
      </c>
      <c r="R56" s="129">
        <f t="shared" si="5"/>
        <v>0.17405551272166539</v>
      </c>
      <c r="S56" s="101"/>
    </row>
    <row r="57" spans="1:20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199">
        <v>-2137.6216936399992</v>
      </c>
      <c r="I57" s="177">
        <v>-2156</v>
      </c>
      <c r="J57" s="129">
        <f t="shared" si="6"/>
        <v>-4.0634914890962348E-4</v>
      </c>
      <c r="K57" s="177">
        <v>-416</v>
      </c>
      <c r="L57" s="129">
        <f t="shared" si="7"/>
        <v>-7.0526811547273483E-5</v>
      </c>
      <c r="M57" s="129">
        <f t="shared" si="4"/>
        <v>-0.80705009276437845</v>
      </c>
      <c r="N57" s="135">
        <v>276</v>
      </c>
      <c r="O57" s="129">
        <f t="shared" si="8"/>
        <v>2.2221291862176463E-4</v>
      </c>
      <c r="P57" s="135">
        <v>-1156</v>
      </c>
      <c r="Q57" s="129">
        <f t="shared" si="9"/>
        <v>-7.3498323081080225E-4</v>
      </c>
      <c r="R57" s="129">
        <f t="shared" si="5"/>
        <v>-5.1884057971014492</v>
      </c>
      <c r="S57" s="101"/>
    </row>
    <row r="58" spans="1:20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206">
        <f>+H55+H56+H57</f>
        <v>253511.34589881651</v>
      </c>
      <c r="I58" s="190">
        <f>+I55+I56+I57</f>
        <v>345507</v>
      </c>
      <c r="J58" s="139">
        <f t="shared" si="6"/>
        <v>6.5118958901816917E-2</v>
      </c>
      <c r="K58" s="190">
        <f>+K55+K56+K57</f>
        <v>380235</v>
      </c>
      <c r="L58" s="139">
        <f t="shared" si="7"/>
        <v>6.4463370645859455E-2</v>
      </c>
      <c r="M58" s="139">
        <f>+(K58-I58)/I58</f>
        <v>0.10051315892297406</v>
      </c>
      <c r="N58" s="136">
        <f>+N55+N56+N57</f>
        <v>79286</v>
      </c>
      <c r="O58" s="139">
        <f t="shared" si="8"/>
        <v>6.3834686470453733E-2</v>
      </c>
      <c r="P58" s="136">
        <f>+P55+P56+P57</f>
        <v>85055</v>
      </c>
      <c r="Q58" s="139">
        <f t="shared" si="9"/>
        <v>5.4077853543782681E-2</v>
      </c>
      <c r="R58" s="139">
        <f>+(P58-N58)/N58</f>
        <v>7.2761899957117265E-2</v>
      </c>
      <c r="S58" s="111"/>
      <c r="T58" s="85"/>
    </row>
    <row r="59" spans="1:20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200">
        <v>568131.17041880696</v>
      </c>
      <c r="I59" s="178">
        <v>671095</v>
      </c>
      <c r="J59" s="130">
        <f t="shared" si="6"/>
        <v>0.1264837115433691</v>
      </c>
      <c r="K59" s="178">
        <v>832827</v>
      </c>
      <c r="L59" s="130">
        <f t="shared" si="7"/>
        <v>0.14119382903961811</v>
      </c>
      <c r="M59" s="130">
        <f>+(K59-I59)/I59</f>
        <v>0.24099717625671477</v>
      </c>
      <c r="N59" s="137">
        <v>179705</v>
      </c>
      <c r="O59" s="130">
        <f t="shared" si="8"/>
        <v>0.14468395848160948</v>
      </c>
      <c r="P59" s="137">
        <v>218965</v>
      </c>
      <c r="Q59" s="130">
        <f t="shared" si="9"/>
        <v>0.13921764977031775</v>
      </c>
      <c r="R59" s="130">
        <f>+(P59-N59)/N59</f>
        <v>0.2184691577863721</v>
      </c>
      <c r="S59" s="111"/>
      <c r="T59" s="85"/>
    </row>
    <row r="60" spans="1:20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20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20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20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20" s="85" customFormat="1" x14ac:dyDescent="0.3">
      <c r="H64" s="81"/>
      <c r="I64" s="81"/>
      <c r="J64" s="81"/>
      <c r="K64" s="81"/>
      <c r="L64" s="89"/>
      <c r="M64" s="82"/>
      <c r="N64" s="101"/>
      <c r="O64" s="101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workbookViewId="0">
      <pane xSplit="1" ySplit="10" topLeftCell="G37" activePane="bottomRight" state="frozen"/>
      <selection pane="topRight" activeCell="B1" sqref="B1"/>
      <selection pane="bottomLeft" activeCell="A11" sqref="A11"/>
      <selection pane="bottomRight" activeCell="M37" sqref="M37:N50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20" x14ac:dyDescent="0.3">
      <c r="M1" s="75"/>
      <c r="N1" s="76"/>
      <c r="O1" s="76"/>
    </row>
    <row r="2" spans="1:20" x14ac:dyDescent="0.3">
      <c r="M2" s="75"/>
      <c r="N2" s="76"/>
      <c r="O2" s="76"/>
    </row>
    <row r="3" spans="1:20" x14ac:dyDescent="0.3">
      <c r="M3" s="75"/>
      <c r="N3" s="76"/>
      <c r="O3" s="76"/>
    </row>
    <row r="4" spans="1:20" x14ac:dyDescent="0.3">
      <c r="M4" s="75"/>
      <c r="N4" s="76"/>
      <c r="O4" s="76"/>
    </row>
    <row r="5" spans="1:20" x14ac:dyDescent="0.3">
      <c r="M5" s="75"/>
      <c r="N5" s="76"/>
      <c r="O5" s="76"/>
    </row>
    <row r="6" spans="1:20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20" ht="15.75" x14ac:dyDescent="0.3">
      <c r="A7" s="78" t="s">
        <v>102</v>
      </c>
      <c r="B7" s="78"/>
      <c r="C7" s="78"/>
      <c r="D7" s="78"/>
      <c r="E7" s="78"/>
      <c r="F7" s="78"/>
      <c r="G7" s="78"/>
      <c r="M7" s="75"/>
      <c r="N7" s="76"/>
      <c r="O7" s="76"/>
    </row>
    <row r="8" spans="1:20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20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98">
        <v>2011</v>
      </c>
      <c r="I10" s="157">
        <v>2012</v>
      </c>
      <c r="J10" s="145">
        <v>2013</v>
      </c>
      <c r="K10" s="158" t="s">
        <v>46</v>
      </c>
      <c r="L10" s="145">
        <v>2013</v>
      </c>
      <c r="M10" s="145">
        <v>2014</v>
      </c>
      <c r="N10" s="158" t="s">
        <v>46</v>
      </c>
    </row>
    <row r="11" spans="1:20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199">
        <v>94</v>
      </c>
      <c r="I11" s="135">
        <v>74</v>
      </c>
      <c r="J11" s="135">
        <v>58</v>
      </c>
      <c r="K11" s="129">
        <f>(J11-I11)/I11</f>
        <v>-0.21621621621621623</v>
      </c>
      <c r="L11" s="135">
        <v>186</v>
      </c>
      <c r="M11" s="135">
        <v>227</v>
      </c>
      <c r="N11" s="129">
        <f>IF(L11&lt;&gt;0,(M11-L11)/L11,0)</f>
        <v>0.22043010752688172</v>
      </c>
      <c r="O11" s="82"/>
    </row>
    <row r="12" spans="1:20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199">
        <v>3554895</v>
      </c>
      <c r="I12" s="135">
        <v>3748346</v>
      </c>
      <c r="J12" s="135">
        <v>4126523</v>
      </c>
      <c r="K12" s="129">
        <f t="shared" ref="K12:K13" si="0">(J12-I12)/I12</f>
        <v>0.10089169996579825</v>
      </c>
      <c r="L12" s="135">
        <v>3944362</v>
      </c>
      <c r="M12" s="135">
        <v>3988589</v>
      </c>
      <c r="N12" s="129">
        <f t="shared" ref="N12:N17" si="1">IF(L12&lt;&gt;0,(M12-L12)/L12,0)</f>
        <v>1.1212713234738596E-2</v>
      </c>
      <c r="O12" s="82"/>
    </row>
    <row r="13" spans="1:20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199">
        <v>10662</v>
      </c>
      <c r="I13" s="135">
        <v>14922</v>
      </c>
      <c r="J13" s="135">
        <v>18191</v>
      </c>
      <c r="K13" s="129">
        <f t="shared" si="0"/>
        <v>0.21907251038734754</v>
      </c>
      <c r="L13" s="135">
        <v>27401</v>
      </c>
      <c r="M13" s="135">
        <v>28809</v>
      </c>
      <c r="N13" s="129">
        <f t="shared" si="1"/>
        <v>5.1384985949417906E-2</v>
      </c>
      <c r="O13" s="82"/>
      <c r="P13" s="85"/>
      <c r="R13" s="85"/>
      <c r="S13" s="85"/>
      <c r="T13" s="85"/>
    </row>
    <row r="14" spans="1:20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199">
        <v>0</v>
      </c>
      <c r="I14" s="135">
        <v>0</v>
      </c>
      <c r="J14" s="135">
        <v>0</v>
      </c>
      <c r="K14" s="129">
        <v>0</v>
      </c>
      <c r="L14" s="135">
        <v>0</v>
      </c>
      <c r="M14" s="135">
        <v>0</v>
      </c>
      <c r="N14" s="129">
        <f t="shared" si="1"/>
        <v>0</v>
      </c>
      <c r="O14" s="82"/>
      <c r="P14" s="85"/>
      <c r="R14" s="85"/>
      <c r="S14" s="85"/>
      <c r="T14" s="85"/>
    </row>
    <row r="15" spans="1:20" s="89" customFormat="1" x14ac:dyDescent="0.3">
      <c r="A15" s="88" t="s">
        <v>83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199">
        <f>503+155</f>
        <v>658</v>
      </c>
      <c r="I15" s="135">
        <v>118</v>
      </c>
      <c r="J15" s="135">
        <v>4612</v>
      </c>
      <c r="K15" s="197" t="s">
        <v>116</v>
      </c>
      <c r="L15" s="135">
        <v>4751</v>
      </c>
      <c r="M15" s="135">
        <v>7341</v>
      </c>
      <c r="N15" s="129">
        <f t="shared" si="1"/>
        <v>0.545148389812671</v>
      </c>
      <c r="O15" s="82"/>
      <c r="P15" s="85"/>
      <c r="R15" s="85"/>
      <c r="S15" s="85"/>
      <c r="T15" s="85"/>
    </row>
    <row r="16" spans="1:20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199">
        <v>2979150</v>
      </c>
      <c r="I16" s="135">
        <v>3733696</v>
      </c>
      <c r="J16" s="135">
        <v>3357714</v>
      </c>
      <c r="K16" s="129">
        <f>(J16-I16)/I16</f>
        <v>-0.10069968203088843</v>
      </c>
      <c r="L16" s="135">
        <v>3866241</v>
      </c>
      <c r="M16" s="135">
        <v>4000383</v>
      </c>
      <c r="N16" s="129">
        <f t="shared" si="1"/>
        <v>3.4695716071502007E-2</v>
      </c>
      <c r="O16" s="82"/>
      <c r="P16" s="85"/>
      <c r="R16" s="85"/>
      <c r="S16" s="85"/>
      <c r="T16" s="85"/>
    </row>
    <row r="17" spans="1:20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2">SUM(F11:F16)</f>
        <v>5514960</v>
      </c>
      <c r="G17" s="91">
        <f t="shared" si="2"/>
        <v>6403741</v>
      </c>
      <c r="H17" s="200">
        <f>SUM(H11:H16)</f>
        <v>6545459</v>
      </c>
      <c r="I17" s="137">
        <f>SUM(I11:I16)</f>
        <v>7497156</v>
      </c>
      <c r="J17" s="137">
        <f>SUM(J11:J16)</f>
        <v>7507098</v>
      </c>
      <c r="K17" s="159">
        <f>(J17-I17)/I17</f>
        <v>1.3261028582038309E-3</v>
      </c>
      <c r="L17" s="137">
        <f>SUM(L11:L16)</f>
        <v>7842941</v>
      </c>
      <c r="M17" s="137">
        <f>SUM(M11:M16)</f>
        <v>8025349</v>
      </c>
      <c r="N17" s="159">
        <f t="shared" si="1"/>
        <v>2.3257601963345129E-2</v>
      </c>
      <c r="O17" s="82"/>
      <c r="P17" s="85"/>
      <c r="R17" s="85"/>
      <c r="S17" s="85"/>
      <c r="T17" s="85"/>
    </row>
    <row r="18" spans="1:20" s="85" customFormat="1" x14ac:dyDescent="0.3">
      <c r="B18" s="81"/>
      <c r="C18" s="81"/>
      <c r="D18" s="81"/>
      <c r="E18" s="81"/>
      <c r="F18" s="81"/>
      <c r="G18" s="81"/>
      <c r="H18" s="199"/>
      <c r="I18" s="135"/>
      <c r="J18" s="135"/>
      <c r="K18" s="129"/>
      <c r="L18" s="135"/>
      <c r="M18" s="135"/>
      <c r="N18" s="129"/>
      <c r="O18" s="107"/>
    </row>
    <row r="19" spans="1:20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207"/>
      <c r="I19" s="161"/>
      <c r="J19" s="161"/>
      <c r="K19" s="162"/>
      <c r="L19" s="161"/>
      <c r="M19" s="161"/>
      <c r="N19" s="162"/>
      <c r="O19" s="107"/>
      <c r="P19" s="85"/>
      <c r="R19" s="85"/>
      <c r="S19" s="85"/>
      <c r="T19" s="85"/>
    </row>
    <row r="20" spans="1:20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199">
        <v>0</v>
      </c>
      <c r="I20" s="135">
        <v>7</v>
      </c>
      <c r="J20" s="135">
        <v>0</v>
      </c>
      <c r="K20" s="129">
        <f>(J20-I20)/I20</f>
        <v>-1</v>
      </c>
      <c r="L20" s="135">
        <v>0</v>
      </c>
      <c r="M20" s="135">
        <v>0</v>
      </c>
      <c r="N20" s="129">
        <f t="shared" ref="N20:N28" si="3">IF(L20&lt;&gt;0,(M20-L20)/L20,0)</f>
        <v>0</v>
      </c>
      <c r="O20" s="82"/>
      <c r="P20" s="85"/>
      <c r="R20" s="85"/>
      <c r="S20" s="85"/>
      <c r="T20" s="85"/>
    </row>
    <row r="21" spans="1:20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199">
        <v>59466</v>
      </c>
      <c r="I21" s="135">
        <v>65083</v>
      </c>
      <c r="J21" s="135">
        <v>70701</v>
      </c>
      <c r="K21" s="129">
        <f>(J21-I21)/I21</f>
        <v>8.6320544535439359E-2</v>
      </c>
      <c r="L21" s="135">
        <v>119625</v>
      </c>
      <c r="M21" s="135">
        <v>124033</v>
      </c>
      <c r="N21" s="129">
        <f t="shared" si="3"/>
        <v>3.6848484848484846E-2</v>
      </c>
      <c r="O21" s="82"/>
      <c r="P21" s="85"/>
      <c r="R21" s="85"/>
      <c r="S21" s="85"/>
      <c r="T21" s="85"/>
    </row>
    <row r="22" spans="1:20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199">
        <v>585</v>
      </c>
      <c r="I22" s="135">
        <v>657</v>
      </c>
      <c r="J22" s="135">
        <v>2299</v>
      </c>
      <c r="K22" s="129">
        <f t="shared" ref="K22:K26" si="4">(J22-I22)/I22</f>
        <v>2.4992389649923896</v>
      </c>
      <c r="L22" s="135">
        <v>1901</v>
      </c>
      <c r="M22" s="135">
        <v>1425</v>
      </c>
      <c r="N22" s="129">
        <f t="shared" si="3"/>
        <v>-0.25039452919516042</v>
      </c>
      <c r="O22" s="82"/>
    </row>
    <row r="23" spans="1:20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199">
        <v>872</v>
      </c>
      <c r="I23" s="135">
        <v>481</v>
      </c>
      <c r="J23" s="135">
        <v>932</v>
      </c>
      <c r="K23" s="129">
        <f t="shared" si="4"/>
        <v>0.93762993762993763</v>
      </c>
      <c r="L23" s="135">
        <v>112</v>
      </c>
      <c r="M23" s="135">
        <v>72</v>
      </c>
      <c r="N23" s="129">
        <f t="shared" si="3"/>
        <v>-0.35714285714285715</v>
      </c>
      <c r="O23" s="82"/>
    </row>
    <row r="24" spans="1:20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199">
        <v>0</v>
      </c>
      <c r="I24" s="135">
        <v>0</v>
      </c>
      <c r="J24" s="135">
        <v>0</v>
      </c>
      <c r="K24" s="129">
        <v>0</v>
      </c>
      <c r="L24" s="135">
        <v>2369</v>
      </c>
      <c r="M24" s="135">
        <v>1028</v>
      </c>
      <c r="N24" s="129">
        <f t="shared" si="3"/>
        <v>-0.56606162937948501</v>
      </c>
      <c r="O24" s="82"/>
    </row>
    <row r="25" spans="1:20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199">
        <v>8296</v>
      </c>
      <c r="I25" s="135">
        <v>8803</v>
      </c>
      <c r="J25" s="135">
        <v>9622</v>
      </c>
      <c r="K25" s="129">
        <f t="shared" si="4"/>
        <v>9.3036464841531302E-2</v>
      </c>
      <c r="L25" s="135">
        <v>19244</v>
      </c>
      <c r="M25" s="135">
        <v>21476</v>
      </c>
      <c r="N25" s="129">
        <f t="shared" si="3"/>
        <v>0.11598420286842652</v>
      </c>
      <c r="O25" s="82"/>
    </row>
    <row r="26" spans="1:20" s="95" customFormat="1" x14ac:dyDescent="0.3">
      <c r="A26" s="93" t="s">
        <v>33</v>
      </c>
      <c r="B26" s="80">
        <f t="shared" ref="B26:G26" si="5">SUM(B20:B25)</f>
        <v>43329</v>
      </c>
      <c r="C26" s="80">
        <f t="shared" si="5"/>
        <v>63235</v>
      </c>
      <c r="D26" s="80">
        <f t="shared" si="5"/>
        <v>73581</v>
      </c>
      <c r="E26" s="80">
        <f t="shared" si="5"/>
        <v>83903</v>
      </c>
      <c r="F26" s="80">
        <f t="shared" si="5"/>
        <v>115757</v>
      </c>
      <c r="G26" s="80">
        <f t="shared" si="5"/>
        <v>80066</v>
      </c>
      <c r="H26" s="202">
        <f>SUM(H20:H25)</f>
        <v>69219</v>
      </c>
      <c r="I26" s="134">
        <f>SUM(I20:I25)</f>
        <v>75031</v>
      </c>
      <c r="J26" s="134">
        <f>SUM(J20:J25)</f>
        <v>83554</v>
      </c>
      <c r="K26" s="129">
        <f t="shared" si="4"/>
        <v>0.11359304820674121</v>
      </c>
      <c r="L26" s="134">
        <f>SUM(L20:L25)</f>
        <v>143251</v>
      </c>
      <c r="M26" s="134">
        <f>SUM(M20:M25)</f>
        <v>148034</v>
      </c>
      <c r="N26" s="138">
        <f t="shared" si="3"/>
        <v>3.3388946674019725E-2</v>
      </c>
      <c r="O26" s="82"/>
      <c r="P26" s="85"/>
      <c r="R26" s="85"/>
      <c r="S26" s="85"/>
      <c r="T26" s="85"/>
    </row>
    <row r="27" spans="1:20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203">
        <v>6476240</v>
      </c>
      <c r="I27" s="163">
        <f>+I17-I26</f>
        <v>7422125</v>
      </c>
      <c r="J27" s="163">
        <f>+J17-J26</f>
        <v>7423544</v>
      </c>
      <c r="K27" s="131">
        <f>(J27-I27)/I27</f>
        <v>1.9118513902689595E-4</v>
      </c>
      <c r="L27" s="163">
        <f>+L17-L26</f>
        <v>7699690</v>
      </c>
      <c r="M27" s="163">
        <f>+M17-M26</f>
        <v>7877315</v>
      </c>
      <c r="N27" s="131">
        <f t="shared" si="3"/>
        <v>2.3069110574581574E-2</v>
      </c>
      <c r="O27" s="82"/>
      <c r="P27" s="85"/>
      <c r="R27" s="85"/>
      <c r="S27" s="85"/>
      <c r="T27" s="85"/>
    </row>
    <row r="28" spans="1:20" s="95" customFormat="1" ht="15.75" thickBot="1" x14ac:dyDescent="0.35">
      <c r="A28" s="90" t="s">
        <v>35</v>
      </c>
      <c r="B28" s="91">
        <f t="shared" ref="B28:G28" si="6">+B26+B27</f>
        <v>3744102</v>
      </c>
      <c r="C28" s="91">
        <f t="shared" si="6"/>
        <v>4028640</v>
      </c>
      <c r="D28" s="91">
        <f t="shared" si="6"/>
        <v>4241740</v>
      </c>
      <c r="E28" s="91">
        <f t="shared" si="6"/>
        <v>3957512</v>
      </c>
      <c r="F28" s="91">
        <f t="shared" si="6"/>
        <v>5514960</v>
      </c>
      <c r="G28" s="91">
        <f t="shared" si="6"/>
        <v>6403741</v>
      </c>
      <c r="H28" s="200">
        <f>+H26+H27</f>
        <v>6545459</v>
      </c>
      <c r="I28" s="137">
        <f>+I26+I27</f>
        <v>7497156</v>
      </c>
      <c r="J28" s="137">
        <f>+J26+J27</f>
        <v>7507098</v>
      </c>
      <c r="K28" s="130">
        <f>(J28-I28)/I28</f>
        <v>1.3261028582038309E-3</v>
      </c>
      <c r="L28" s="137">
        <f>+L26+L27</f>
        <v>7842941</v>
      </c>
      <c r="M28" s="137">
        <f>+M26+M27</f>
        <v>8025349</v>
      </c>
      <c r="N28" s="130">
        <f t="shared" si="3"/>
        <v>2.3257601963345129E-2</v>
      </c>
      <c r="O28" s="82"/>
      <c r="P28" s="85"/>
      <c r="R28" s="85"/>
      <c r="S28" s="85"/>
      <c r="T28" s="85"/>
    </row>
    <row r="29" spans="1:20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199">
        <f>435123458+25000000</f>
        <v>460123458</v>
      </c>
      <c r="I29" s="135">
        <f>435123458+25000000</f>
        <v>460123458</v>
      </c>
      <c r="J29" s="135">
        <f>435123458+25000000</f>
        <v>460123458</v>
      </c>
      <c r="K29" s="129"/>
      <c r="L29" s="135">
        <f>435123458+25000000</f>
        <v>460123458</v>
      </c>
      <c r="M29" s="135">
        <f>435123458+25000000</f>
        <v>460123458</v>
      </c>
      <c r="N29" s="129"/>
      <c r="O29" s="107"/>
    </row>
    <row r="30" spans="1:20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7">+F27/+(F29/1000000)</f>
        <v>12408.439261851976</v>
      </c>
      <c r="G30" s="100">
        <f t="shared" si="7"/>
        <v>14533.059258781675</v>
      </c>
      <c r="H30" s="208">
        <f>+H27/+(H29/1000000)</f>
        <v>14075.005060924323</v>
      </c>
      <c r="I30" s="165">
        <f>+I27/+(I29/1000000)</f>
        <v>16130.725071617626</v>
      </c>
      <c r="J30" s="165">
        <f>+J27/+(J29/1000000)</f>
        <v>16133.809026533047</v>
      </c>
      <c r="K30" s="129"/>
      <c r="L30" s="165">
        <f>+L27/+(L29/1000000)</f>
        <v>16733.965343709991</v>
      </c>
      <c r="M30" s="165">
        <f>+M27/+(M29/1000000)</f>
        <v>17120.003040575251</v>
      </c>
      <c r="N30" s="129"/>
      <c r="O30" s="107"/>
    </row>
    <row r="31" spans="1:20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N31" s="107"/>
    </row>
    <row r="32" spans="1:20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N32" s="107"/>
    </row>
    <row r="33" spans="1:22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109"/>
      <c r="O33" s="76"/>
    </row>
    <row r="34" spans="1:22" ht="15.75" x14ac:dyDescent="0.3">
      <c r="A34" s="78" t="s">
        <v>130</v>
      </c>
      <c r="B34" s="78"/>
      <c r="C34" s="78"/>
      <c r="D34" s="78"/>
      <c r="E34" s="78"/>
      <c r="F34" s="78"/>
      <c r="G34" s="78"/>
      <c r="M34" s="75"/>
      <c r="N34" s="109"/>
      <c r="O34" s="76"/>
    </row>
    <row r="35" spans="1:22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109"/>
      <c r="O35" s="76"/>
    </row>
    <row r="36" spans="1:22" s="85" customFormat="1" x14ac:dyDescent="0.3">
      <c r="H36" s="81"/>
      <c r="I36" s="81"/>
      <c r="J36" s="81"/>
      <c r="K36" s="81"/>
      <c r="L36" s="82"/>
      <c r="N36" s="107"/>
    </row>
    <row r="37" spans="1:22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98">
        <v>2011</v>
      </c>
      <c r="I37" s="156">
        <v>2012</v>
      </c>
      <c r="J37" s="210">
        <v>2013</v>
      </c>
      <c r="K37" s="145" t="s">
        <v>95</v>
      </c>
      <c r="L37" s="145" t="s">
        <v>124</v>
      </c>
      <c r="M37" s="145" t="s">
        <v>100</v>
      </c>
      <c r="N37" s="145" t="s">
        <v>127</v>
      </c>
      <c r="O37" s="167" t="s">
        <v>46</v>
      </c>
      <c r="P37" s="145" t="s">
        <v>109</v>
      </c>
      <c r="Q37" s="145" t="s">
        <v>128</v>
      </c>
      <c r="R37" s="167" t="s">
        <v>46</v>
      </c>
      <c r="T37" s="107"/>
    </row>
    <row r="38" spans="1:22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202">
        <v>223644</v>
      </c>
      <c r="I38" s="80">
        <v>312990</v>
      </c>
      <c r="J38" s="211">
        <v>344939</v>
      </c>
      <c r="K38" s="134">
        <v>77093</v>
      </c>
      <c r="L38" s="134">
        <v>78232</v>
      </c>
      <c r="M38" s="134">
        <f t="shared" ref="M38:N41" si="8">+P38-K38</f>
        <v>88356</v>
      </c>
      <c r="N38" s="134">
        <f t="shared" si="8"/>
        <v>74755</v>
      </c>
      <c r="O38" s="129">
        <f>(N38-M38)/M38</f>
        <v>-0.15393408483860746</v>
      </c>
      <c r="P38" s="134">
        <v>165449</v>
      </c>
      <c r="Q38" s="134">
        <v>152987</v>
      </c>
      <c r="R38" s="129">
        <f>IF(P38&lt;&gt;0,(Q38-P38)/P38,0)</f>
        <v>-7.5322304758566078E-2</v>
      </c>
      <c r="S38" s="169"/>
      <c r="T38" s="85"/>
      <c r="U38" s="85"/>
      <c r="V38" s="85"/>
    </row>
    <row r="39" spans="1:22" s="85" customFormat="1" x14ac:dyDescent="0.3">
      <c r="A39" s="85" t="s">
        <v>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199">
        <v>11024</v>
      </c>
      <c r="I39" s="81">
        <v>0</v>
      </c>
      <c r="J39" s="212">
        <v>-176</v>
      </c>
      <c r="K39" s="135">
        <v>0</v>
      </c>
      <c r="L39" s="135">
        <v>640</v>
      </c>
      <c r="M39" s="135">
        <f t="shared" si="8"/>
        <v>-176</v>
      </c>
      <c r="N39" s="135">
        <f t="shared" si="8"/>
        <v>0</v>
      </c>
      <c r="O39" s="129">
        <f t="shared" ref="O39:O49" si="9">(N39-M39)/M39</f>
        <v>-1</v>
      </c>
      <c r="P39" s="135">
        <v>-176</v>
      </c>
      <c r="Q39" s="135">
        <v>640</v>
      </c>
      <c r="R39" s="129">
        <f t="shared" ref="R39:R49" si="10">IF(P39&lt;&gt;0,(Q39-P39)/P39,0)</f>
        <v>-4.6363636363636367</v>
      </c>
      <c r="S39" s="169"/>
    </row>
    <row r="40" spans="1:22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199">
        <v>33432</v>
      </c>
      <c r="I40" s="81">
        <v>35105</v>
      </c>
      <c r="J40" s="212">
        <v>39426</v>
      </c>
      <c r="K40" s="135">
        <v>8803</v>
      </c>
      <c r="L40" s="135">
        <v>9622</v>
      </c>
      <c r="M40" s="135">
        <f t="shared" si="8"/>
        <v>9861</v>
      </c>
      <c r="N40" s="135">
        <f t="shared" si="8"/>
        <v>10926</v>
      </c>
      <c r="O40" s="129">
        <f t="shared" si="9"/>
        <v>0.10800121691512017</v>
      </c>
      <c r="P40" s="135">
        <v>18664</v>
      </c>
      <c r="Q40" s="135">
        <v>20548</v>
      </c>
      <c r="R40" s="129">
        <f t="shared" si="10"/>
        <v>0.10094299185597942</v>
      </c>
      <c r="S40" s="169"/>
      <c r="T40" s="85"/>
      <c r="U40" s="85"/>
      <c r="V40" s="85"/>
    </row>
    <row r="41" spans="1:22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199">
        <v>7221</v>
      </c>
      <c r="I41" s="81">
        <v>8379</v>
      </c>
      <c r="J41" s="212">
        <v>14465</v>
      </c>
      <c r="K41" s="135">
        <v>2650</v>
      </c>
      <c r="L41" s="135">
        <v>3254</v>
      </c>
      <c r="M41" s="135">
        <f t="shared" si="8"/>
        <v>2920</v>
      </c>
      <c r="N41" s="135">
        <f t="shared" si="8"/>
        <v>3379</v>
      </c>
      <c r="O41" s="129">
        <f t="shared" si="9"/>
        <v>0.15719178082191781</v>
      </c>
      <c r="P41" s="135">
        <v>5570</v>
      </c>
      <c r="Q41" s="135">
        <v>6633</v>
      </c>
      <c r="R41" s="129">
        <f t="shared" si="10"/>
        <v>0.19084380610412927</v>
      </c>
      <c r="S41" s="169"/>
      <c r="T41" s="85"/>
      <c r="U41" s="85"/>
      <c r="V41" s="85"/>
    </row>
    <row r="42" spans="1:22" s="95" customFormat="1" x14ac:dyDescent="0.3">
      <c r="A42" s="95" t="s">
        <v>4</v>
      </c>
      <c r="B42" s="80">
        <f t="shared" ref="B42:G42" si="11">SUM(B38:B41)</f>
        <v>190916</v>
      </c>
      <c r="C42" s="80">
        <f t="shared" si="11"/>
        <v>244001</v>
      </c>
      <c r="D42" s="80">
        <f t="shared" si="11"/>
        <v>251869</v>
      </c>
      <c r="E42" s="80">
        <f t="shared" si="11"/>
        <v>299526</v>
      </c>
      <c r="F42" s="80">
        <f t="shared" si="11"/>
        <v>235968</v>
      </c>
      <c r="G42" s="80">
        <f t="shared" si="11"/>
        <v>285499</v>
      </c>
      <c r="H42" s="202">
        <f>SUM(H38:H41)</f>
        <v>275321</v>
      </c>
      <c r="I42" s="80">
        <f>SUM(I38:I41)</f>
        <v>356474</v>
      </c>
      <c r="J42" s="211">
        <f t="shared" ref="J42" si="12">SUM(J38:J41)</f>
        <v>398654</v>
      </c>
      <c r="K42" s="134">
        <f>SUM(K38:K41)</f>
        <v>88546</v>
      </c>
      <c r="L42" s="134">
        <f>SUM(L38:L41)</f>
        <v>91748</v>
      </c>
      <c r="M42" s="134">
        <f>SUM(M38:M41)</f>
        <v>100961</v>
      </c>
      <c r="N42" s="134">
        <f>SUM(N38:N41)</f>
        <v>89060</v>
      </c>
      <c r="O42" s="129">
        <f t="shared" si="9"/>
        <v>-0.117877200106972</v>
      </c>
      <c r="P42" s="134">
        <f>SUM(P38:P41)</f>
        <v>189507</v>
      </c>
      <c r="Q42" s="134">
        <f>SUM(Q38:Q41)</f>
        <v>180808</v>
      </c>
      <c r="R42" s="129">
        <f t="shared" si="10"/>
        <v>-4.5903317555552041E-2</v>
      </c>
      <c r="S42" s="169"/>
      <c r="T42" s="85"/>
      <c r="U42" s="85"/>
      <c r="V42" s="85"/>
    </row>
    <row r="43" spans="1:22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199">
        <v>-9004</v>
      </c>
      <c r="I43" s="81">
        <v>-10090</v>
      </c>
      <c r="J43" s="212">
        <v>-13551</v>
      </c>
      <c r="K43" s="135">
        <f>-2393-5938</f>
        <v>-8331</v>
      </c>
      <c r="L43" s="135">
        <v>-6805</v>
      </c>
      <c r="M43" s="135">
        <f>+P43-K43</f>
        <v>1646</v>
      </c>
      <c r="N43" s="135">
        <f>+Q43-L43</f>
        <v>-6216</v>
      </c>
      <c r="O43" s="129">
        <f t="shared" si="9"/>
        <v>-4.7764277035236935</v>
      </c>
      <c r="P43" s="135">
        <v>-6685</v>
      </c>
      <c r="Q43" s="135">
        <v>-13021</v>
      </c>
      <c r="R43" s="129">
        <f t="shared" si="10"/>
        <v>0.9477935676888557</v>
      </c>
      <c r="S43" s="169"/>
    </row>
    <row r="44" spans="1:22" s="95" customFormat="1" x14ac:dyDescent="0.3">
      <c r="A44" s="95" t="s">
        <v>42</v>
      </c>
      <c r="B44" s="80">
        <f t="shared" ref="B44:G44" si="13">SUM(B42:B43)</f>
        <v>168810</v>
      </c>
      <c r="C44" s="80">
        <f t="shared" si="13"/>
        <v>202580</v>
      </c>
      <c r="D44" s="80">
        <f t="shared" si="13"/>
        <v>244681</v>
      </c>
      <c r="E44" s="80">
        <f t="shared" si="13"/>
        <v>290753</v>
      </c>
      <c r="F44" s="80">
        <f t="shared" si="13"/>
        <v>227228</v>
      </c>
      <c r="G44" s="80">
        <f t="shared" si="13"/>
        <v>273936</v>
      </c>
      <c r="H44" s="202">
        <f>SUM(H42:H43)</f>
        <v>266317</v>
      </c>
      <c r="I44" s="80">
        <f>SUM(I42:I43)</f>
        <v>346384</v>
      </c>
      <c r="J44" s="211">
        <f t="shared" ref="J44" si="14">SUM(J42:J43)</f>
        <v>385103</v>
      </c>
      <c r="K44" s="134">
        <f>SUM(K42:K43)</f>
        <v>80215</v>
      </c>
      <c r="L44" s="134">
        <f>SUM(L42:L43)</f>
        <v>84943</v>
      </c>
      <c r="M44" s="134">
        <f>SUM(M42:M43)</f>
        <v>102607</v>
      </c>
      <c r="N44" s="134">
        <f>SUM(N42:N43)</f>
        <v>82844</v>
      </c>
      <c r="O44" s="129">
        <f t="shared" si="9"/>
        <v>-0.19260869141481576</v>
      </c>
      <c r="P44" s="134">
        <f>SUM(P42:P43)</f>
        <v>182822</v>
      </c>
      <c r="Q44" s="134">
        <f>SUM(Q42:Q43)</f>
        <v>167787</v>
      </c>
      <c r="R44" s="129">
        <f t="shared" si="10"/>
        <v>-8.2238461454310754E-2</v>
      </c>
      <c r="S44" s="169"/>
      <c r="T44" s="85"/>
      <c r="U44" s="85"/>
      <c r="V44" s="85"/>
    </row>
    <row r="45" spans="1:22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199">
        <v>814</v>
      </c>
      <c r="I45" s="81">
        <v>851</v>
      </c>
      <c r="J45" s="212">
        <v>203</v>
      </c>
      <c r="K45" s="135">
        <v>61</v>
      </c>
      <c r="L45" s="135">
        <v>7</v>
      </c>
      <c r="M45" s="135">
        <f>+P45-K45</f>
        <v>51</v>
      </c>
      <c r="N45" s="135">
        <f>+Q45-L45</f>
        <v>1655</v>
      </c>
      <c r="O45" s="197" t="s">
        <v>131</v>
      </c>
      <c r="P45" s="135">
        <v>112</v>
      </c>
      <c r="Q45" s="135">
        <v>1662</v>
      </c>
      <c r="R45" s="197" t="s">
        <v>131</v>
      </c>
      <c r="S45" s="169"/>
      <c r="T45" s="85"/>
      <c r="U45" s="85"/>
      <c r="V45" s="85"/>
    </row>
    <row r="46" spans="1:22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199">
        <v>-11022</v>
      </c>
      <c r="I46" s="81">
        <v>-1390</v>
      </c>
      <c r="J46" s="212">
        <v>-2974</v>
      </c>
      <c r="K46" s="135">
        <v>-127</v>
      </c>
      <c r="L46" s="135">
        <v>-10</v>
      </c>
      <c r="M46" s="135">
        <f>+P46-K46</f>
        <v>-2839</v>
      </c>
      <c r="N46" s="135">
        <f>+Q46-L46</f>
        <v>-8</v>
      </c>
      <c r="O46" s="129">
        <f t="shared" si="9"/>
        <v>-0.99718210637548432</v>
      </c>
      <c r="P46" s="135">
        <v>-2966</v>
      </c>
      <c r="Q46" s="135">
        <v>-18</v>
      </c>
      <c r="R46" s="129">
        <f t="shared" si="10"/>
        <v>-0.99393122049898852</v>
      </c>
      <c r="S46" s="169"/>
    </row>
    <row r="47" spans="1:22" s="95" customFormat="1" x14ac:dyDescent="0.3">
      <c r="A47" s="95" t="s">
        <v>43</v>
      </c>
      <c r="B47" s="80">
        <f t="shared" ref="B47:G47" si="15">SUM(B44:B46)</f>
        <v>172912</v>
      </c>
      <c r="C47" s="80">
        <f t="shared" si="15"/>
        <v>210911</v>
      </c>
      <c r="D47" s="80">
        <f t="shared" si="15"/>
        <v>244482</v>
      </c>
      <c r="E47" s="80">
        <f t="shared" si="15"/>
        <v>291080</v>
      </c>
      <c r="F47" s="80">
        <f t="shared" si="15"/>
        <v>225701</v>
      </c>
      <c r="G47" s="80">
        <f t="shared" si="15"/>
        <v>280279</v>
      </c>
      <c r="H47" s="202">
        <f>SUM(H44:H46)</f>
        <v>256109</v>
      </c>
      <c r="I47" s="80">
        <f>SUM(I44:I46)</f>
        <v>345845</v>
      </c>
      <c r="J47" s="211">
        <f t="shared" ref="J47" si="16">SUM(J44:J46)</f>
        <v>382332</v>
      </c>
      <c r="K47" s="134">
        <f>SUM(K44:K46)</f>
        <v>80149</v>
      </c>
      <c r="L47" s="134">
        <f>SUM(L44:L46)</f>
        <v>84940</v>
      </c>
      <c r="M47" s="134">
        <f>SUM(M44:M46)</f>
        <v>99819</v>
      </c>
      <c r="N47" s="134">
        <f>SUM(N44:N46)</f>
        <v>84491</v>
      </c>
      <c r="O47" s="129">
        <f t="shared" si="9"/>
        <v>-0.15355793987116681</v>
      </c>
      <c r="P47" s="134">
        <f>SUM(P44:P46)</f>
        <v>179968</v>
      </c>
      <c r="Q47" s="134">
        <f>SUM(Q44:Q46)</f>
        <v>169431</v>
      </c>
      <c r="R47" s="129">
        <f t="shared" si="10"/>
        <v>-5.8549297652916076E-2</v>
      </c>
      <c r="S47" s="169"/>
      <c r="T47" s="85"/>
      <c r="U47" s="85"/>
      <c r="V47" s="85"/>
    </row>
    <row r="48" spans="1:22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199">
        <v>-127</v>
      </c>
      <c r="I48" s="81">
        <v>-361</v>
      </c>
      <c r="J48" s="212">
        <v>-2436</v>
      </c>
      <c r="K48" s="135">
        <v>-2289</v>
      </c>
      <c r="L48" s="135">
        <v>-54</v>
      </c>
      <c r="M48" s="135">
        <f>+P48-K48</f>
        <v>911</v>
      </c>
      <c r="N48" s="135">
        <f>+Q48-L48</f>
        <v>-26</v>
      </c>
      <c r="O48" s="129">
        <f t="shared" si="9"/>
        <v>-1.0285400658616906</v>
      </c>
      <c r="P48" s="135">
        <v>-1378</v>
      </c>
      <c r="Q48" s="135">
        <v>-80</v>
      </c>
      <c r="R48" s="129">
        <f t="shared" si="10"/>
        <v>-0.94194484760522501</v>
      </c>
      <c r="S48" s="169"/>
    </row>
    <row r="49" spans="1:19" s="85" customFormat="1" ht="15.75" thickBot="1" x14ac:dyDescent="0.35">
      <c r="A49" s="102" t="s">
        <v>17</v>
      </c>
      <c r="B49" s="103">
        <f t="shared" ref="B49:G49" si="17">SUM(B47:B48)</f>
        <v>169411</v>
      </c>
      <c r="C49" s="103">
        <f t="shared" si="17"/>
        <v>210697</v>
      </c>
      <c r="D49" s="103">
        <f t="shared" si="17"/>
        <v>244292</v>
      </c>
      <c r="E49" s="103">
        <f t="shared" si="17"/>
        <v>291006</v>
      </c>
      <c r="F49" s="103">
        <f t="shared" si="17"/>
        <v>225496</v>
      </c>
      <c r="G49" s="103">
        <f t="shared" si="17"/>
        <v>278403</v>
      </c>
      <c r="H49" s="209">
        <f>SUM(H47:H48)</f>
        <v>255982</v>
      </c>
      <c r="I49" s="103">
        <f>SUM(I47:I48)</f>
        <v>345484</v>
      </c>
      <c r="J49" s="213">
        <f t="shared" ref="J49" si="18">SUM(J47:J48)</f>
        <v>379896</v>
      </c>
      <c r="K49" s="166">
        <f>SUM(K47:K48)</f>
        <v>77860</v>
      </c>
      <c r="L49" s="166">
        <f>SUM(L47:L48)</f>
        <v>84886</v>
      </c>
      <c r="M49" s="166">
        <f>SUM(M47:M48)</f>
        <v>100730</v>
      </c>
      <c r="N49" s="166">
        <f>SUM(N47:N48)</f>
        <v>84465</v>
      </c>
      <c r="O49" s="130">
        <f t="shared" si="9"/>
        <v>-0.16147125980343494</v>
      </c>
      <c r="P49" s="166">
        <f>SUM(P47:P48)</f>
        <v>178590</v>
      </c>
      <c r="Q49" s="166">
        <f>SUM(Q47:Q48)</f>
        <v>169351</v>
      </c>
      <c r="R49" s="130">
        <f t="shared" si="10"/>
        <v>-5.1733019765944341E-2</v>
      </c>
      <c r="S49" s="169"/>
    </row>
    <row r="50" spans="1:19" s="85" customFormat="1" x14ac:dyDescent="0.3">
      <c r="C50" s="80"/>
      <c r="H50" s="81"/>
      <c r="I50" s="81"/>
      <c r="J50" s="81"/>
      <c r="K50" s="81"/>
      <c r="L50" s="82"/>
    </row>
    <row r="51" spans="1:19" s="85" customFormat="1" x14ac:dyDescent="0.3">
      <c r="A51" s="85" t="s">
        <v>53</v>
      </c>
      <c r="C51" s="81"/>
      <c r="H51" s="81"/>
      <c r="I51" s="81"/>
      <c r="J51" s="81"/>
      <c r="K51" s="81"/>
      <c r="L51" s="82"/>
    </row>
    <row r="52" spans="1:19" s="85" customFormat="1" x14ac:dyDescent="0.3">
      <c r="C52" s="81"/>
      <c r="E52" s="80"/>
      <c r="H52" s="81"/>
      <c r="I52" s="81"/>
      <c r="J52" s="81"/>
      <c r="K52" s="81"/>
      <c r="L52" s="82"/>
    </row>
    <row r="53" spans="1:19" s="85" customFormat="1" x14ac:dyDescent="0.3">
      <c r="C53" s="81"/>
      <c r="E53" s="81"/>
      <c r="H53" s="81"/>
      <c r="I53" s="81"/>
      <c r="J53" s="81"/>
      <c r="K53" s="81"/>
      <c r="L53" s="82"/>
    </row>
    <row r="54" spans="1:19" s="85" customFormat="1" x14ac:dyDescent="0.3">
      <c r="C54" s="80"/>
      <c r="E54" s="81"/>
      <c r="H54" s="81"/>
      <c r="I54" s="81"/>
      <c r="J54" s="81"/>
      <c r="K54" s="81"/>
      <c r="L54" s="82"/>
    </row>
    <row r="55" spans="1:19" s="85" customFormat="1" x14ac:dyDescent="0.3">
      <c r="C55" s="81"/>
      <c r="E55" s="81"/>
      <c r="H55" s="81"/>
      <c r="I55" s="81"/>
      <c r="J55" s="81"/>
      <c r="K55" s="81"/>
      <c r="L55" s="82"/>
    </row>
    <row r="56" spans="1:19" x14ac:dyDescent="0.3">
      <c r="C56" s="80"/>
      <c r="E56" s="80"/>
    </row>
    <row r="57" spans="1:19" x14ac:dyDescent="0.3">
      <c r="C57" s="81"/>
      <c r="E57" s="81"/>
    </row>
    <row r="58" spans="1:19" x14ac:dyDescent="0.3">
      <c r="C58" s="81"/>
      <c r="E58" s="80"/>
    </row>
  </sheetData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82"/>
  <sheetViews>
    <sheetView topLeftCell="A7" workbookViewId="0">
      <selection activeCell="A11" sqref="A11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9" width="11.140625" style="74" bestFit="1" customWidth="1"/>
    <col min="10" max="10" width="11.5703125" style="74" bestFit="1" customWidth="1"/>
    <col min="11" max="11" width="11.140625" style="74" bestFit="1" customWidth="1"/>
    <col min="12" max="12" width="11.140625" style="75" bestFit="1" customWidth="1"/>
    <col min="13" max="13" width="11.7109375" style="75" customWidth="1"/>
    <col min="14" max="15" width="10.42578125" style="76" bestFit="1" customWidth="1"/>
    <col min="16" max="16" width="10.28515625" style="73" bestFit="1" customWidth="1"/>
    <col min="17" max="16384" width="11.42578125" style="73"/>
  </cols>
  <sheetData>
    <row r="6" spans="1:20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20" ht="15.75" x14ac:dyDescent="0.3">
      <c r="A7" s="78" t="s">
        <v>129</v>
      </c>
      <c r="B7" s="78"/>
      <c r="C7" s="78"/>
      <c r="D7" s="78"/>
      <c r="E7" s="78"/>
      <c r="F7" s="78"/>
      <c r="G7" s="78"/>
    </row>
    <row r="8" spans="1:20" x14ac:dyDescent="0.3">
      <c r="A8" s="79" t="s">
        <v>88</v>
      </c>
      <c r="B8" s="79"/>
      <c r="C8" s="79"/>
      <c r="D8" s="79"/>
      <c r="E8" s="79"/>
      <c r="F8" s="79"/>
      <c r="G8" s="79"/>
    </row>
    <row r="9" spans="1:20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98">
        <v>2011</v>
      </c>
      <c r="I10" s="145">
        <v>2012</v>
      </c>
      <c r="J10" s="145">
        <v>2013</v>
      </c>
      <c r="K10" s="146" t="s">
        <v>46</v>
      </c>
      <c r="L10" s="145">
        <v>2013</v>
      </c>
      <c r="M10" s="145">
        <v>2014</v>
      </c>
      <c r="N10" s="146" t="s">
        <v>46</v>
      </c>
      <c r="O10" s="83"/>
      <c r="P10" s="83"/>
      <c r="Q10" s="106"/>
      <c r="R10" s="84"/>
      <c r="S10" s="84"/>
      <c r="T10" s="84"/>
    </row>
    <row r="11" spans="1:20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99">
        <v>193087</v>
      </c>
      <c r="I11" s="117">
        <v>291812</v>
      </c>
      <c r="J11" s="117">
        <v>415478</v>
      </c>
      <c r="K11" s="129">
        <f t="shared" ref="K11:K20" si="0">+(J11-I11)/I11</f>
        <v>0.42378654750318701</v>
      </c>
      <c r="L11" s="117">
        <v>313031</v>
      </c>
      <c r="M11" s="117">
        <v>224898</v>
      </c>
      <c r="N11" s="129">
        <f>+(M11-L11)/L11</f>
        <v>-0.28154719500624537</v>
      </c>
      <c r="O11" s="83"/>
      <c r="P11" s="83"/>
      <c r="Q11" s="108"/>
      <c r="R11" s="84"/>
      <c r="S11" s="84"/>
      <c r="T11" s="84"/>
    </row>
    <row r="12" spans="1:20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99">
        <v>329071</v>
      </c>
      <c r="I12" s="117">
        <v>330090</v>
      </c>
      <c r="J12" s="117">
        <v>357830</v>
      </c>
      <c r="K12" s="129">
        <f t="shared" si="0"/>
        <v>8.4037686691508379E-2</v>
      </c>
      <c r="L12" s="117">
        <v>357100</v>
      </c>
      <c r="M12" s="117">
        <v>377411</v>
      </c>
      <c r="N12" s="129">
        <f t="shared" ref="N12:N19" si="1">+(M12-L12)/L12</f>
        <v>5.6877625315037803E-2</v>
      </c>
      <c r="O12" s="170"/>
      <c r="P12" s="83"/>
      <c r="Q12" s="106"/>
      <c r="R12" s="84"/>
      <c r="S12" s="84"/>
      <c r="T12" s="84"/>
    </row>
    <row r="13" spans="1:20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99">
        <v>650631</v>
      </c>
      <c r="I13" s="117">
        <v>681860</v>
      </c>
      <c r="J13" s="117">
        <v>857299</v>
      </c>
      <c r="K13" s="129">
        <f t="shared" si="0"/>
        <v>0.25729475258850792</v>
      </c>
      <c r="L13" s="117">
        <v>709725</v>
      </c>
      <c r="M13" s="117">
        <v>871888</v>
      </c>
      <c r="N13" s="129">
        <f t="shared" si="1"/>
        <v>0.22848709007009757</v>
      </c>
      <c r="O13" s="83"/>
      <c r="P13" s="83"/>
      <c r="Q13" s="106"/>
      <c r="R13" s="84"/>
      <c r="S13" s="84"/>
      <c r="T13" s="84"/>
    </row>
    <row r="14" spans="1:20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99">
        <v>601866</v>
      </c>
      <c r="I14" s="117">
        <v>555796</v>
      </c>
      <c r="J14" s="117">
        <v>725323</v>
      </c>
      <c r="K14" s="129">
        <f t="shared" si="0"/>
        <v>0.30501658882035854</v>
      </c>
      <c r="L14" s="117">
        <v>629949</v>
      </c>
      <c r="M14" s="117">
        <v>806820</v>
      </c>
      <c r="N14" s="129">
        <f t="shared" si="1"/>
        <v>0.28077034807579659</v>
      </c>
      <c r="O14" s="83"/>
      <c r="P14" s="83"/>
      <c r="Q14" s="106"/>
      <c r="R14" s="84"/>
      <c r="S14" s="84"/>
      <c r="T14" s="84"/>
    </row>
    <row r="15" spans="1:20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99">
        <v>1009855</v>
      </c>
      <c r="I15" s="117">
        <v>1135785</v>
      </c>
      <c r="J15" s="117">
        <v>1456074</v>
      </c>
      <c r="K15" s="129">
        <f t="shared" si="0"/>
        <v>0.28199791333747143</v>
      </c>
      <c r="L15" s="117">
        <v>1171045</v>
      </c>
      <c r="M15" s="117">
        <v>1352509</v>
      </c>
      <c r="N15" s="129">
        <f t="shared" si="1"/>
        <v>0.15495903231728925</v>
      </c>
      <c r="O15" s="83"/>
      <c r="P15" s="83"/>
      <c r="Q15" s="106"/>
      <c r="R15" s="84"/>
      <c r="S15" s="84"/>
      <c r="T15" s="84"/>
    </row>
    <row r="16" spans="1:20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99">
        <v>900384</v>
      </c>
      <c r="I16" s="117">
        <v>1025441</v>
      </c>
      <c r="J16" s="117">
        <v>2038332</v>
      </c>
      <c r="K16" s="129">
        <f t="shared" si="0"/>
        <v>0.9877613631598503</v>
      </c>
      <c r="L16" s="117">
        <v>1027805</v>
      </c>
      <c r="M16" s="117">
        <v>1902487</v>
      </c>
      <c r="N16" s="129">
        <f t="shared" si="1"/>
        <v>0.85101940543196419</v>
      </c>
      <c r="O16" s="83"/>
      <c r="P16" s="83"/>
      <c r="Q16" s="106"/>
      <c r="R16" s="84"/>
      <c r="S16" s="84"/>
      <c r="T16" s="84"/>
    </row>
    <row r="17" spans="1:20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99">
        <v>130401</v>
      </c>
      <c r="I17" s="117">
        <v>57452</v>
      </c>
      <c r="J17" s="117">
        <v>101223</v>
      </c>
      <c r="K17" s="129">
        <f t="shared" si="0"/>
        <v>0.76187077908514933</v>
      </c>
      <c r="L17" s="117">
        <v>56987</v>
      </c>
      <c r="M17" s="117">
        <v>86392</v>
      </c>
      <c r="N17" s="129">
        <f t="shared" si="1"/>
        <v>0.51599487602435645</v>
      </c>
      <c r="O17" s="83"/>
      <c r="P17" s="83"/>
      <c r="Q17" s="106"/>
      <c r="R17" s="84"/>
      <c r="S17" s="84"/>
      <c r="T17" s="84"/>
    </row>
    <row r="18" spans="1:20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99">
        <v>18323</v>
      </c>
      <c r="I18" s="117">
        <v>6913</v>
      </c>
      <c r="J18" s="117">
        <v>16502</v>
      </c>
      <c r="K18" s="129">
        <f t="shared" si="0"/>
        <v>1.3870967741935485</v>
      </c>
      <c r="L18" s="117">
        <v>6728</v>
      </c>
      <c r="M18" s="117">
        <v>19791</v>
      </c>
      <c r="N18" s="129">
        <f t="shared" si="1"/>
        <v>1.9415873959571939</v>
      </c>
      <c r="O18" s="83"/>
      <c r="P18" s="83"/>
      <c r="Q18" s="106"/>
      <c r="R18" s="84"/>
      <c r="S18" s="84"/>
      <c r="T18" s="84"/>
    </row>
    <row r="19" spans="1:20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99">
        <v>4097551</v>
      </c>
      <c r="I19" s="117">
        <v>4866415</v>
      </c>
      <c r="J19" s="117">
        <v>4612437</v>
      </c>
      <c r="K19" s="129">
        <f t="shared" si="0"/>
        <v>-5.2189959138297902E-2</v>
      </c>
      <c r="L19" s="117">
        <v>4679552</v>
      </c>
      <c r="M19" s="117">
        <v>5216883</v>
      </c>
      <c r="N19" s="129">
        <f t="shared" si="1"/>
        <v>0.1148253080636779</v>
      </c>
      <c r="O19" s="83"/>
      <c r="P19" s="83"/>
      <c r="Q19" s="106"/>
      <c r="R19" s="84"/>
      <c r="S19" s="84"/>
      <c r="T19" s="84"/>
    </row>
    <row r="20" spans="1:20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200">
        <f>SUM(H11:H19)</f>
        <v>7931169</v>
      </c>
      <c r="I20" s="118">
        <f>SUM(I11:I19)</f>
        <v>8951564</v>
      </c>
      <c r="J20" s="118">
        <f>SUM(J11:J19)</f>
        <v>10580498</v>
      </c>
      <c r="K20" s="130">
        <f t="shared" si="0"/>
        <v>0.18197199952991455</v>
      </c>
      <c r="L20" s="118">
        <f>SUM(L11:L19)</f>
        <v>8951922</v>
      </c>
      <c r="M20" s="118">
        <f>SUM(M11:M19)</f>
        <v>10859079</v>
      </c>
      <c r="N20" s="130">
        <f>+(M20-L20)/L20</f>
        <v>0.21304441660684711</v>
      </c>
      <c r="O20" s="83"/>
      <c r="P20" s="83"/>
      <c r="Q20" s="106"/>
      <c r="R20" s="84"/>
      <c r="S20" s="84"/>
      <c r="T20" s="84"/>
    </row>
    <row r="21" spans="1:20" s="85" customFormat="1" x14ac:dyDescent="0.3">
      <c r="A21" s="153"/>
      <c r="B21" s="81"/>
      <c r="C21" s="81"/>
      <c r="D21" s="81"/>
      <c r="E21" s="81"/>
      <c r="F21" s="81"/>
      <c r="G21" s="81"/>
      <c r="H21" s="199"/>
      <c r="I21" s="117"/>
      <c r="J21" s="117"/>
      <c r="K21" s="129"/>
      <c r="L21" s="117"/>
      <c r="M21" s="117"/>
      <c r="N21" s="129"/>
      <c r="O21" s="83"/>
      <c r="P21" s="83"/>
      <c r="Q21" s="106"/>
      <c r="R21" s="84"/>
      <c r="S21" s="84"/>
      <c r="T21" s="84"/>
    </row>
    <row r="22" spans="1:20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201">
        <v>2011</v>
      </c>
      <c r="I22" s="127">
        <v>2012</v>
      </c>
      <c r="J22" s="127">
        <v>2013</v>
      </c>
      <c r="K22" s="128" t="s">
        <v>123</v>
      </c>
      <c r="L22" s="127">
        <v>2013</v>
      </c>
      <c r="M22" s="127">
        <v>2014</v>
      </c>
      <c r="N22" s="128" t="s">
        <v>46</v>
      </c>
      <c r="O22" s="83"/>
      <c r="P22" s="83"/>
      <c r="Q22" s="108"/>
      <c r="R22" s="84"/>
      <c r="S22" s="84"/>
      <c r="T22" s="84"/>
    </row>
    <row r="23" spans="1:20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99">
        <v>679598</v>
      </c>
      <c r="I23" s="117">
        <v>690354</v>
      </c>
      <c r="J23" s="117">
        <v>1996737</v>
      </c>
      <c r="K23" s="129">
        <f t="shared" ref="K23:K34" si="2">+(J23-I23)/I23</f>
        <v>1.8923378440626113</v>
      </c>
      <c r="L23" s="117">
        <v>682715</v>
      </c>
      <c r="M23" s="117">
        <v>2005211</v>
      </c>
      <c r="N23" s="129">
        <f t="shared" ref="N23:N34" si="3">+(M23-L23)/L23</f>
        <v>1.9371128508967872</v>
      </c>
      <c r="O23" s="83"/>
      <c r="P23" s="83"/>
      <c r="Q23" s="106"/>
      <c r="R23" s="84"/>
      <c r="S23" s="84"/>
      <c r="T23" s="84"/>
    </row>
    <row r="24" spans="1:20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99">
        <v>163168</v>
      </c>
      <c r="I24" s="117">
        <v>170648</v>
      </c>
      <c r="J24" s="117">
        <v>299136</v>
      </c>
      <c r="K24" s="129">
        <f t="shared" si="2"/>
        <v>0.75294172800150017</v>
      </c>
      <c r="L24" s="117">
        <v>170685</v>
      </c>
      <c r="M24" s="117">
        <v>201252</v>
      </c>
      <c r="N24" s="129">
        <f t="shared" si="3"/>
        <v>0.17908427805606819</v>
      </c>
      <c r="O24" s="83"/>
      <c r="P24" s="83"/>
      <c r="Q24" s="108"/>
      <c r="R24" s="84"/>
      <c r="S24" s="84"/>
      <c r="T24" s="84"/>
    </row>
    <row r="25" spans="1:20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99">
        <v>217244</v>
      </c>
      <c r="I25" s="117">
        <v>259622</v>
      </c>
      <c r="J25" s="117">
        <v>339737</v>
      </c>
      <c r="K25" s="129">
        <f t="shared" si="2"/>
        <v>0.30858324795279291</v>
      </c>
      <c r="L25" s="117">
        <v>300091</v>
      </c>
      <c r="M25" s="117">
        <v>376963</v>
      </c>
      <c r="N25" s="129">
        <f t="shared" si="3"/>
        <v>0.25616229743644425</v>
      </c>
      <c r="O25" s="83"/>
      <c r="P25" s="83"/>
      <c r="Q25" s="106"/>
      <c r="R25" s="84"/>
      <c r="S25" s="84"/>
      <c r="T25" s="84"/>
    </row>
    <row r="26" spans="1:20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99">
        <v>132822</v>
      </c>
      <c r="I26" s="117">
        <v>138203</v>
      </c>
      <c r="J26" s="117">
        <v>159523</v>
      </c>
      <c r="K26" s="129">
        <f t="shared" si="2"/>
        <v>0.15426582635688083</v>
      </c>
      <c r="L26" s="117">
        <v>97757</v>
      </c>
      <c r="M26" s="117">
        <v>68781</v>
      </c>
      <c r="N26" s="129">
        <f t="shared" si="3"/>
        <v>-0.29640844133923916</v>
      </c>
      <c r="O26" s="83"/>
      <c r="P26" s="83"/>
      <c r="Q26" s="106"/>
      <c r="R26" s="84"/>
      <c r="S26" s="84"/>
      <c r="T26" s="84"/>
    </row>
    <row r="27" spans="1:20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99">
        <v>96429</v>
      </c>
      <c r="I27" s="117">
        <v>109969</v>
      </c>
      <c r="J27" s="117">
        <v>138378</v>
      </c>
      <c r="K27" s="129">
        <f t="shared" si="2"/>
        <v>0.25833644026953051</v>
      </c>
      <c r="L27" s="117">
        <v>56009</v>
      </c>
      <c r="M27" s="117">
        <v>50970</v>
      </c>
      <c r="N27" s="129">
        <f t="shared" si="3"/>
        <v>-8.9967683765109177E-2</v>
      </c>
      <c r="O27" s="83"/>
      <c r="P27" s="83"/>
      <c r="Q27" s="106"/>
      <c r="R27" s="84"/>
      <c r="S27" s="84"/>
      <c r="T27" s="84"/>
    </row>
    <row r="28" spans="1:20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99">
        <v>33608</v>
      </c>
      <c r="I28" s="117">
        <v>28288</v>
      </c>
      <c r="J28" s="117">
        <v>54184</v>
      </c>
      <c r="K28" s="129">
        <f t="shared" si="2"/>
        <v>0.9154411764705882</v>
      </c>
      <c r="L28" s="117">
        <v>237495</v>
      </c>
      <c r="M28" s="117">
        <v>261277</v>
      </c>
      <c r="N28" s="129">
        <f t="shared" si="3"/>
        <v>0.10013684498621024</v>
      </c>
      <c r="O28" s="83"/>
      <c r="P28" s="83"/>
      <c r="Q28" s="106"/>
      <c r="R28" s="84"/>
      <c r="S28" s="84"/>
      <c r="T28" s="84"/>
    </row>
    <row r="29" spans="1:20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99">
        <v>112430</v>
      </c>
      <c r="I29" s="117">
        <v>125466</v>
      </c>
      <c r="J29" s="117">
        <v>159573</v>
      </c>
      <c r="K29" s="129">
        <f t="shared" si="2"/>
        <v>0.27184257089570085</v>
      </c>
      <c r="L29" s="117">
        <v>149022</v>
      </c>
      <c r="M29" s="117">
        <v>228427</v>
      </c>
      <c r="N29" s="129">
        <f t="shared" si="3"/>
        <v>0.53284078860839335</v>
      </c>
      <c r="O29" s="83"/>
      <c r="P29" s="83"/>
      <c r="Q29" s="106"/>
      <c r="R29" s="84"/>
      <c r="S29" s="84"/>
      <c r="T29" s="84"/>
    </row>
    <row r="30" spans="1:20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99">
        <v>5031</v>
      </c>
      <c r="I30" s="117">
        <v>3762</v>
      </c>
      <c r="J30" s="117">
        <v>3159</v>
      </c>
      <c r="K30" s="129">
        <f t="shared" si="2"/>
        <v>-0.16028708133971292</v>
      </c>
      <c r="L30" s="117">
        <v>2354</v>
      </c>
      <c r="M30" s="117">
        <v>440</v>
      </c>
      <c r="N30" s="129">
        <f t="shared" si="3"/>
        <v>-0.81308411214953269</v>
      </c>
      <c r="O30" s="83"/>
      <c r="P30" s="83"/>
      <c r="Q30" s="106"/>
      <c r="R30" s="84"/>
      <c r="S30" s="84"/>
      <c r="T30" s="84"/>
    </row>
    <row r="31" spans="1:20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202">
        <f>SUM(H23:H30)</f>
        <v>1440330</v>
      </c>
      <c r="I31" s="119">
        <f>SUM(I23:I30)</f>
        <v>1526312</v>
      </c>
      <c r="J31" s="119">
        <f>SUM(J23:J30)</f>
        <v>3150427</v>
      </c>
      <c r="K31" s="129">
        <f t="shared" si="2"/>
        <v>1.0640779866763808</v>
      </c>
      <c r="L31" s="119">
        <f>SUM(L23:L30)</f>
        <v>1696128</v>
      </c>
      <c r="M31" s="119">
        <f>SUM(M23:M30)</f>
        <v>3193321</v>
      </c>
      <c r="N31" s="129">
        <f t="shared" si="3"/>
        <v>0.88271227171534228</v>
      </c>
      <c r="O31" s="83"/>
      <c r="P31" s="83"/>
      <c r="Q31" s="106"/>
      <c r="R31" s="84"/>
      <c r="S31" s="84"/>
      <c r="T31" s="84"/>
    </row>
    <row r="32" spans="1:20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99">
        <v>16209</v>
      </c>
      <c r="I32" s="117">
        <v>16294</v>
      </c>
      <c r="J32" s="117">
        <v>19208</v>
      </c>
      <c r="K32" s="129">
        <f t="shared" si="2"/>
        <v>0.17883883638149012</v>
      </c>
      <c r="L32" s="117">
        <v>3799</v>
      </c>
      <c r="M32" s="117">
        <v>19512</v>
      </c>
      <c r="N32" s="129">
        <f t="shared" si="3"/>
        <v>4.1360884443274548</v>
      </c>
      <c r="O32" s="83"/>
      <c r="P32" s="83"/>
      <c r="Q32" s="106"/>
      <c r="R32" s="84"/>
      <c r="S32" s="84"/>
      <c r="T32" s="84"/>
    </row>
    <row r="33" spans="1:24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203">
        <v>6474630</v>
      </c>
      <c r="I33" s="120">
        <f>I20-I31-I32</f>
        <v>7408958</v>
      </c>
      <c r="J33" s="120">
        <f>J20-J31-J32</f>
        <v>7410863</v>
      </c>
      <c r="K33" s="131">
        <f t="shared" si="2"/>
        <v>2.5712117682405542E-4</v>
      </c>
      <c r="L33" s="120">
        <v>7251995</v>
      </c>
      <c r="M33" s="120">
        <f>M20-M31-M32</f>
        <v>7646246</v>
      </c>
      <c r="N33" s="131">
        <f t="shared" si="3"/>
        <v>5.4364488668290585E-2</v>
      </c>
      <c r="O33" s="83"/>
      <c r="P33" s="83"/>
      <c r="Q33" s="108"/>
      <c r="R33" s="84"/>
      <c r="S33" s="84"/>
      <c r="T33" s="84"/>
    </row>
    <row r="34" spans="1:24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200">
        <f>+H31+H32+H33</f>
        <v>7931169</v>
      </c>
      <c r="I34" s="118">
        <f>+I31+I32+I33</f>
        <v>8951564</v>
      </c>
      <c r="J34" s="118">
        <f>+J31+J32+J33</f>
        <v>10580498</v>
      </c>
      <c r="K34" s="130">
        <f t="shared" si="2"/>
        <v>0.18197199952991455</v>
      </c>
      <c r="L34" s="118">
        <f>+L31+L32+L33</f>
        <v>8951922</v>
      </c>
      <c r="M34" s="118">
        <f>+M31+M32+M33</f>
        <v>10859079</v>
      </c>
      <c r="N34" s="130">
        <f t="shared" si="3"/>
        <v>0.21304441660684711</v>
      </c>
      <c r="O34" s="83"/>
      <c r="P34" s="83"/>
      <c r="Q34" s="108"/>
      <c r="R34" s="84"/>
      <c r="S34" s="84"/>
      <c r="T34" s="84"/>
    </row>
    <row r="35" spans="1:24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84"/>
      <c r="R35" s="84"/>
      <c r="S35" s="84"/>
    </row>
    <row r="36" spans="1:24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4" ht="15.75" x14ac:dyDescent="0.3">
      <c r="A37" s="78" t="s">
        <v>130</v>
      </c>
      <c r="B37" s="78"/>
      <c r="C37" s="78"/>
      <c r="D37" s="78"/>
      <c r="E37" s="78"/>
      <c r="F37" s="78"/>
      <c r="G37" s="78"/>
    </row>
    <row r="38" spans="1:24" x14ac:dyDescent="0.3">
      <c r="A38" s="79" t="s">
        <v>88</v>
      </c>
      <c r="B38" s="79"/>
      <c r="C38" s="79"/>
      <c r="D38" s="79"/>
      <c r="E38" s="79"/>
      <c r="F38" s="79"/>
      <c r="G38" s="79"/>
    </row>
    <row r="39" spans="1:24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98">
        <v>2011</v>
      </c>
      <c r="I39" s="198">
        <v>2012</v>
      </c>
      <c r="J39" s="198">
        <v>2013</v>
      </c>
      <c r="K39" s="145" t="s">
        <v>95</v>
      </c>
      <c r="L39" s="145" t="s">
        <v>124</v>
      </c>
      <c r="M39" s="145" t="s">
        <v>100</v>
      </c>
      <c r="N39" s="146" t="s">
        <v>55</v>
      </c>
      <c r="O39" s="145" t="s">
        <v>127</v>
      </c>
      <c r="P39" s="146" t="s">
        <v>55</v>
      </c>
      <c r="Q39" s="147" t="s">
        <v>46</v>
      </c>
      <c r="R39" s="214" t="s">
        <v>109</v>
      </c>
      <c r="S39" s="215" t="s">
        <v>55</v>
      </c>
      <c r="T39" s="214" t="s">
        <v>128</v>
      </c>
      <c r="U39" s="215" t="s">
        <v>55</v>
      </c>
      <c r="V39" s="216" t="s">
        <v>46</v>
      </c>
      <c r="W39" s="144"/>
    </row>
    <row r="40" spans="1:24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204">
        <v>5057382.6182662696</v>
      </c>
      <c r="I40" s="204">
        <v>5305782</v>
      </c>
      <c r="J40" s="204">
        <v>5898466</v>
      </c>
      <c r="K40" s="132">
        <v>1242052</v>
      </c>
      <c r="L40" s="132">
        <v>1572825</v>
      </c>
      <c r="M40" s="132">
        <v>1370524</v>
      </c>
      <c r="N40" s="138">
        <v>1</v>
      </c>
      <c r="O40" s="132">
        <v>1429566</v>
      </c>
      <c r="P40" s="138">
        <v>1</v>
      </c>
      <c r="Q40" s="138">
        <f>(O40-M40)/M40</f>
        <v>4.3079873099631967E-2</v>
      </c>
      <c r="R40" s="217">
        <v>2612576</v>
      </c>
      <c r="S40" s="218">
        <v>1</v>
      </c>
      <c r="T40" s="217">
        <v>3002391</v>
      </c>
      <c r="U40" s="218">
        <v>1</v>
      </c>
      <c r="V40" s="219">
        <f t="shared" ref="V40:V57" si="4">IF(R40&lt;&gt;0,(T40-R40)/R40,0)</f>
        <v>0.14920714268216503</v>
      </c>
      <c r="W40" s="111"/>
      <c r="X40" s="85"/>
    </row>
    <row r="41" spans="1:24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205">
        <v>-3030201.8461819952</v>
      </c>
      <c r="I41" s="205">
        <v>-3064460</v>
      </c>
      <c r="J41" s="205">
        <v>-3260968</v>
      </c>
      <c r="K41" s="133">
        <v>-682801</v>
      </c>
      <c r="L41" s="133">
        <v>-875730</v>
      </c>
      <c r="M41" s="133">
        <v>-750580</v>
      </c>
      <c r="N41" s="129">
        <f>+M41/$M$40</f>
        <v>-0.5476591435100735</v>
      </c>
      <c r="O41" s="133">
        <v>-772014</v>
      </c>
      <c r="P41" s="129">
        <f>+O41/$O$40</f>
        <v>-0.54003382844863401</v>
      </c>
      <c r="Q41" s="129">
        <f t="shared" ref="Q41:Q59" si="5">(O41-M41)/M41</f>
        <v>2.8556582909216872E-2</v>
      </c>
      <c r="R41" s="220">
        <v>-1433381</v>
      </c>
      <c r="S41" s="219">
        <f>+R41/$R$40</f>
        <v>-0.5486466231030217</v>
      </c>
      <c r="T41" s="220">
        <v>-1647744</v>
      </c>
      <c r="U41" s="219">
        <f>+T41/$T$40</f>
        <v>-0.54881059795343112</v>
      </c>
      <c r="V41" s="219">
        <f t="shared" si="4"/>
        <v>0.14955060796815361</v>
      </c>
      <c r="W41" s="101"/>
    </row>
    <row r="42" spans="1:24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202">
        <f t="shared" ref="H42:M42" si="6">SUM(H40:H41)</f>
        <v>2027180.7720842743</v>
      </c>
      <c r="I42" s="202">
        <f t="shared" si="6"/>
        <v>2241322</v>
      </c>
      <c r="J42" s="202">
        <f t="shared" si="6"/>
        <v>2637498</v>
      </c>
      <c r="K42" s="134">
        <f t="shared" si="6"/>
        <v>559251</v>
      </c>
      <c r="L42" s="134">
        <f t="shared" si="6"/>
        <v>697095</v>
      </c>
      <c r="M42" s="134">
        <f t="shared" si="6"/>
        <v>619944</v>
      </c>
      <c r="N42" s="138">
        <f t="shared" ref="N42:N59" si="7">+M42/$M$40</f>
        <v>0.4523408564899265</v>
      </c>
      <c r="O42" s="134">
        <f>SUM(O40:O41)</f>
        <v>657552</v>
      </c>
      <c r="P42" s="138">
        <f t="shared" ref="P42:P59" si="8">+O42/$O$40</f>
        <v>0.45996617155136593</v>
      </c>
      <c r="Q42" s="138">
        <f t="shared" si="5"/>
        <v>6.0663543803956485E-2</v>
      </c>
      <c r="R42" s="221">
        <f>SUM(R40:R41)</f>
        <v>1179195</v>
      </c>
      <c r="S42" s="218">
        <f t="shared" ref="S42:S59" si="9">+R42/$R$40</f>
        <v>0.4513533768969783</v>
      </c>
      <c r="T42" s="221">
        <f>SUM(T40:T41)</f>
        <v>1354647</v>
      </c>
      <c r="U42" s="218">
        <f t="shared" ref="U42:U59" si="10">+T42/$T$40</f>
        <v>0.45118940204656888</v>
      </c>
      <c r="V42" s="219">
        <f t="shared" si="4"/>
        <v>0.14878964039026624</v>
      </c>
      <c r="W42" s="111"/>
      <c r="X42" s="85"/>
    </row>
    <row r="43" spans="1:24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199">
        <v>-250061.17590559012</v>
      </c>
      <c r="I43" s="199">
        <v>-270303</v>
      </c>
      <c r="J43" s="199">
        <v>-347578</v>
      </c>
      <c r="K43" s="135">
        <v>-64873</v>
      </c>
      <c r="L43" s="135">
        <v>-103109</v>
      </c>
      <c r="M43" s="135">
        <v>-73939</v>
      </c>
      <c r="N43" s="129">
        <f t="shared" si="7"/>
        <v>-5.3949438317023271E-2</v>
      </c>
      <c r="O43" s="135">
        <v>-95056</v>
      </c>
      <c r="P43" s="129">
        <f t="shared" si="8"/>
        <v>-6.6492907637702631E-2</v>
      </c>
      <c r="Q43" s="129">
        <f t="shared" si="5"/>
        <v>0.28560029213270399</v>
      </c>
      <c r="R43" s="222">
        <v>-138812</v>
      </c>
      <c r="S43" s="219">
        <f t="shared" si="9"/>
        <v>-5.3132234239310169E-2</v>
      </c>
      <c r="T43" s="222">
        <v>-198165</v>
      </c>
      <c r="U43" s="219">
        <f t="shared" si="10"/>
        <v>-6.6002396090316023E-2</v>
      </c>
      <c r="V43" s="219">
        <f t="shared" si="4"/>
        <v>0.42757830735094948</v>
      </c>
      <c r="W43" s="101"/>
    </row>
    <row r="44" spans="1:24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199">
        <v>-1221301.5797654777</v>
      </c>
      <c r="I44" s="199">
        <v>-1326976</v>
      </c>
      <c r="J44" s="199">
        <v>-1505166</v>
      </c>
      <c r="K44" s="135">
        <v>-325559</v>
      </c>
      <c r="L44" s="135">
        <v>-400920</v>
      </c>
      <c r="M44" s="135">
        <v>-355546</v>
      </c>
      <c r="N44" s="129">
        <f t="shared" si="7"/>
        <v>-0.25942340301957501</v>
      </c>
      <c r="O44" s="135">
        <v>-396371</v>
      </c>
      <c r="P44" s="129">
        <f t="shared" si="8"/>
        <v>-0.27726666694647184</v>
      </c>
      <c r="Q44" s="129">
        <f t="shared" si="5"/>
        <v>0.11482339837883143</v>
      </c>
      <c r="R44" s="222">
        <v>-681105</v>
      </c>
      <c r="S44" s="219">
        <f t="shared" si="9"/>
        <v>-0.2607024637752165</v>
      </c>
      <c r="T44" s="222">
        <v>-797291</v>
      </c>
      <c r="U44" s="219">
        <f t="shared" si="10"/>
        <v>-0.26555202170536751</v>
      </c>
      <c r="V44" s="219">
        <f t="shared" si="4"/>
        <v>0.17058456478810169</v>
      </c>
      <c r="W44" s="101"/>
    </row>
    <row r="45" spans="1:24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199">
        <v>-123323</v>
      </c>
      <c r="I45" s="199">
        <v>-122931</v>
      </c>
      <c r="J45" s="199">
        <v>-134527</v>
      </c>
      <c r="K45" s="135">
        <v>-27738</v>
      </c>
      <c r="L45" s="135">
        <v>-29371</v>
      </c>
      <c r="M45" s="135">
        <v>-33697</v>
      </c>
      <c r="N45" s="129">
        <f t="shared" si="7"/>
        <v>-2.4586946306668106E-2</v>
      </c>
      <c r="O45" s="135">
        <v>-21941</v>
      </c>
      <c r="P45" s="129">
        <f t="shared" si="8"/>
        <v>-1.5348014712157396E-2</v>
      </c>
      <c r="Q45" s="129">
        <f t="shared" si="5"/>
        <v>-0.34887378698400451</v>
      </c>
      <c r="R45" s="222">
        <v>-61435</v>
      </c>
      <c r="S45" s="219">
        <f t="shared" si="9"/>
        <v>-2.3515105397890819E-2</v>
      </c>
      <c r="T45" s="222">
        <v>-51312</v>
      </c>
      <c r="U45" s="219">
        <f t="shared" si="10"/>
        <v>-1.7090378967962533E-2</v>
      </c>
      <c r="V45" s="219">
        <f t="shared" si="4"/>
        <v>-0.16477577927891268</v>
      </c>
      <c r="W45" s="101"/>
    </row>
    <row r="46" spans="1:24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202">
        <f t="shared" ref="H46:M46" si="11">SUM(H43:H45)</f>
        <v>-1594685.7556710679</v>
      </c>
      <c r="I46" s="202">
        <f t="shared" si="11"/>
        <v>-1720210</v>
      </c>
      <c r="J46" s="202">
        <f t="shared" si="11"/>
        <v>-1987271</v>
      </c>
      <c r="K46" s="134">
        <f t="shared" si="11"/>
        <v>-418170</v>
      </c>
      <c r="L46" s="134">
        <f t="shared" si="11"/>
        <v>-533400</v>
      </c>
      <c r="M46" s="134">
        <f t="shared" si="11"/>
        <v>-463182</v>
      </c>
      <c r="N46" s="138">
        <f t="shared" si="7"/>
        <v>-0.3379597876432664</v>
      </c>
      <c r="O46" s="134">
        <f>SUM(O43:O45)</f>
        <v>-513368</v>
      </c>
      <c r="P46" s="138">
        <f t="shared" si="8"/>
        <v>-0.35910758929633191</v>
      </c>
      <c r="Q46" s="138">
        <f t="shared" si="5"/>
        <v>0.1083504972127587</v>
      </c>
      <c r="R46" s="221">
        <f>SUM(R43:R45)</f>
        <v>-881352</v>
      </c>
      <c r="S46" s="218">
        <f t="shared" si="9"/>
        <v>-0.33734980341241749</v>
      </c>
      <c r="T46" s="221">
        <f>SUM(T43:T45)</f>
        <v>-1046768</v>
      </c>
      <c r="U46" s="218">
        <f t="shared" si="10"/>
        <v>-0.34864479676364601</v>
      </c>
      <c r="V46" s="219">
        <f t="shared" si="4"/>
        <v>0.18768437582259984</v>
      </c>
      <c r="W46" s="111"/>
      <c r="X46" s="85"/>
    </row>
    <row r="47" spans="1:24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202">
        <f t="shared" ref="H47:M47" si="12">+H42+H46</f>
        <v>432495.01641320647</v>
      </c>
      <c r="I47" s="202">
        <f t="shared" si="12"/>
        <v>521112</v>
      </c>
      <c r="J47" s="202">
        <f t="shared" si="12"/>
        <v>650227</v>
      </c>
      <c r="K47" s="134">
        <f t="shared" si="12"/>
        <v>141081</v>
      </c>
      <c r="L47" s="134">
        <f t="shared" si="12"/>
        <v>163695</v>
      </c>
      <c r="M47" s="134">
        <f t="shared" si="12"/>
        <v>156762</v>
      </c>
      <c r="N47" s="138">
        <f t="shared" si="7"/>
        <v>0.11438106884666011</v>
      </c>
      <c r="O47" s="134">
        <f>+O42+O46</f>
        <v>144184</v>
      </c>
      <c r="P47" s="138">
        <f t="shared" si="8"/>
        <v>0.10085858225503405</v>
      </c>
      <c r="Q47" s="138">
        <f t="shared" si="5"/>
        <v>-8.0236281751955199E-2</v>
      </c>
      <c r="R47" s="221">
        <f>+R42+R46</f>
        <v>297843</v>
      </c>
      <c r="S47" s="218">
        <f t="shared" si="9"/>
        <v>0.11400357348456083</v>
      </c>
      <c r="T47" s="221">
        <f>+T42+T46</f>
        <v>307879</v>
      </c>
      <c r="U47" s="218">
        <f t="shared" si="10"/>
        <v>0.10254460528292285</v>
      </c>
      <c r="V47" s="219">
        <f t="shared" si="4"/>
        <v>3.3695604731351754E-2</v>
      </c>
      <c r="W47" s="111"/>
      <c r="X47" s="85"/>
    </row>
    <row r="48" spans="1:24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199">
        <v>7592</v>
      </c>
      <c r="I48" s="199">
        <v>12296</v>
      </c>
      <c r="J48" s="199">
        <v>12207</v>
      </c>
      <c r="K48" s="135">
        <v>2375</v>
      </c>
      <c r="L48" s="135">
        <v>7447</v>
      </c>
      <c r="M48" s="135">
        <v>2770</v>
      </c>
      <c r="N48" s="129">
        <f t="shared" si="7"/>
        <v>2.0211247668774864E-3</v>
      </c>
      <c r="O48" s="135">
        <v>2628</v>
      </c>
      <c r="P48" s="129">
        <f t="shared" si="8"/>
        <v>1.8383201615035612E-3</v>
      </c>
      <c r="Q48" s="129">
        <f t="shared" si="5"/>
        <v>-5.1263537906137184E-2</v>
      </c>
      <c r="R48" s="222">
        <v>5145</v>
      </c>
      <c r="S48" s="219">
        <f t="shared" si="9"/>
        <v>1.9693207011011356E-3</v>
      </c>
      <c r="T48" s="222">
        <v>10075</v>
      </c>
      <c r="U48" s="219">
        <f t="shared" si="10"/>
        <v>3.3556588732113839E-3</v>
      </c>
      <c r="V48" s="219">
        <f t="shared" si="4"/>
        <v>0.95821185617103988</v>
      </c>
      <c r="W48" s="101"/>
    </row>
    <row r="49" spans="1:24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199">
        <v>-84666</v>
      </c>
      <c r="I49" s="199">
        <v>-70722</v>
      </c>
      <c r="J49" s="199">
        <v>-101111</v>
      </c>
      <c r="K49" s="135">
        <v>-16818</v>
      </c>
      <c r="L49" s="135">
        <v>-39145</v>
      </c>
      <c r="M49" s="135">
        <v>-17303</v>
      </c>
      <c r="N49" s="129">
        <f t="shared" si="7"/>
        <v>-1.2625098137646623E-2</v>
      </c>
      <c r="O49" s="135">
        <v>-38121</v>
      </c>
      <c r="P49" s="129">
        <f t="shared" si="8"/>
        <v>-2.666613503678739E-2</v>
      </c>
      <c r="Q49" s="129">
        <f t="shared" si="5"/>
        <v>1.203143963474542</v>
      </c>
      <c r="R49" s="222">
        <v>-34121</v>
      </c>
      <c r="S49" s="219">
        <f t="shared" si="9"/>
        <v>-1.3060289920752545E-2</v>
      </c>
      <c r="T49" s="222">
        <v>-77266</v>
      </c>
      <c r="U49" s="219">
        <f t="shared" si="10"/>
        <v>-2.5734822679657647E-2</v>
      </c>
      <c r="V49" s="219">
        <f t="shared" si="4"/>
        <v>1.2644705606517981</v>
      </c>
      <c r="W49" s="101"/>
    </row>
    <row r="50" spans="1:24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199">
        <v>-3636</v>
      </c>
      <c r="I50" s="199">
        <v>1782</v>
      </c>
      <c r="J50" s="199">
        <v>8732</v>
      </c>
      <c r="K50" s="135">
        <v>-1758</v>
      </c>
      <c r="L50" s="135">
        <v>7445</v>
      </c>
      <c r="M50" s="135">
        <v>4040</v>
      </c>
      <c r="N50" s="129">
        <f t="shared" si="7"/>
        <v>2.9477776383339512E-3</v>
      </c>
      <c r="O50" s="135">
        <v>-2408</v>
      </c>
      <c r="P50" s="129">
        <f t="shared" si="8"/>
        <v>-1.6844273017125478E-3</v>
      </c>
      <c r="Q50" s="129">
        <f t="shared" si="5"/>
        <v>-1.5960396039603961</v>
      </c>
      <c r="R50" s="222">
        <v>2282</v>
      </c>
      <c r="S50" s="219">
        <f t="shared" si="9"/>
        <v>8.7346741300540153E-4</v>
      </c>
      <c r="T50" s="222">
        <v>5037</v>
      </c>
      <c r="U50" s="219">
        <f t="shared" si="10"/>
        <v>1.6776629026665746E-3</v>
      </c>
      <c r="V50" s="219">
        <f t="shared" si="4"/>
        <v>1.2072743207712533</v>
      </c>
      <c r="W50" s="101"/>
    </row>
    <row r="51" spans="1:24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199">
        <v>-26933</v>
      </c>
      <c r="I51" s="199">
        <v>-13536</v>
      </c>
      <c r="J51" s="199">
        <v>-54534</v>
      </c>
      <c r="K51" s="135">
        <v>-7981</v>
      </c>
      <c r="L51" s="135">
        <v>-8069</v>
      </c>
      <c r="M51" s="135">
        <v>-15076</v>
      </c>
      <c r="N51" s="129">
        <f t="shared" si="7"/>
        <v>-1.1000172196911547E-2</v>
      </c>
      <c r="O51" s="135">
        <v>-7510</v>
      </c>
      <c r="P51" s="129">
        <f t="shared" si="8"/>
        <v>-5.2533426228659605E-3</v>
      </c>
      <c r="Q51" s="129">
        <f t="shared" si="5"/>
        <v>-0.50185725656672853</v>
      </c>
      <c r="R51" s="222">
        <v>-23057</v>
      </c>
      <c r="S51" s="219">
        <f t="shared" si="9"/>
        <v>-8.8253891944196066E-3</v>
      </c>
      <c r="T51" s="222">
        <v>-15579</v>
      </c>
      <c r="U51" s="219">
        <f t="shared" si="10"/>
        <v>-5.1888644750134145E-3</v>
      </c>
      <c r="V51" s="219">
        <f t="shared" si="4"/>
        <v>-0.32432666869063626</v>
      </c>
      <c r="W51" s="101"/>
    </row>
    <row r="52" spans="1:24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199">
        <v>33531</v>
      </c>
      <c r="I52" s="199">
        <v>35188</v>
      </c>
      <c r="J52" s="199">
        <v>39510</v>
      </c>
      <c r="K52" s="135">
        <v>8803</v>
      </c>
      <c r="L52" s="135">
        <v>9657</v>
      </c>
      <c r="M52" s="135">
        <v>9924</v>
      </c>
      <c r="N52" s="129">
        <f t="shared" si="7"/>
        <v>7.2410260601054781E-3</v>
      </c>
      <c r="O52" s="135">
        <v>10926</v>
      </c>
      <c r="P52" s="129">
        <f t="shared" si="8"/>
        <v>7.6428790276209706E-3</v>
      </c>
      <c r="Q52" s="129">
        <f t="shared" si="5"/>
        <v>0.10096735187424426</v>
      </c>
      <c r="R52" s="222">
        <v>18727</v>
      </c>
      <c r="S52" s="219">
        <f t="shared" si="9"/>
        <v>7.1680211408204006E-3</v>
      </c>
      <c r="T52" s="222">
        <v>20583</v>
      </c>
      <c r="U52" s="219">
        <f t="shared" si="10"/>
        <v>6.8555361376982545E-3</v>
      </c>
      <c r="V52" s="219">
        <f t="shared" si="4"/>
        <v>9.9108239440380205E-2</v>
      </c>
      <c r="W52" s="101"/>
    </row>
    <row r="53" spans="1:24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199">
        <v>11185</v>
      </c>
      <c r="I53" s="199">
        <v>0</v>
      </c>
      <c r="J53" s="199">
        <v>107</v>
      </c>
      <c r="K53" s="135">
        <v>0</v>
      </c>
      <c r="L53" s="135">
        <v>0</v>
      </c>
      <c r="M53" s="135">
        <v>107</v>
      </c>
      <c r="N53" s="129">
        <f t="shared" si="7"/>
        <v>7.807232854003286E-5</v>
      </c>
      <c r="O53" s="135">
        <v>0</v>
      </c>
      <c r="P53" s="129">
        <f t="shared" si="8"/>
        <v>0</v>
      </c>
      <c r="Q53" s="129">
        <f t="shared" si="5"/>
        <v>-1</v>
      </c>
      <c r="R53" s="222">
        <v>107</v>
      </c>
      <c r="S53" s="219">
        <f t="shared" si="9"/>
        <v>4.095574635914898E-5</v>
      </c>
      <c r="T53" s="222">
        <v>0</v>
      </c>
      <c r="U53" s="219">
        <f t="shared" si="10"/>
        <v>0</v>
      </c>
      <c r="V53" s="219">
        <f t="shared" si="4"/>
        <v>-1</v>
      </c>
      <c r="W53" s="101"/>
    </row>
    <row r="54" spans="1:24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202">
        <f t="shared" ref="H54:M54" si="13">SUM(H48:H53)</f>
        <v>-62927</v>
      </c>
      <c r="I54" s="202">
        <f t="shared" si="13"/>
        <v>-34992</v>
      </c>
      <c r="J54" s="202">
        <f t="shared" si="13"/>
        <v>-95089</v>
      </c>
      <c r="K54" s="134">
        <f t="shared" si="13"/>
        <v>-15379</v>
      </c>
      <c r="L54" s="134">
        <f t="shared" si="13"/>
        <v>-22665</v>
      </c>
      <c r="M54" s="134">
        <f t="shared" si="13"/>
        <v>-15538</v>
      </c>
      <c r="N54" s="138">
        <f t="shared" si="7"/>
        <v>-1.133726954070122E-2</v>
      </c>
      <c r="O54" s="134">
        <f>SUM(O48:O53)</f>
        <v>-34485</v>
      </c>
      <c r="P54" s="138">
        <f t="shared" si="8"/>
        <v>-2.4122705772241366E-2</v>
      </c>
      <c r="Q54" s="138">
        <f t="shared" si="5"/>
        <v>1.2193976058694813</v>
      </c>
      <c r="R54" s="221">
        <f>SUM(R48:R53)</f>
        <v>-30917</v>
      </c>
      <c r="S54" s="218">
        <f t="shared" si="9"/>
        <v>-1.1833914113886065E-2</v>
      </c>
      <c r="T54" s="221">
        <f>SUM(T48:T53)</f>
        <v>-57150</v>
      </c>
      <c r="U54" s="218">
        <f t="shared" si="10"/>
        <v>-1.9034829241094849E-2</v>
      </c>
      <c r="V54" s="219">
        <f t="shared" si="4"/>
        <v>0.84849759032247629</v>
      </c>
      <c r="W54" s="111"/>
      <c r="X54" s="85"/>
    </row>
    <row r="55" spans="1:24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202">
        <f t="shared" ref="H55:M55" si="14">+H47+H54</f>
        <v>369568.01641320647</v>
      </c>
      <c r="I55" s="202">
        <f t="shared" si="14"/>
        <v>486120</v>
      </c>
      <c r="J55" s="202">
        <f t="shared" si="14"/>
        <v>555138</v>
      </c>
      <c r="K55" s="134">
        <f t="shared" si="14"/>
        <v>125702</v>
      </c>
      <c r="L55" s="134">
        <f t="shared" si="14"/>
        <v>141030</v>
      </c>
      <c r="M55" s="134">
        <f t="shared" si="14"/>
        <v>141224</v>
      </c>
      <c r="N55" s="138">
        <f t="shared" si="7"/>
        <v>0.10304379930595889</v>
      </c>
      <c r="O55" s="134">
        <f>+O47+O54</f>
        <v>109699</v>
      </c>
      <c r="P55" s="138">
        <f t="shared" si="8"/>
        <v>7.6735876482792675E-2</v>
      </c>
      <c r="Q55" s="138">
        <f t="shared" si="5"/>
        <v>-0.22322693026681018</v>
      </c>
      <c r="R55" s="221">
        <f>+R47+R54</f>
        <v>266926</v>
      </c>
      <c r="S55" s="218">
        <f t="shared" si="9"/>
        <v>0.10216965937067476</v>
      </c>
      <c r="T55" s="221">
        <f>+T47+T54</f>
        <v>250729</v>
      </c>
      <c r="U55" s="218">
        <f t="shared" si="10"/>
        <v>8.3509776041827993E-2</v>
      </c>
      <c r="V55" s="219">
        <f t="shared" si="4"/>
        <v>-6.0679738953867364E-2</v>
      </c>
      <c r="W55" s="111"/>
      <c r="X55" s="85"/>
    </row>
    <row r="56" spans="1:24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199">
        <v>-113919.04882074999</v>
      </c>
      <c r="I56" s="199">
        <v>-138457</v>
      </c>
      <c r="J56" s="199">
        <v>-174487</v>
      </c>
      <c r="K56" s="135">
        <v>-46692</v>
      </c>
      <c r="L56" s="135">
        <v>-54819</v>
      </c>
      <c r="M56" s="135">
        <v>-44055</v>
      </c>
      <c r="N56" s="129">
        <f t="shared" si="7"/>
        <v>-3.2144639568515397E-2</v>
      </c>
      <c r="O56" s="135">
        <v>-25831</v>
      </c>
      <c r="P56" s="129">
        <f t="shared" si="8"/>
        <v>-1.8069120278462136E-2</v>
      </c>
      <c r="Q56" s="129">
        <f t="shared" si="5"/>
        <v>-0.41366473726024289</v>
      </c>
      <c r="R56" s="222">
        <v>-90747</v>
      </c>
      <c r="S56" s="219">
        <f t="shared" si="9"/>
        <v>-3.4734683316389646E-2</v>
      </c>
      <c r="T56" s="222">
        <v>-80650</v>
      </c>
      <c r="U56" s="219">
        <f t="shared" si="10"/>
        <v>-2.6861924379602789E-2</v>
      </c>
      <c r="V56" s="219">
        <f t="shared" si="4"/>
        <v>-0.1112653861835653</v>
      </c>
      <c r="W56" s="101"/>
    </row>
    <row r="57" spans="1:24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199">
        <v>-2137.6216936399992</v>
      </c>
      <c r="I57" s="199">
        <v>-2156</v>
      </c>
      <c r="J57" s="199">
        <v>-416</v>
      </c>
      <c r="K57" s="135">
        <v>276</v>
      </c>
      <c r="L57" s="135">
        <v>-1156</v>
      </c>
      <c r="M57" s="135">
        <v>-50</v>
      </c>
      <c r="N57" s="129">
        <f t="shared" si="7"/>
        <v>-3.648239651403405E-5</v>
      </c>
      <c r="O57" s="135">
        <v>-496</v>
      </c>
      <c r="P57" s="129">
        <f t="shared" si="8"/>
        <v>-3.4695844752883042E-4</v>
      </c>
      <c r="Q57" s="129">
        <f t="shared" si="5"/>
        <v>8.92</v>
      </c>
      <c r="R57" s="222">
        <v>226</v>
      </c>
      <c r="S57" s="219">
        <f t="shared" si="9"/>
        <v>8.6504660534277283E-5</v>
      </c>
      <c r="T57" s="222">
        <v>-1652</v>
      </c>
      <c r="U57" s="219">
        <f t="shared" si="10"/>
        <v>-5.5022813484319666E-4</v>
      </c>
      <c r="V57" s="219">
        <f t="shared" si="4"/>
        <v>-8.3097345132743357</v>
      </c>
      <c r="W57" s="101"/>
    </row>
    <row r="58" spans="1:24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206">
        <f t="shared" ref="H58:M58" si="15">+H55+H56+H57</f>
        <v>253511.34589881651</v>
      </c>
      <c r="I58" s="206">
        <f t="shared" si="15"/>
        <v>345507</v>
      </c>
      <c r="J58" s="206">
        <f t="shared" si="15"/>
        <v>380235</v>
      </c>
      <c r="K58" s="136">
        <f t="shared" si="15"/>
        <v>79286</v>
      </c>
      <c r="L58" s="136">
        <f t="shared" si="15"/>
        <v>85055</v>
      </c>
      <c r="M58" s="136">
        <f t="shared" si="15"/>
        <v>97119</v>
      </c>
      <c r="N58" s="139">
        <f t="shared" si="7"/>
        <v>7.086267734092945E-2</v>
      </c>
      <c r="O58" s="136">
        <f>+O55+O56+O57</f>
        <v>83372</v>
      </c>
      <c r="P58" s="139">
        <f t="shared" si="8"/>
        <v>5.8319797756801711E-2</v>
      </c>
      <c r="Q58" s="139">
        <f t="shared" si="5"/>
        <v>-0.14154799781711097</v>
      </c>
      <c r="R58" s="223">
        <f>+R55+R56+R57</f>
        <v>176405</v>
      </c>
      <c r="S58" s="224">
        <f t="shared" si="9"/>
        <v>6.7521480714819393E-2</v>
      </c>
      <c r="T58" s="223">
        <f>+T55+T56+T57</f>
        <v>168427</v>
      </c>
      <c r="U58" s="224">
        <f t="shared" si="10"/>
        <v>5.6097623527382012E-2</v>
      </c>
      <c r="V58" s="224">
        <f>+(T58-R58)/R58</f>
        <v>-4.5225475468382417E-2</v>
      </c>
      <c r="W58" s="111"/>
      <c r="X58" s="85"/>
    </row>
    <row r="59" spans="1:24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200">
        <v>568131.17041880696</v>
      </c>
      <c r="I59" s="200">
        <v>671095</v>
      </c>
      <c r="J59" s="200">
        <v>832827</v>
      </c>
      <c r="K59" s="137">
        <v>179705</v>
      </c>
      <c r="L59" s="137">
        <v>218965</v>
      </c>
      <c r="M59" s="137">
        <v>196119</v>
      </c>
      <c r="N59" s="130">
        <f t="shared" si="7"/>
        <v>0.14309782243871688</v>
      </c>
      <c r="O59" s="137">
        <v>198720</v>
      </c>
      <c r="P59" s="130">
        <f t="shared" si="8"/>
        <v>0.13900722317122818</v>
      </c>
      <c r="Q59" s="130">
        <f t="shared" si="5"/>
        <v>1.3262356018539765E-2</v>
      </c>
      <c r="R59" s="225">
        <v>375824</v>
      </c>
      <c r="S59" s="226">
        <f t="shared" si="9"/>
        <v>0.14385189177271782</v>
      </c>
      <c r="T59" s="225">
        <v>417685</v>
      </c>
      <c r="U59" s="226">
        <f t="shared" si="10"/>
        <v>0.13911745672032724</v>
      </c>
      <c r="V59" s="226">
        <f>+(T59-R59)/R59</f>
        <v>0.11138458427348971</v>
      </c>
      <c r="W59" s="111"/>
      <c r="X59" s="85"/>
    </row>
    <row r="60" spans="1:24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24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24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24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24" s="85" customFormat="1" x14ac:dyDescent="0.3">
      <c r="H64" s="81"/>
      <c r="I64" s="81"/>
      <c r="J64" s="81"/>
      <c r="K64" s="81"/>
      <c r="L64" s="89"/>
      <c r="M64" s="82"/>
      <c r="N64" s="101"/>
      <c r="O64" s="101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pageSetup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="99" zoomScaleNormal="99" workbookViewId="0">
      <pane xSplit="1" ySplit="10" topLeftCell="J32" activePane="bottomRight" state="frozen"/>
      <selection pane="topRight" activeCell="B1" sqref="B1"/>
      <selection pane="bottomLeft" activeCell="A11" sqref="A11"/>
      <selection pane="bottomRight" activeCell="P38" sqref="P38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20" x14ac:dyDescent="0.3">
      <c r="M1" s="75"/>
      <c r="N1" s="76"/>
      <c r="O1" s="76"/>
    </row>
    <row r="2" spans="1:20" x14ac:dyDescent="0.3">
      <c r="M2" s="75"/>
      <c r="N2" s="76"/>
      <c r="O2" s="76"/>
    </row>
    <row r="3" spans="1:20" x14ac:dyDescent="0.3">
      <c r="M3" s="75"/>
      <c r="N3" s="76"/>
      <c r="O3" s="76"/>
    </row>
    <row r="4" spans="1:20" x14ac:dyDescent="0.3">
      <c r="M4" s="75"/>
      <c r="N4" s="76"/>
      <c r="O4" s="76"/>
    </row>
    <row r="5" spans="1:20" x14ac:dyDescent="0.3">
      <c r="M5" s="75"/>
      <c r="N5" s="76"/>
      <c r="O5" s="76"/>
    </row>
    <row r="6" spans="1:20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20" ht="15.75" x14ac:dyDescent="0.3">
      <c r="A7" s="78" t="s">
        <v>114</v>
      </c>
      <c r="B7" s="78"/>
      <c r="C7" s="78"/>
      <c r="D7" s="78"/>
      <c r="E7" s="78"/>
      <c r="F7" s="78"/>
      <c r="G7" s="78"/>
      <c r="M7" s="75"/>
      <c r="N7" s="76"/>
      <c r="O7" s="76"/>
    </row>
    <row r="8" spans="1:20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20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98">
        <v>2011</v>
      </c>
      <c r="I10" s="157">
        <v>2012</v>
      </c>
      <c r="J10" s="145">
        <v>2013</v>
      </c>
      <c r="K10" s="158" t="s">
        <v>46</v>
      </c>
      <c r="L10" s="145">
        <v>2013</v>
      </c>
      <c r="M10" s="145">
        <v>2014</v>
      </c>
      <c r="N10" s="158" t="s">
        <v>46</v>
      </c>
    </row>
    <row r="11" spans="1:20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199">
        <v>94</v>
      </c>
      <c r="I11" s="135">
        <v>74</v>
      </c>
      <c r="J11" s="135">
        <v>58</v>
      </c>
      <c r="K11" s="129">
        <f>(J11-I11)/I11</f>
        <v>-0.21621621621621623</v>
      </c>
      <c r="L11" s="135">
        <v>186</v>
      </c>
      <c r="M11" s="135">
        <v>227</v>
      </c>
      <c r="N11" s="129">
        <f>IF(L11&lt;&gt;0,(M11-L11)/L11,0)</f>
        <v>0.22043010752688172</v>
      </c>
      <c r="O11" s="82"/>
    </row>
    <row r="12" spans="1:20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199">
        <v>3554895</v>
      </c>
      <c r="I12" s="135">
        <v>3748346</v>
      </c>
      <c r="J12" s="135">
        <v>4126523</v>
      </c>
      <c r="K12" s="129">
        <f t="shared" ref="K12:K13" si="0">(J12-I12)/I12</f>
        <v>0.10089169996579825</v>
      </c>
      <c r="L12" s="135">
        <v>3944362</v>
      </c>
      <c r="M12" s="135">
        <v>3988589</v>
      </c>
      <c r="N12" s="129">
        <f t="shared" ref="N12:N17" si="1">IF(L12&lt;&gt;0,(M12-L12)/L12,0)</f>
        <v>1.1212713234738596E-2</v>
      </c>
      <c r="O12" s="82"/>
    </row>
    <row r="13" spans="1:20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199">
        <v>10662</v>
      </c>
      <c r="I13" s="135">
        <v>14922</v>
      </c>
      <c r="J13" s="135">
        <v>18191</v>
      </c>
      <c r="K13" s="129">
        <f t="shared" si="0"/>
        <v>0.21907251038734754</v>
      </c>
      <c r="L13" s="135">
        <v>27401</v>
      </c>
      <c r="M13" s="135">
        <v>28809</v>
      </c>
      <c r="N13" s="129">
        <f t="shared" si="1"/>
        <v>5.1384985949417906E-2</v>
      </c>
      <c r="O13" s="82"/>
      <c r="P13" s="85"/>
      <c r="R13" s="85"/>
      <c r="S13" s="85"/>
      <c r="T13" s="85"/>
    </row>
    <row r="14" spans="1:20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199">
        <v>0</v>
      </c>
      <c r="I14" s="135">
        <v>0</v>
      </c>
      <c r="J14" s="135">
        <v>0</v>
      </c>
      <c r="K14" s="129">
        <v>0</v>
      </c>
      <c r="L14" s="135">
        <v>0</v>
      </c>
      <c r="M14" s="135">
        <v>0</v>
      </c>
      <c r="N14" s="129">
        <f t="shared" si="1"/>
        <v>0</v>
      </c>
      <c r="O14" s="82"/>
      <c r="P14" s="85"/>
      <c r="R14" s="85"/>
      <c r="S14" s="85"/>
      <c r="T14" s="85"/>
    </row>
    <row r="15" spans="1:20" s="89" customFormat="1" x14ac:dyDescent="0.3">
      <c r="A15" s="88" t="s">
        <v>83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199">
        <f>503+155</f>
        <v>658</v>
      </c>
      <c r="I15" s="135">
        <v>118</v>
      </c>
      <c r="J15" s="135">
        <v>4612</v>
      </c>
      <c r="K15" s="197" t="s">
        <v>116</v>
      </c>
      <c r="L15" s="135">
        <v>4751</v>
      </c>
      <c r="M15" s="135">
        <v>7341</v>
      </c>
      <c r="N15" s="129">
        <f t="shared" si="1"/>
        <v>0.545148389812671</v>
      </c>
      <c r="O15" s="82"/>
      <c r="P15" s="85"/>
      <c r="R15" s="85"/>
      <c r="S15" s="85"/>
      <c r="T15" s="85"/>
    </row>
    <row r="16" spans="1:20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199">
        <v>2979150</v>
      </c>
      <c r="I16" s="135">
        <v>3733696</v>
      </c>
      <c r="J16" s="135">
        <v>3357714</v>
      </c>
      <c r="K16" s="129">
        <f>(J16-I16)/I16</f>
        <v>-0.10069968203088843</v>
      </c>
      <c r="L16" s="135">
        <v>3866241</v>
      </c>
      <c r="M16" s="135">
        <v>4000383</v>
      </c>
      <c r="N16" s="129">
        <f t="shared" si="1"/>
        <v>3.4695716071502007E-2</v>
      </c>
      <c r="O16" s="82"/>
      <c r="P16" s="85"/>
      <c r="R16" s="85"/>
      <c r="S16" s="85"/>
      <c r="T16" s="85"/>
    </row>
    <row r="17" spans="1:20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2">SUM(F11:F16)</f>
        <v>5514960</v>
      </c>
      <c r="G17" s="91">
        <f t="shared" si="2"/>
        <v>6403741</v>
      </c>
      <c r="H17" s="200">
        <f>SUM(H11:H16)</f>
        <v>6545459</v>
      </c>
      <c r="I17" s="137">
        <f>SUM(I11:I16)</f>
        <v>7497156</v>
      </c>
      <c r="J17" s="137">
        <f>SUM(J11:J16)</f>
        <v>7507098</v>
      </c>
      <c r="K17" s="159">
        <f>(J17-I17)/I17</f>
        <v>1.3261028582038309E-3</v>
      </c>
      <c r="L17" s="137">
        <f>SUM(L11:L16)</f>
        <v>7842941</v>
      </c>
      <c r="M17" s="137">
        <f>SUM(M11:M16)</f>
        <v>8025349</v>
      </c>
      <c r="N17" s="159">
        <f t="shared" si="1"/>
        <v>2.3257601963345129E-2</v>
      </c>
      <c r="O17" s="82"/>
      <c r="P17" s="85"/>
      <c r="R17" s="85"/>
      <c r="S17" s="85"/>
      <c r="T17" s="85"/>
    </row>
    <row r="18" spans="1:20" s="85" customFormat="1" x14ac:dyDescent="0.3">
      <c r="B18" s="81"/>
      <c r="C18" s="81"/>
      <c r="D18" s="81"/>
      <c r="E18" s="81"/>
      <c r="F18" s="81"/>
      <c r="G18" s="81"/>
      <c r="H18" s="199"/>
      <c r="I18" s="135"/>
      <c r="J18" s="135"/>
      <c r="K18" s="129"/>
      <c r="L18" s="135"/>
      <c r="M18" s="135"/>
      <c r="N18" s="129"/>
      <c r="O18" s="107"/>
    </row>
    <row r="19" spans="1:20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207"/>
      <c r="I19" s="161"/>
      <c r="J19" s="161"/>
      <c r="K19" s="162"/>
      <c r="L19" s="161"/>
      <c r="M19" s="161"/>
      <c r="N19" s="162"/>
      <c r="O19" s="107"/>
      <c r="P19" s="85"/>
      <c r="R19" s="85"/>
      <c r="S19" s="85"/>
      <c r="T19" s="85"/>
    </row>
    <row r="20" spans="1:20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199">
        <v>0</v>
      </c>
      <c r="I20" s="135">
        <v>7</v>
      </c>
      <c r="J20" s="135">
        <v>0</v>
      </c>
      <c r="K20" s="129">
        <f>(J20-I20)/I20</f>
        <v>-1</v>
      </c>
      <c r="L20" s="135">
        <v>0</v>
      </c>
      <c r="M20" s="135">
        <v>0</v>
      </c>
      <c r="N20" s="129">
        <f t="shared" ref="N20:N28" si="3">IF(L20&lt;&gt;0,(M20-L20)/L20,0)</f>
        <v>0</v>
      </c>
      <c r="O20" s="82"/>
      <c r="P20" s="85"/>
      <c r="R20" s="85"/>
      <c r="S20" s="85"/>
      <c r="T20" s="85"/>
    </row>
    <row r="21" spans="1:20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199">
        <v>59466</v>
      </c>
      <c r="I21" s="135">
        <v>65083</v>
      </c>
      <c r="J21" s="135">
        <v>70701</v>
      </c>
      <c r="K21" s="129">
        <f>(J21-I21)/I21</f>
        <v>8.6320544535439359E-2</v>
      </c>
      <c r="L21" s="135">
        <v>119625</v>
      </c>
      <c r="M21" s="135">
        <v>124033</v>
      </c>
      <c r="N21" s="129">
        <f t="shared" si="3"/>
        <v>3.6848484848484846E-2</v>
      </c>
      <c r="O21" s="82"/>
      <c r="P21" s="85"/>
      <c r="R21" s="85"/>
      <c r="S21" s="85"/>
      <c r="T21" s="85"/>
    </row>
    <row r="22" spans="1:20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199">
        <v>585</v>
      </c>
      <c r="I22" s="135">
        <v>657</v>
      </c>
      <c r="J22" s="135">
        <v>2299</v>
      </c>
      <c r="K22" s="129">
        <f t="shared" ref="K22:K26" si="4">(J22-I22)/I22</f>
        <v>2.4992389649923896</v>
      </c>
      <c r="L22" s="135">
        <v>1901</v>
      </c>
      <c r="M22" s="135">
        <v>1425</v>
      </c>
      <c r="N22" s="129">
        <f t="shared" si="3"/>
        <v>-0.25039452919516042</v>
      </c>
      <c r="O22" s="82"/>
    </row>
    <row r="23" spans="1:20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199">
        <v>872</v>
      </c>
      <c r="I23" s="135">
        <v>481</v>
      </c>
      <c r="J23" s="135">
        <v>932</v>
      </c>
      <c r="K23" s="129">
        <f t="shared" si="4"/>
        <v>0.93762993762993763</v>
      </c>
      <c r="L23" s="135">
        <v>111</v>
      </c>
      <c r="M23" s="135">
        <v>72</v>
      </c>
      <c r="N23" s="129">
        <f t="shared" si="3"/>
        <v>-0.35135135135135137</v>
      </c>
      <c r="O23" s="82"/>
    </row>
    <row r="24" spans="1:20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199">
        <v>0</v>
      </c>
      <c r="I24" s="135">
        <v>0</v>
      </c>
      <c r="J24" s="135">
        <v>0</v>
      </c>
      <c r="K24" s="129">
        <v>0</v>
      </c>
      <c r="L24" s="135">
        <v>2370</v>
      </c>
      <c r="M24" s="135">
        <v>1028</v>
      </c>
      <c r="N24" s="129">
        <f t="shared" si="3"/>
        <v>-0.56624472573839657</v>
      </c>
      <c r="O24" s="82"/>
    </row>
    <row r="25" spans="1:20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199">
        <v>8296</v>
      </c>
      <c r="I25" s="135">
        <v>8803</v>
      </c>
      <c r="J25" s="135">
        <v>9622</v>
      </c>
      <c r="K25" s="129">
        <f t="shared" si="4"/>
        <v>9.3036464841531302E-2</v>
      </c>
      <c r="L25" s="135">
        <v>19244</v>
      </c>
      <c r="M25" s="135">
        <v>21476</v>
      </c>
      <c r="N25" s="129">
        <f t="shared" si="3"/>
        <v>0.11598420286842652</v>
      </c>
      <c r="O25" s="82"/>
    </row>
    <row r="26" spans="1:20" s="95" customFormat="1" x14ac:dyDescent="0.3">
      <c r="A26" s="93" t="s">
        <v>33</v>
      </c>
      <c r="B26" s="80">
        <f t="shared" ref="B26:G26" si="5">SUM(B20:B25)</f>
        <v>43329</v>
      </c>
      <c r="C26" s="80">
        <f t="shared" si="5"/>
        <v>63235</v>
      </c>
      <c r="D26" s="80">
        <f t="shared" si="5"/>
        <v>73581</v>
      </c>
      <c r="E26" s="80">
        <f t="shared" si="5"/>
        <v>83903</v>
      </c>
      <c r="F26" s="80">
        <f t="shared" si="5"/>
        <v>115757</v>
      </c>
      <c r="G26" s="80">
        <f t="shared" si="5"/>
        <v>80066</v>
      </c>
      <c r="H26" s="202">
        <f>SUM(H20:H25)</f>
        <v>69219</v>
      </c>
      <c r="I26" s="134">
        <f>SUM(I20:I25)</f>
        <v>75031</v>
      </c>
      <c r="J26" s="134">
        <f>SUM(J20:J25)</f>
        <v>83554</v>
      </c>
      <c r="K26" s="129">
        <f t="shared" si="4"/>
        <v>0.11359304820674121</v>
      </c>
      <c r="L26" s="134">
        <f>SUM(L20:L25)</f>
        <v>143251</v>
      </c>
      <c r="M26" s="134">
        <f>SUM(M20:M25)</f>
        <v>148034</v>
      </c>
      <c r="N26" s="138">
        <f t="shared" si="3"/>
        <v>3.3388946674019725E-2</v>
      </c>
      <c r="O26" s="82"/>
      <c r="P26" s="85"/>
      <c r="R26" s="85"/>
      <c r="S26" s="85"/>
      <c r="T26" s="85"/>
    </row>
    <row r="27" spans="1:20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203">
        <v>6476240</v>
      </c>
      <c r="I27" s="163">
        <f>+I17-I26</f>
        <v>7422125</v>
      </c>
      <c r="J27" s="163">
        <f>+J17-J26</f>
        <v>7423544</v>
      </c>
      <c r="K27" s="131">
        <f>(J27-I27)/I27</f>
        <v>1.9118513902689595E-4</v>
      </c>
      <c r="L27" s="163">
        <f>+L17-L26</f>
        <v>7699690</v>
      </c>
      <c r="M27" s="163">
        <f>+M17-M26</f>
        <v>7877315</v>
      </c>
      <c r="N27" s="131">
        <f t="shared" si="3"/>
        <v>2.3069110574581574E-2</v>
      </c>
      <c r="O27" s="82"/>
      <c r="P27" s="85"/>
      <c r="R27" s="85"/>
      <c r="S27" s="85"/>
      <c r="T27" s="85"/>
    </row>
    <row r="28" spans="1:20" s="95" customFormat="1" ht="15.75" thickBot="1" x14ac:dyDescent="0.35">
      <c r="A28" s="90" t="s">
        <v>35</v>
      </c>
      <c r="B28" s="91">
        <f t="shared" ref="B28:G28" si="6">+B26+B27</f>
        <v>3744102</v>
      </c>
      <c r="C28" s="91">
        <f t="shared" si="6"/>
        <v>4028640</v>
      </c>
      <c r="D28" s="91">
        <f t="shared" si="6"/>
        <v>4241740</v>
      </c>
      <c r="E28" s="91">
        <f t="shared" si="6"/>
        <v>3957512</v>
      </c>
      <c r="F28" s="91">
        <f t="shared" si="6"/>
        <v>5514960</v>
      </c>
      <c r="G28" s="91">
        <f t="shared" si="6"/>
        <v>6403741</v>
      </c>
      <c r="H28" s="200">
        <f>+H26+H27</f>
        <v>6545459</v>
      </c>
      <c r="I28" s="137">
        <f>+I26+I27</f>
        <v>7497156</v>
      </c>
      <c r="J28" s="137">
        <f>+J26+J27</f>
        <v>7507098</v>
      </c>
      <c r="K28" s="130">
        <f>(J28-I28)/I28</f>
        <v>1.3261028582038309E-3</v>
      </c>
      <c r="L28" s="137">
        <f>+L26+L27</f>
        <v>7842941</v>
      </c>
      <c r="M28" s="137">
        <f>+M26+M27</f>
        <v>8025349</v>
      </c>
      <c r="N28" s="130">
        <f t="shared" si="3"/>
        <v>2.3257601963345129E-2</v>
      </c>
      <c r="O28" s="82"/>
      <c r="P28" s="85"/>
      <c r="R28" s="85"/>
      <c r="S28" s="85"/>
      <c r="T28" s="85"/>
    </row>
    <row r="29" spans="1:20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199">
        <f>435123458+25000000</f>
        <v>460123458</v>
      </c>
      <c r="I29" s="135">
        <f>435123458+25000000</f>
        <v>460123458</v>
      </c>
      <c r="J29" s="135">
        <f>435123458+25000000</f>
        <v>460123458</v>
      </c>
      <c r="K29" s="129"/>
      <c r="L29" s="135">
        <f>435123458+25000000</f>
        <v>460123458</v>
      </c>
      <c r="M29" s="135">
        <f>435123458+25000000</f>
        <v>460123458</v>
      </c>
      <c r="N29" s="129"/>
      <c r="O29" s="107"/>
    </row>
    <row r="30" spans="1:20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7">+F27/+(F29/1000000)</f>
        <v>12408.439261851976</v>
      </c>
      <c r="G30" s="100">
        <f t="shared" si="7"/>
        <v>14533.059258781675</v>
      </c>
      <c r="H30" s="208">
        <f>+H27/+(H29/1000000)</f>
        <v>14075.005060924323</v>
      </c>
      <c r="I30" s="165">
        <f>+I27/+(I29/1000000)</f>
        <v>16130.725071617626</v>
      </c>
      <c r="J30" s="165">
        <f>+J27/+(J29/1000000)</f>
        <v>16133.809026533047</v>
      </c>
      <c r="K30" s="129"/>
      <c r="L30" s="165">
        <f>+L27/+(L29/1000000)</f>
        <v>16733.965343709991</v>
      </c>
      <c r="M30" s="165">
        <f>+M27/+(M29/1000000)</f>
        <v>17120.003040575251</v>
      </c>
      <c r="N30" s="129"/>
      <c r="O30" s="107"/>
    </row>
    <row r="31" spans="1:20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N31" s="107"/>
    </row>
    <row r="32" spans="1:20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N32" s="107"/>
    </row>
    <row r="33" spans="1:24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109"/>
      <c r="O33" s="76"/>
    </row>
    <row r="34" spans="1:24" ht="15.75" x14ac:dyDescent="0.3">
      <c r="A34" s="78" t="s">
        <v>133</v>
      </c>
      <c r="B34" s="78"/>
      <c r="C34" s="78"/>
      <c r="D34" s="78"/>
      <c r="E34" s="78"/>
      <c r="F34" s="78"/>
      <c r="G34" s="78"/>
      <c r="M34" s="75"/>
      <c r="N34" s="109"/>
      <c r="O34" s="76"/>
    </row>
    <row r="35" spans="1:24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109"/>
      <c r="O35" s="76"/>
    </row>
    <row r="36" spans="1:24" s="85" customFormat="1" x14ac:dyDescent="0.3">
      <c r="H36" s="81"/>
      <c r="I36" s="81"/>
      <c r="J36" s="81"/>
      <c r="K36" s="81"/>
      <c r="L36" s="82"/>
      <c r="N36" s="107"/>
    </row>
    <row r="37" spans="1:24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98">
        <v>2011</v>
      </c>
      <c r="I37" s="156">
        <v>2012</v>
      </c>
      <c r="J37" s="210">
        <v>2013</v>
      </c>
      <c r="K37" s="145" t="s">
        <v>95</v>
      </c>
      <c r="L37" s="145" t="s">
        <v>124</v>
      </c>
      <c r="M37" s="145" t="s">
        <v>100</v>
      </c>
      <c r="N37" s="145" t="s">
        <v>127</v>
      </c>
      <c r="O37" s="145" t="s">
        <v>112</v>
      </c>
      <c r="P37" s="145" t="s">
        <v>132</v>
      </c>
      <c r="Q37" s="167" t="s">
        <v>46</v>
      </c>
      <c r="R37" s="145" t="s">
        <v>109</v>
      </c>
      <c r="S37" s="145" t="s">
        <v>128</v>
      </c>
      <c r="T37" s="167" t="s">
        <v>46</v>
      </c>
      <c r="V37" s="107"/>
    </row>
    <row r="38" spans="1:24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202">
        <v>223644</v>
      </c>
      <c r="I38" s="80">
        <v>312990</v>
      </c>
      <c r="J38" s="211">
        <v>344939</v>
      </c>
      <c r="K38" s="134">
        <v>77093</v>
      </c>
      <c r="L38" s="134">
        <v>78232</v>
      </c>
      <c r="M38" s="134">
        <v>88356</v>
      </c>
      <c r="N38" s="134">
        <v>74755</v>
      </c>
      <c r="O38" s="134">
        <v>91080</v>
      </c>
      <c r="P38" s="134">
        <f>+S38-L38-N38</f>
        <v>84646</v>
      </c>
      <c r="Q38" s="129">
        <f>(P38-O38)/O38</f>
        <v>-7.0641194554238035E-2</v>
      </c>
      <c r="R38" s="134">
        <v>256529</v>
      </c>
      <c r="S38" s="134">
        <v>237633</v>
      </c>
      <c r="T38" s="129">
        <f t="shared" ref="T38:T44" si="8">IF(R38&lt;&gt;0,(S38-R38)/R38,0)</f>
        <v>-7.3660287920663939E-2</v>
      </c>
      <c r="U38" s="169"/>
      <c r="V38" s="85"/>
      <c r="W38" s="85"/>
      <c r="X38" s="85"/>
    </row>
    <row r="39" spans="1:24" s="85" customFormat="1" x14ac:dyDescent="0.3">
      <c r="A39" s="85" t="s">
        <v>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199">
        <v>11024</v>
      </c>
      <c r="I39" s="81">
        <v>0</v>
      </c>
      <c r="J39" s="212">
        <v>-176</v>
      </c>
      <c r="K39" s="135">
        <v>0</v>
      </c>
      <c r="L39" s="135">
        <v>640</v>
      </c>
      <c r="M39" s="135">
        <v>-176</v>
      </c>
      <c r="N39" s="135">
        <v>0</v>
      </c>
      <c r="O39" s="135">
        <v>0</v>
      </c>
      <c r="P39" s="135">
        <f>+S39-L39-N39</f>
        <v>0</v>
      </c>
      <c r="Q39" s="197" t="s">
        <v>131</v>
      </c>
      <c r="R39" s="135">
        <v>-176</v>
      </c>
      <c r="S39" s="135">
        <v>640</v>
      </c>
      <c r="T39" s="129">
        <f t="shared" si="8"/>
        <v>-4.6363636363636367</v>
      </c>
      <c r="U39" s="169"/>
    </row>
    <row r="40" spans="1:24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199">
        <v>33432</v>
      </c>
      <c r="I40" s="81">
        <v>35105</v>
      </c>
      <c r="J40" s="212">
        <v>39426</v>
      </c>
      <c r="K40" s="135">
        <v>8803</v>
      </c>
      <c r="L40" s="135">
        <v>9622</v>
      </c>
      <c r="M40" s="135">
        <v>9861</v>
      </c>
      <c r="N40" s="135">
        <v>10926</v>
      </c>
      <c r="O40" s="135">
        <v>11140</v>
      </c>
      <c r="P40" s="135">
        <f>+S40-L40-N40</f>
        <v>10926</v>
      </c>
      <c r="Q40" s="129">
        <f t="shared" ref="Q40:Q49" si="9">(P40-O40)/O40</f>
        <v>-1.9210053859964094E-2</v>
      </c>
      <c r="R40" s="135">
        <v>29804</v>
      </c>
      <c r="S40" s="135">
        <v>31474</v>
      </c>
      <c r="T40" s="129">
        <f t="shared" si="8"/>
        <v>5.6032747282243993E-2</v>
      </c>
      <c r="U40" s="169"/>
      <c r="V40" s="85"/>
      <c r="W40" s="85"/>
      <c r="X40" s="85"/>
    </row>
    <row r="41" spans="1:24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199">
        <v>7221</v>
      </c>
      <c r="I41" s="81">
        <v>8379</v>
      </c>
      <c r="J41" s="212">
        <v>14465</v>
      </c>
      <c r="K41" s="135">
        <v>2650</v>
      </c>
      <c r="L41" s="135">
        <v>3254</v>
      </c>
      <c r="M41" s="135">
        <v>2920</v>
      </c>
      <c r="N41" s="135">
        <v>3379</v>
      </c>
      <c r="O41" s="135">
        <v>3537</v>
      </c>
      <c r="P41" s="135">
        <f>+S41-L41-N41</f>
        <v>2644</v>
      </c>
      <c r="Q41" s="129">
        <f t="shared" si="9"/>
        <v>-0.2524738478936952</v>
      </c>
      <c r="R41" s="135">
        <v>9107</v>
      </c>
      <c r="S41" s="135">
        <v>9277</v>
      </c>
      <c r="T41" s="129">
        <f t="shared" si="8"/>
        <v>1.8666959481717361E-2</v>
      </c>
      <c r="U41" s="169"/>
      <c r="V41" s="85"/>
      <c r="W41" s="85"/>
      <c r="X41" s="85"/>
    </row>
    <row r="42" spans="1:24" s="95" customFormat="1" x14ac:dyDescent="0.3">
      <c r="A42" s="95" t="s">
        <v>4</v>
      </c>
      <c r="B42" s="80">
        <f t="shared" ref="B42:G42" si="10">SUM(B38:B41)</f>
        <v>190916</v>
      </c>
      <c r="C42" s="80">
        <f t="shared" si="10"/>
        <v>244001</v>
      </c>
      <c r="D42" s="80">
        <f t="shared" si="10"/>
        <v>251869</v>
      </c>
      <c r="E42" s="80">
        <f>SUM(E38:E41)</f>
        <v>299526</v>
      </c>
      <c r="F42" s="80">
        <f t="shared" si="10"/>
        <v>235968</v>
      </c>
      <c r="G42" s="80">
        <f t="shared" si="10"/>
        <v>285499</v>
      </c>
      <c r="H42" s="202">
        <f>SUM(H38:H41)</f>
        <v>275321</v>
      </c>
      <c r="I42" s="80">
        <f>SUM(I38:I41)</f>
        <v>356474</v>
      </c>
      <c r="J42" s="211">
        <f t="shared" ref="J42" si="11">SUM(J38:J41)</f>
        <v>398654</v>
      </c>
      <c r="K42" s="134">
        <f t="shared" ref="K42:P42" si="12">SUM(K38:K41)</f>
        <v>88546</v>
      </c>
      <c r="L42" s="134">
        <f t="shared" si="12"/>
        <v>91748</v>
      </c>
      <c r="M42" s="134">
        <f t="shared" si="12"/>
        <v>100961</v>
      </c>
      <c r="N42" s="134">
        <f t="shared" si="12"/>
        <v>89060</v>
      </c>
      <c r="O42" s="134">
        <f t="shared" si="12"/>
        <v>105757</v>
      </c>
      <c r="P42" s="134">
        <f t="shared" si="12"/>
        <v>98216</v>
      </c>
      <c r="Q42" s="129">
        <f t="shared" si="9"/>
        <v>-7.1304972720481863E-2</v>
      </c>
      <c r="R42" s="134">
        <f t="shared" ref="R42" si="13">SUM(R38:R41)</f>
        <v>295264</v>
      </c>
      <c r="S42" s="134">
        <f>SUM(S38:S41)</f>
        <v>279024</v>
      </c>
      <c r="T42" s="129">
        <f t="shared" si="8"/>
        <v>-5.5001625663812725E-2</v>
      </c>
      <c r="U42" s="169"/>
      <c r="V42" s="85"/>
      <c r="W42" s="85"/>
      <c r="X42" s="85"/>
    </row>
    <row r="43" spans="1:24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199">
        <v>-9004</v>
      </c>
      <c r="I43" s="81">
        <v>-10090</v>
      </c>
      <c r="J43" s="212">
        <v>-13551</v>
      </c>
      <c r="K43" s="135">
        <f>-2393-5938</f>
        <v>-8331</v>
      </c>
      <c r="L43" s="135">
        <v>-6805</v>
      </c>
      <c r="M43" s="135">
        <v>1646</v>
      </c>
      <c r="N43" s="135">
        <v>-6216</v>
      </c>
      <c r="O43" s="135">
        <v>-3043</v>
      </c>
      <c r="P43" s="135">
        <f>+S43-L43-N43</f>
        <v>-6145</v>
      </c>
      <c r="Q43" s="129">
        <f t="shared" si="9"/>
        <v>1.0193887610910286</v>
      </c>
      <c r="R43" s="135">
        <v>-9728</v>
      </c>
      <c r="S43" s="135">
        <v>-19166</v>
      </c>
      <c r="T43" s="129">
        <f t="shared" si="8"/>
        <v>0.97018914473684215</v>
      </c>
      <c r="U43" s="169"/>
    </row>
    <row r="44" spans="1:24" s="95" customFormat="1" x14ac:dyDescent="0.3">
      <c r="A44" s="95" t="s">
        <v>42</v>
      </c>
      <c r="B44" s="80">
        <f t="shared" ref="B44:G44" si="14">SUM(B42:B43)</f>
        <v>168810</v>
      </c>
      <c r="C44" s="80">
        <f t="shared" si="14"/>
        <v>202580</v>
      </c>
      <c r="D44" s="80">
        <f t="shared" si="14"/>
        <v>244681</v>
      </c>
      <c r="E44" s="80">
        <f t="shared" si="14"/>
        <v>290753</v>
      </c>
      <c r="F44" s="80">
        <f t="shared" si="14"/>
        <v>227228</v>
      </c>
      <c r="G44" s="80">
        <f t="shared" si="14"/>
        <v>273936</v>
      </c>
      <c r="H44" s="202">
        <f>SUM(H42:H43)</f>
        <v>266317</v>
      </c>
      <c r="I44" s="80">
        <f>SUM(I42:I43)</f>
        <v>346384</v>
      </c>
      <c r="J44" s="211">
        <f t="shared" ref="J44" si="15">SUM(J42:J43)</f>
        <v>385103</v>
      </c>
      <c r="K44" s="134">
        <f t="shared" ref="K44:P44" si="16">SUM(K42:K43)</f>
        <v>80215</v>
      </c>
      <c r="L44" s="134">
        <f t="shared" si="16"/>
        <v>84943</v>
      </c>
      <c r="M44" s="134">
        <f t="shared" si="16"/>
        <v>102607</v>
      </c>
      <c r="N44" s="134">
        <f t="shared" si="16"/>
        <v>82844</v>
      </c>
      <c r="O44" s="134">
        <f t="shared" si="16"/>
        <v>102714</v>
      </c>
      <c r="P44" s="134">
        <f t="shared" si="16"/>
        <v>92071</v>
      </c>
      <c r="Q44" s="129">
        <f t="shared" si="9"/>
        <v>-0.10361781256693342</v>
      </c>
      <c r="R44" s="134">
        <f t="shared" ref="R44" si="17">SUM(R42:R43)</f>
        <v>285536</v>
      </c>
      <c r="S44" s="134">
        <f>SUM(S42:S43)</f>
        <v>259858</v>
      </c>
      <c r="T44" s="129">
        <f t="shared" si="8"/>
        <v>-8.9929115768239379E-2</v>
      </c>
      <c r="U44" s="169"/>
      <c r="V44" s="85"/>
      <c r="W44" s="85"/>
      <c r="X44" s="85"/>
    </row>
    <row r="45" spans="1:24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199">
        <v>814</v>
      </c>
      <c r="I45" s="81">
        <v>851</v>
      </c>
      <c r="J45" s="212">
        <v>203</v>
      </c>
      <c r="K45" s="135">
        <v>61</v>
      </c>
      <c r="L45" s="135">
        <v>7</v>
      </c>
      <c r="M45" s="135">
        <v>51</v>
      </c>
      <c r="N45" s="135">
        <v>1655</v>
      </c>
      <c r="O45" s="135">
        <v>130</v>
      </c>
      <c r="P45" s="135">
        <f>+S45-L45-N45</f>
        <v>24</v>
      </c>
      <c r="Q45" s="197">
        <f t="shared" si="9"/>
        <v>-0.81538461538461537</v>
      </c>
      <c r="R45" s="135">
        <v>242</v>
      </c>
      <c r="S45" s="135">
        <v>1686</v>
      </c>
      <c r="T45" s="197" t="s">
        <v>131</v>
      </c>
      <c r="U45" s="169"/>
      <c r="V45" s="85"/>
      <c r="W45" s="85"/>
      <c r="X45" s="85"/>
    </row>
    <row r="46" spans="1:24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199">
        <v>-11022</v>
      </c>
      <c r="I46" s="81">
        <v>-1390</v>
      </c>
      <c r="J46" s="212">
        <v>-2974</v>
      </c>
      <c r="K46" s="135">
        <v>-127</v>
      </c>
      <c r="L46" s="135">
        <v>-10</v>
      </c>
      <c r="M46" s="135">
        <v>-2839</v>
      </c>
      <c r="N46" s="135">
        <v>-8</v>
      </c>
      <c r="O46" s="135">
        <v>-18</v>
      </c>
      <c r="P46" s="135">
        <f>+S46-L46-N46</f>
        <v>0</v>
      </c>
      <c r="Q46" s="129">
        <f t="shared" si="9"/>
        <v>-1</v>
      </c>
      <c r="R46" s="135">
        <v>-2984</v>
      </c>
      <c r="S46" s="135">
        <v>-18</v>
      </c>
      <c r="T46" s="129">
        <f>IF(R46&lt;&gt;0,(S46-R46)/R46,0)</f>
        <v>-0.99396782841823061</v>
      </c>
      <c r="U46" s="169"/>
    </row>
    <row r="47" spans="1:24" s="95" customFormat="1" x14ac:dyDescent="0.3">
      <c r="A47" s="95" t="s">
        <v>43</v>
      </c>
      <c r="B47" s="80">
        <f t="shared" ref="B47:G47" si="18">SUM(B44:B46)</f>
        <v>172912</v>
      </c>
      <c r="C47" s="80">
        <f t="shared" si="18"/>
        <v>210911</v>
      </c>
      <c r="D47" s="80">
        <f t="shared" si="18"/>
        <v>244482</v>
      </c>
      <c r="E47" s="80">
        <f t="shared" si="18"/>
        <v>291080</v>
      </c>
      <c r="F47" s="80">
        <f t="shared" si="18"/>
        <v>225701</v>
      </c>
      <c r="G47" s="80">
        <f t="shared" si="18"/>
        <v>280279</v>
      </c>
      <c r="H47" s="202">
        <f>SUM(H44:H46)</f>
        <v>256109</v>
      </c>
      <c r="I47" s="80">
        <f>SUM(I44:I46)</f>
        <v>345845</v>
      </c>
      <c r="J47" s="211">
        <f t="shared" ref="J47" si="19">SUM(J44:J46)</f>
        <v>382332</v>
      </c>
      <c r="K47" s="134">
        <f t="shared" ref="K47:P47" si="20">SUM(K44:K46)</f>
        <v>80149</v>
      </c>
      <c r="L47" s="134">
        <f t="shared" si="20"/>
        <v>84940</v>
      </c>
      <c r="M47" s="134">
        <f t="shared" si="20"/>
        <v>99819</v>
      </c>
      <c r="N47" s="134">
        <f t="shared" si="20"/>
        <v>84491</v>
      </c>
      <c r="O47" s="134">
        <f t="shared" si="20"/>
        <v>102826</v>
      </c>
      <c r="P47" s="134">
        <f t="shared" si="20"/>
        <v>92095</v>
      </c>
      <c r="Q47" s="129">
        <f t="shared" si="9"/>
        <v>-0.1043607647871161</v>
      </c>
      <c r="R47" s="134">
        <f t="shared" ref="R47" si="21">SUM(R44:R46)</f>
        <v>282794</v>
      </c>
      <c r="S47" s="134">
        <f>SUM(S44:S46)</f>
        <v>261526</v>
      </c>
      <c r="T47" s="129">
        <f>IF(R47&lt;&gt;0,(S47-R47)/R47,0)</f>
        <v>-7.5206687553484156E-2</v>
      </c>
      <c r="U47" s="169"/>
      <c r="V47" s="85"/>
      <c r="W47" s="85"/>
      <c r="X47" s="85"/>
    </row>
    <row r="48" spans="1:24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199">
        <v>-127</v>
      </c>
      <c r="I48" s="81">
        <v>-361</v>
      </c>
      <c r="J48" s="212">
        <v>-2436</v>
      </c>
      <c r="K48" s="135">
        <v>-2289</v>
      </c>
      <c r="L48" s="135">
        <v>-54</v>
      </c>
      <c r="M48" s="135">
        <v>911</v>
      </c>
      <c r="N48" s="135">
        <v>-26</v>
      </c>
      <c r="O48" s="135">
        <v>-496</v>
      </c>
      <c r="P48" s="135">
        <f>+S48-L48-N48</f>
        <v>-27</v>
      </c>
      <c r="Q48" s="129">
        <f t="shared" si="9"/>
        <v>-0.94556451612903225</v>
      </c>
      <c r="R48" s="135">
        <v>-1874</v>
      </c>
      <c r="S48" s="135">
        <v>-107</v>
      </c>
      <c r="T48" s="129">
        <f>IF(R48&lt;&gt;0,(S48-R48)/R48,0)</f>
        <v>-0.94290288153681967</v>
      </c>
      <c r="U48" s="169"/>
    </row>
    <row r="49" spans="1:21" s="85" customFormat="1" ht="15.75" thickBot="1" x14ac:dyDescent="0.35">
      <c r="A49" s="102" t="s">
        <v>17</v>
      </c>
      <c r="B49" s="103">
        <f t="shared" ref="B49:G49" si="22">SUM(B47:B48)</f>
        <v>169411</v>
      </c>
      <c r="C49" s="103">
        <f t="shared" si="22"/>
        <v>210697</v>
      </c>
      <c r="D49" s="103">
        <f t="shared" si="22"/>
        <v>244292</v>
      </c>
      <c r="E49" s="103">
        <f t="shared" si="22"/>
        <v>291006</v>
      </c>
      <c r="F49" s="103">
        <f t="shared" si="22"/>
        <v>225496</v>
      </c>
      <c r="G49" s="103">
        <f t="shared" si="22"/>
        <v>278403</v>
      </c>
      <c r="H49" s="209">
        <f>SUM(H47:H48)</f>
        <v>255982</v>
      </c>
      <c r="I49" s="103">
        <f>SUM(I47:I48)</f>
        <v>345484</v>
      </c>
      <c r="J49" s="213">
        <f t="shared" ref="J49" si="23">SUM(J47:J48)</f>
        <v>379896</v>
      </c>
      <c r="K49" s="166">
        <f t="shared" ref="K49:P49" si="24">SUM(K47:K48)</f>
        <v>77860</v>
      </c>
      <c r="L49" s="166">
        <f t="shared" si="24"/>
        <v>84886</v>
      </c>
      <c r="M49" s="166">
        <f t="shared" si="24"/>
        <v>100730</v>
      </c>
      <c r="N49" s="166">
        <f t="shared" si="24"/>
        <v>84465</v>
      </c>
      <c r="O49" s="166">
        <f t="shared" si="24"/>
        <v>102330</v>
      </c>
      <c r="P49" s="166">
        <f t="shared" si="24"/>
        <v>92068</v>
      </c>
      <c r="Q49" s="130">
        <f t="shared" si="9"/>
        <v>-0.10028339685331769</v>
      </c>
      <c r="R49" s="166">
        <f t="shared" ref="R49" si="25">SUM(R47:R48)</f>
        <v>280920</v>
      </c>
      <c r="S49" s="166">
        <f>SUM(S47:S48)</f>
        <v>261419</v>
      </c>
      <c r="T49" s="130">
        <f>IF(R49&lt;&gt;0,(S49-R49)/R49,0)</f>
        <v>-6.9418339740851487E-2</v>
      </c>
      <c r="U49" s="169"/>
    </row>
    <row r="50" spans="1:21" s="85" customFormat="1" x14ac:dyDescent="0.3">
      <c r="C50" s="80"/>
      <c r="H50" s="81"/>
      <c r="I50" s="81"/>
      <c r="J50" s="81"/>
      <c r="K50" s="81"/>
      <c r="L50" s="82"/>
    </row>
    <row r="51" spans="1:21" s="85" customFormat="1" x14ac:dyDescent="0.3">
      <c r="A51" s="85" t="s">
        <v>53</v>
      </c>
      <c r="C51" s="81"/>
      <c r="H51" s="81"/>
      <c r="I51" s="81"/>
      <c r="J51" s="81"/>
      <c r="K51" s="81"/>
      <c r="L51" s="82"/>
    </row>
    <row r="52" spans="1:21" s="85" customFormat="1" x14ac:dyDescent="0.3">
      <c r="C52" s="81"/>
      <c r="E52" s="80"/>
      <c r="H52" s="81"/>
      <c r="I52" s="81"/>
      <c r="J52" s="81"/>
      <c r="K52" s="81"/>
      <c r="L52" s="82"/>
    </row>
    <row r="53" spans="1:21" s="85" customFormat="1" x14ac:dyDescent="0.3">
      <c r="C53" s="81"/>
      <c r="E53" s="81"/>
      <c r="H53" s="81"/>
      <c r="I53" s="81"/>
      <c r="J53" s="81"/>
      <c r="K53" s="81"/>
      <c r="L53" s="82"/>
    </row>
    <row r="54" spans="1:21" s="85" customFormat="1" x14ac:dyDescent="0.3">
      <c r="C54" s="80"/>
      <c r="E54" s="81"/>
      <c r="H54" s="81"/>
      <c r="I54" s="81"/>
      <c r="J54" s="81"/>
      <c r="K54" s="81"/>
      <c r="L54" s="82"/>
    </row>
    <row r="55" spans="1:21" s="85" customFormat="1" x14ac:dyDescent="0.3">
      <c r="C55" s="81"/>
      <c r="E55" s="81"/>
      <c r="H55" s="81"/>
      <c r="I55" s="81"/>
      <c r="J55" s="81"/>
      <c r="K55" s="81"/>
      <c r="L55" s="82"/>
    </row>
    <row r="56" spans="1:21" x14ac:dyDescent="0.3">
      <c r="C56" s="80"/>
      <c r="E56" s="80"/>
    </row>
    <row r="57" spans="1:21" x14ac:dyDescent="0.3">
      <c r="C57" s="81"/>
      <c r="E57" s="81"/>
    </row>
    <row r="58" spans="1:21" x14ac:dyDescent="0.3">
      <c r="C58" s="81"/>
      <c r="E58" s="80"/>
    </row>
  </sheetData>
  <pageMargins left="0.7" right="0.7" top="0.75" bottom="0.75" header="0.3" footer="0.3"/>
  <pageSetup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82"/>
  <sheetViews>
    <sheetView workbookViewId="0">
      <selection activeCell="J11" sqref="J11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9" width="11.140625" style="74" bestFit="1" customWidth="1"/>
    <col min="10" max="10" width="11.5703125" style="74" bestFit="1" customWidth="1"/>
    <col min="11" max="11" width="11.140625" style="74" bestFit="1" customWidth="1"/>
    <col min="12" max="12" width="11.5703125" style="75" bestFit="1" customWidth="1"/>
    <col min="13" max="13" width="11.7109375" style="75" customWidth="1"/>
    <col min="14" max="15" width="10.42578125" style="76" bestFit="1" customWidth="1"/>
    <col min="16" max="16" width="10.28515625" style="73" bestFit="1" customWidth="1"/>
    <col min="17" max="16384" width="11.42578125" style="73"/>
  </cols>
  <sheetData>
    <row r="6" spans="1:20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20" ht="15.75" x14ac:dyDescent="0.3">
      <c r="A7" s="78" t="s">
        <v>134</v>
      </c>
      <c r="B7" s="78"/>
      <c r="C7" s="78"/>
      <c r="D7" s="78"/>
      <c r="E7" s="78"/>
      <c r="F7" s="78"/>
      <c r="G7" s="78"/>
    </row>
    <row r="8" spans="1:20" x14ac:dyDescent="0.3">
      <c r="A8" s="79" t="s">
        <v>88</v>
      </c>
      <c r="B8" s="79"/>
      <c r="C8" s="79"/>
      <c r="D8" s="79"/>
      <c r="E8" s="79"/>
      <c r="F8" s="79"/>
      <c r="G8" s="79"/>
    </row>
    <row r="9" spans="1:20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98">
        <v>2011</v>
      </c>
      <c r="I10" s="145">
        <v>2012</v>
      </c>
      <c r="J10" s="145">
        <v>2013</v>
      </c>
      <c r="K10" s="146" t="s">
        <v>46</v>
      </c>
      <c r="L10" s="145">
        <v>2013</v>
      </c>
      <c r="M10" s="145">
        <v>2014</v>
      </c>
      <c r="N10" s="146" t="s">
        <v>46</v>
      </c>
      <c r="O10" s="83"/>
      <c r="P10" s="83"/>
      <c r="Q10" s="106"/>
      <c r="R10" s="84"/>
      <c r="S10" s="84"/>
      <c r="T10" s="84"/>
    </row>
    <row r="11" spans="1:20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99">
        <v>193087</v>
      </c>
      <c r="I11" s="117">
        <v>291812</v>
      </c>
      <c r="J11" s="117">
        <v>415478</v>
      </c>
      <c r="K11" s="129">
        <f t="shared" ref="K11:K20" si="0">+(J11-I11)/I11</f>
        <v>0.42378654750318701</v>
      </c>
      <c r="L11" s="117">
        <v>345435</v>
      </c>
      <c r="M11" s="117">
        <v>206875</v>
      </c>
      <c r="N11" s="129">
        <f>+(M11-L11)/L11</f>
        <v>-0.40111743164415881</v>
      </c>
      <c r="O11" s="83"/>
      <c r="P11" s="83"/>
      <c r="Q11" s="108"/>
      <c r="R11" s="84"/>
      <c r="S11" s="84"/>
      <c r="T11" s="84"/>
    </row>
    <row r="12" spans="1:20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99">
        <v>329071</v>
      </c>
      <c r="I12" s="117">
        <v>330090</v>
      </c>
      <c r="J12" s="117">
        <v>357830</v>
      </c>
      <c r="K12" s="129">
        <f t="shared" si="0"/>
        <v>8.4037686691508379E-2</v>
      </c>
      <c r="L12" s="117">
        <v>357305</v>
      </c>
      <c r="M12" s="117">
        <v>382341</v>
      </c>
      <c r="N12" s="129">
        <f t="shared" ref="N12:N19" si="1">+(M12-L12)/L12</f>
        <v>7.0068988679139674E-2</v>
      </c>
      <c r="O12" s="170"/>
      <c r="P12" s="83"/>
      <c r="Q12" s="106"/>
      <c r="R12" s="84"/>
      <c r="S12" s="84"/>
      <c r="T12" s="84"/>
    </row>
    <row r="13" spans="1:20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99">
        <v>650631</v>
      </c>
      <c r="I13" s="117">
        <v>681860</v>
      </c>
      <c r="J13" s="117">
        <v>857299</v>
      </c>
      <c r="K13" s="129">
        <f t="shared" si="0"/>
        <v>0.25729475258850792</v>
      </c>
      <c r="L13" s="117">
        <v>931013</v>
      </c>
      <c r="M13" s="117">
        <v>939344</v>
      </c>
      <c r="N13" s="129">
        <f t="shared" si="1"/>
        <v>8.9483175852539121E-3</v>
      </c>
      <c r="O13" s="83"/>
      <c r="P13" s="83"/>
      <c r="Q13" s="106"/>
      <c r="R13" s="84"/>
      <c r="S13" s="84"/>
      <c r="T13" s="84"/>
    </row>
    <row r="14" spans="1:20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99">
        <v>601866</v>
      </c>
      <c r="I14" s="117">
        <v>555796</v>
      </c>
      <c r="J14" s="117">
        <v>725323</v>
      </c>
      <c r="K14" s="129">
        <f t="shared" si="0"/>
        <v>0.30501658882035854</v>
      </c>
      <c r="L14" s="117">
        <v>751151</v>
      </c>
      <c r="M14" s="117">
        <v>830981</v>
      </c>
      <c r="N14" s="129">
        <f t="shared" si="1"/>
        <v>0.10627690038354472</v>
      </c>
      <c r="O14" s="83"/>
      <c r="P14" s="83"/>
      <c r="Q14" s="106"/>
      <c r="R14" s="84"/>
      <c r="S14" s="84"/>
      <c r="T14" s="84"/>
    </row>
    <row r="15" spans="1:20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99">
        <v>1009855</v>
      </c>
      <c r="I15" s="117">
        <v>1135785</v>
      </c>
      <c r="J15" s="117">
        <v>1456074</v>
      </c>
      <c r="K15" s="129">
        <f t="shared" si="0"/>
        <v>0.28199791333747143</v>
      </c>
      <c r="L15" s="117">
        <v>1379531</v>
      </c>
      <c r="M15" s="117">
        <v>1428263</v>
      </c>
      <c r="N15" s="129">
        <f t="shared" si="1"/>
        <v>3.5325048875306173E-2</v>
      </c>
      <c r="O15" s="83"/>
      <c r="P15" s="83"/>
      <c r="Q15" s="106"/>
      <c r="R15" s="84"/>
      <c r="S15" s="84"/>
      <c r="T15" s="84"/>
    </row>
    <row r="16" spans="1:20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99">
        <v>900384</v>
      </c>
      <c r="I16" s="117">
        <v>1025441</v>
      </c>
      <c r="J16" s="117">
        <v>2038332</v>
      </c>
      <c r="K16" s="129">
        <f t="shared" si="0"/>
        <v>0.9877613631598503</v>
      </c>
      <c r="L16" s="117">
        <v>2118695</v>
      </c>
      <c r="M16" s="117">
        <v>1879364</v>
      </c>
      <c r="N16" s="129">
        <f t="shared" si="1"/>
        <v>-0.11296151640514562</v>
      </c>
      <c r="O16" s="83"/>
      <c r="P16" s="83"/>
      <c r="Q16" s="106"/>
      <c r="R16" s="84"/>
      <c r="S16" s="84"/>
      <c r="T16" s="84"/>
    </row>
    <row r="17" spans="1:20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99">
        <v>130401</v>
      </c>
      <c r="I17" s="117">
        <v>57452</v>
      </c>
      <c r="J17" s="117">
        <v>101223</v>
      </c>
      <c r="K17" s="129">
        <f t="shared" si="0"/>
        <v>0.76187077908514933</v>
      </c>
      <c r="L17" s="117">
        <v>103310</v>
      </c>
      <c r="M17" s="117">
        <v>78501</v>
      </c>
      <c r="N17" s="129">
        <f t="shared" si="1"/>
        <v>-0.24014132223405285</v>
      </c>
      <c r="O17" s="83"/>
      <c r="P17" s="83"/>
      <c r="Q17" s="106"/>
      <c r="R17" s="84"/>
      <c r="S17" s="84"/>
      <c r="T17" s="84"/>
    </row>
    <row r="18" spans="1:20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99">
        <v>18323</v>
      </c>
      <c r="I18" s="117">
        <v>6913</v>
      </c>
      <c r="J18" s="117">
        <v>16502</v>
      </c>
      <c r="K18" s="129">
        <f t="shared" si="0"/>
        <v>1.3870967741935485</v>
      </c>
      <c r="L18" s="117">
        <v>14047</v>
      </c>
      <c r="M18" s="117">
        <v>24188</v>
      </c>
      <c r="N18" s="129">
        <f t="shared" si="1"/>
        <v>0.72193350893429198</v>
      </c>
      <c r="O18" s="83"/>
      <c r="P18" s="83"/>
      <c r="Q18" s="106"/>
      <c r="R18" s="84"/>
      <c r="S18" s="84"/>
      <c r="T18" s="84"/>
    </row>
    <row r="19" spans="1:20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99">
        <v>4097551</v>
      </c>
      <c r="I19" s="117">
        <v>4866415</v>
      </c>
      <c r="J19" s="117">
        <v>4612437</v>
      </c>
      <c r="K19" s="129">
        <f t="shared" si="0"/>
        <v>-5.2189959138297902E-2</v>
      </c>
      <c r="L19" s="117">
        <v>4989555</v>
      </c>
      <c r="M19" s="117">
        <v>5296045</v>
      </c>
      <c r="N19" s="129">
        <f t="shared" si="1"/>
        <v>6.1426319581605972E-2</v>
      </c>
      <c r="O19" s="83"/>
      <c r="P19" s="83"/>
      <c r="Q19" s="106"/>
      <c r="R19" s="84"/>
      <c r="S19" s="84"/>
      <c r="T19" s="84"/>
    </row>
    <row r="20" spans="1:20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200">
        <f>SUM(H11:H19)</f>
        <v>7931169</v>
      </c>
      <c r="I20" s="118">
        <f>SUM(I11:I19)</f>
        <v>8951564</v>
      </c>
      <c r="J20" s="118">
        <f>SUM(J11:J19)</f>
        <v>10580498</v>
      </c>
      <c r="K20" s="130">
        <f t="shared" si="0"/>
        <v>0.18197199952991455</v>
      </c>
      <c r="L20" s="118">
        <f>SUM(L11:L19)</f>
        <v>10990042</v>
      </c>
      <c r="M20" s="118">
        <f>SUM(M11:M19)</f>
        <v>11065902</v>
      </c>
      <c r="N20" s="130">
        <f>+(M20-L20)/L20</f>
        <v>6.9026123831009926E-3</v>
      </c>
      <c r="O20" s="83"/>
      <c r="P20" s="83"/>
      <c r="Q20" s="106"/>
      <c r="R20" s="84"/>
      <c r="S20" s="84"/>
      <c r="T20" s="84"/>
    </row>
    <row r="21" spans="1:20" s="85" customFormat="1" x14ac:dyDescent="0.3">
      <c r="A21" s="153"/>
      <c r="B21" s="81"/>
      <c r="C21" s="81"/>
      <c r="D21" s="81"/>
      <c r="E21" s="81"/>
      <c r="F21" s="81"/>
      <c r="G21" s="81"/>
      <c r="H21" s="199"/>
      <c r="I21" s="117"/>
      <c r="J21" s="117"/>
      <c r="K21" s="129"/>
      <c r="L21" s="117"/>
      <c r="M21" s="117"/>
      <c r="N21" s="129"/>
      <c r="O21" s="83"/>
      <c r="P21" s="83"/>
      <c r="Q21" s="106"/>
      <c r="R21" s="84"/>
      <c r="S21" s="84"/>
      <c r="T21" s="84"/>
    </row>
    <row r="22" spans="1:20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201">
        <v>2011</v>
      </c>
      <c r="I22" s="127">
        <v>2012</v>
      </c>
      <c r="J22" s="127">
        <v>2013</v>
      </c>
      <c r="K22" s="128" t="s">
        <v>123</v>
      </c>
      <c r="L22" s="127">
        <v>2013</v>
      </c>
      <c r="M22" s="127">
        <v>2014</v>
      </c>
      <c r="N22" s="128" t="s">
        <v>46</v>
      </c>
      <c r="O22" s="83"/>
      <c r="P22" s="83"/>
      <c r="Q22" s="108"/>
      <c r="R22" s="84"/>
      <c r="S22" s="84"/>
      <c r="T22" s="84"/>
    </row>
    <row r="23" spans="1:20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99">
        <v>679598</v>
      </c>
      <c r="I23" s="117">
        <v>690354</v>
      </c>
      <c r="J23" s="117">
        <v>1996737</v>
      </c>
      <c r="K23" s="129">
        <f t="shared" ref="K23:K34" si="2">+(J23-I23)/I23</f>
        <v>1.8923378440626113</v>
      </c>
      <c r="L23" s="117">
        <v>2021108</v>
      </c>
      <c r="M23" s="117">
        <v>2013963</v>
      </c>
      <c r="N23" s="129">
        <f t="shared" ref="N23:N34" si="3">+(M23-L23)/L23</f>
        <v>-3.535189608868007E-3</v>
      </c>
      <c r="O23" s="83"/>
      <c r="P23" s="83"/>
      <c r="Q23" s="106"/>
      <c r="R23" s="84"/>
      <c r="S23" s="84"/>
      <c r="T23" s="84"/>
    </row>
    <row r="24" spans="1:20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99">
        <v>163168</v>
      </c>
      <c r="I24" s="117">
        <v>170648</v>
      </c>
      <c r="J24" s="117">
        <v>299136</v>
      </c>
      <c r="K24" s="129">
        <f t="shared" si="2"/>
        <v>0.75294172800150017</v>
      </c>
      <c r="L24" s="117">
        <v>206620</v>
      </c>
      <c r="M24" s="117">
        <v>219468</v>
      </c>
      <c r="N24" s="129">
        <f t="shared" si="3"/>
        <v>6.2181782983254281E-2</v>
      </c>
      <c r="O24" s="83"/>
      <c r="P24" s="83"/>
      <c r="Q24" s="108"/>
      <c r="R24" s="84"/>
      <c r="S24" s="84"/>
      <c r="T24" s="84"/>
    </row>
    <row r="25" spans="1:20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99">
        <v>217244</v>
      </c>
      <c r="I25" s="117">
        <v>259622</v>
      </c>
      <c r="J25" s="117">
        <v>339737</v>
      </c>
      <c r="K25" s="129">
        <f t="shared" si="2"/>
        <v>0.30858324795279291</v>
      </c>
      <c r="L25" s="117">
        <v>358785</v>
      </c>
      <c r="M25" s="117">
        <v>333371</v>
      </c>
      <c r="N25" s="129">
        <f t="shared" si="3"/>
        <v>-7.0833507532366183E-2</v>
      </c>
      <c r="O25" s="83"/>
      <c r="P25" s="83"/>
      <c r="Q25" s="106"/>
      <c r="R25" s="84"/>
      <c r="S25" s="84"/>
      <c r="T25" s="84"/>
    </row>
    <row r="26" spans="1:20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99">
        <v>132822</v>
      </c>
      <c r="I26" s="117">
        <v>138203</v>
      </c>
      <c r="J26" s="117">
        <v>159523</v>
      </c>
      <c r="K26" s="129">
        <f t="shared" si="2"/>
        <v>0.15426582635688083</v>
      </c>
      <c r="L26" s="117">
        <v>69570</v>
      </c>
      <c r="M26" s="117">
        <v>47144</v>
      </c>
      <c r="N26" s="129">
        <f t="shared" si="3"/>
        <v>-0.32235158832830241</v>
      </c>
      <c r="O26" s="83"/>
      <c r="P26" s="83"/>
      <c r="Q26" s="106"/>
      <c r="R26" s="84"/>
      <c r="S26" s="84"/>
      <c r="T26" s="84"/>
    </row>
    <row r="27" spans="1:20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99">
        <v>96429</v>
      </c>
      <c r="I27" s="117">
        <v>109969</v>
      </c>
      <c r="J27" s="117">
        <v>138378</v>
      </c>
      <c r="K27" s="129">
        <f t="shared" si="2"/>
        <v>0.25833644026953051</v>
      </c>
      <c r="L27" s="117">
        <v>56114</v>
      </c>
      <c r="M27" s="117">
        <v>49171</v>
      </c>
      <c r="N27" s="129">
        <f t="shared" si="3"/>
        <v>-0.1237302633923798</v>
      </c>
      <c r="O27" s="83"/>
      <c r="P27" s="83"/>
      <c r="Q27" s="106"/>
      <c r="R27" s="84"/>
      <c r="S27" s="84"/>
      <c r="T27" s="84"/>
    </row>
    <row r="28" spans="1:20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99">
        <v>33608</v>
      </c>
      <c r="I28" s="117">
        <v>28288</v>
      </c>
      <c r="J28" s="117">
        <v>54184</v>
      </c>
      <c r="K28" s="129">
        <f t="shared" si="2"/>
        <v>0.9154411764705882</v>
      </c>
      <c r="L28" s="117">
        <v>384377</v>
      </c>
      <c r="M28" s="117">
        <v>296239</v>
      </c>
      <c r="N28" s="129">
        <f t="shared" si="3"/>
        <v>-0.22930092071065647</v>
      </c>
      <c r="O28" s="83"/>
      <c r="P28" s="83"/>
      <c r="Q28" s="106"/>
      <c r="R28" s="84"/>
      <c r="S28" s="84"/>
      <c r="T28" s="84"/>
    </row>
    <row r="29" spans="1:20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99">
        <v>112430</v>
      </c>
      <c r="I29" s="117">
        <v>125466</v>
      </c>
      <c r="J29" s="117">
        <v>159573</v>
      </c>
      <c r="K29" s="129">
        <f t="shared" si="2"/>
        <v>0.27184257089570085</v>
      </c>
      <c r="L29" s="117">
        <v>162220</v>
      </c>
      <c r="M29" s="117">
        <v>203513</v>
      </c>
      <c r="N29" s="129">
        <f t="shared" si="3"/>
        <v>0.25454937738873135</v>
      </c>
      <c r="O29" s="83"/>
      <c r="P29" s="83"/>
      <c r="Q29" s="106"/>
      <c r="R29" s="84"/>
      <c r="S29" s="84"/>
      <c r="T29" s="84"/>
    </row>
    <row r="30" spans="1:20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99">
        <v>5031</v>
      </c>
      <c r="I30" s="117">
        <v>3762</v>
      </c>
      <c r="J30" s="117">
        <v>3159</v>
      </c>
      <c r="K30" s="129">
        <f t="shared" si="2"/>
        <v>-0.16028708133971292</v>
      </c>
      <c r="L30" s="117">
        <v>22494</v>
      </c>
      <c r="M30" s="117">
        <v>6432</v>
      </c>
      <c r="N30" s="129">
        <f t="shared" si="3"/>
        <v>-0.71405708188850359</v>
      </c>
      <c r="O30" s="83"/>
      <c r="P30" s="83"/>
      <c r="Q30" s="106"/>
      <c r="R30" s="84"/>
      <c r="S30" s="84"/>
      <c r="T30" s="84"/>
    </row>
    <row r="31" spans="1:20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202">
        <f>SUM(H23:H30)</f>
        <v>1440330</v>
      </c>
      <c r="I31" s="119">
        <f>SUM(I23:I30)</f>
        <v>1526312</v>
      </c>
      <c r="J31" s="119">
        <f>SUM(J23:J30)</f>
        <v>3150427</v>
      </c>
      <c r="K31" s="129">
        <f t="shared" si="2"/>
        <v>1.0640779866763808</v>
      </c>
      <c r="L31" s="119">
        <f>SUM(L23:L30)</f>
        <v>3281288</v>
      </c>
      <c r="M31" s="119">
        <f>SUM(M23:M30)</f>
        <v>3169301</v>
      </c>
      <c r="N31" s="129">
        <f t="shared" si="3"/>
        <v>-3.4128976182523446E-2</v>
      </c>
      <c r="O31" s="83"/>
      <c r="P31" s="83"/>
      <c r="Q31" s="106"/>
      <c r="R31" s="84"/>
      <c r="S31" s="84"/>
      <c r="T31" s="84"/>
    </row>
    <row r="32" spans="1:20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99">
        <v>16209</v>
      </c>
      <c r="I32" s="117">
        <v>16294</v>
      </c>
      <c r="J32" s="117">
        <v>19208</v>
      </c>
      <c r="K32" s="129">
        <f t="shared" si="2"/>
        <v>0.17883883638149012</v>
      </c>
      <c r="L32" s="117">
        <v>20353</v>
      </c>
      <c r="M32" s="117">
        <v>19558</v>
      </c>
      <c r="N32" s="129">
        <f t="shared" si="3"/>
        <v>-3.9060580749766621E-2</v>
      </c>
      <c r="O32" s="83"/>
      <c r="P32" s="83"/>
      <c r="Q32" s="106"/>
      <c r="R32" s="84"/>
      <c r="S32" s="84"/>
      <c r="T32" s="84"/>
    </row>
    <row r="33" spans="1:26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203">
        <v>6474630</v>
      </c>
      <c r="I33" s="120">
        <f>I20-I31-I32</f>
        <v>7408958</v>
      </c>
      <c r="J33" s="120">
        <f>J20-J31-J32</f>
        <v>7410863</v>
      </c>
      <c r="K33" s="131">
        <f t="shared" si="2"/>
        <v>2.5712117682405542E-4</v>
      </c>
      <c r="L33" s="120">
        <f>+L20-L31-L32</f>
        <v>7688401</v>
      </c>
      <c r="M33" s="120">
        <f>M20-M31-M32</f>
        <v>7877043</v>
      </c>
      <c r="N33" s="131">
        <f t="shared" si="3"/>
        <v>2.4535921058227841E-2</v>
      </c>
      <c r="O33" s="83"/>
      <c r="P33" s="83"/>
      <c r="Q33" s="108"/>
      <c r="R33" s="84"/>
      <c r="S33" s="84"/>
      <c r="T33" s="84"/>
    </row>
    <row r="34" spans="1:26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200">
        <f>+H31+H32+H33</f>
        <v>7931169</v>
      </c>
      <c r="I34" s="118">
        <f>+I31+I32+I33</f>
        <v>8951564</v>
      </c>
      <c r="J34" s="118">
        <f>+J31+J32+J33</f>
        <v>10580498</v>
      </c>
      <c r="K34" s="130">
        <f t="shared" si="2"/>
        <v>0.18197199952991455</v>
      </c>
      <c r="L34" s="118">
        <f>+L31+L32+L33</f>
        <v>10990042</v>
      </c>
      <c r="M34" s="118">
        <f>+M31+M32+M33</f>
        <v>11065902</v>
      </c>
      <c r="N34" s="130">
        <f t="shared" si="3"/>
        <v>6.9026123831009926E-3</v>
      </c>
      <c r="O34" s="83"/>
      <c r="P34" s="83"/>
      <c r="Q34" s="108"/>
      <c r="R34" s="84"/>
      <c r="S34" s="84"/>
      <c r="T34" s="84"/>
    </row>
    <row r="35" spans="1:26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84"/>
      <c r="R35" s="84"/>
      <c r="S35" s="84"/>
    </row>
    <row r="36" spans="1:26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6" ht="15.75" x14ac:dyDescent="0.3">
      <c r="A37" s="78" t="s">
        <v>133</v>
      </c>
      <c r="B37" s="78"/>
      <c r="C37" s="78"/>
      <c r="D37" s="78"/>
      <c r="E37" s="78"/>
      <c r="F37" s="78"/>
      <c r="G37" s="78"/>
    </row>
    <row r="38" spans="1:26" x14ac:dyDescent="0.3">
      <c r="A38" s="79" t="s">
        <v>88</v>
      </c>
      <c r="B38" s="79"/>
      <c r="C38" s="79"/>
      <c r="D38" s="79"/>
      <c r="E38" s="79"/>
      <c r="F38" s="79"/>
      <c r="G38" s="79"/>
    </row>
    <row r="39" spans="1:26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98">
        <v>2011</v>
      </c>
      <c r="I39" s="198">
        <v>2012</v>
      </c>
      <c r="J39" s="198">
        <v>2013</v>
      </c>
      <c r="K39" s="145" t="s">
        <v>95</v>
      </c>
      <c r="L39" s="145" t="s">
        <v>124</v>
      </c>
      <c r="M39" s="145" t="s">
        <v>100</v>
      </c>
      <c r="N39" s="145" t="s">
        <v>127</v>
      </c>
      <c r="O39" s="145" t="s">
        <v>112</v>
      </c>
      <c r="P39" s="146" t="s">
        <v>55</v>
      </c>
      <c r="Q39" s="145" t="s">
        <v>132</v>
      </c>
      <c r="R39" s="146" t="s">
        <v>55</v>
      </c>
      <c r="S39" s="147" t="s">
        <v>46</v>
      </c>
      <c r="T39" s="214" t="s">
        <v>109</v>
      </c>
      <c r="U39" s="215" t="s">
        <v>55</v>
      </c>
      <c r="V39" s="214" t="s">
        <v>128</v>
      </c>
      <c r="W39" s="215" t="s">
        <v>55</v>
      </c>
      <c r="X39" s="216" t="s">
        <v>46</v>
      </c>
      <c r="Y39" s="144"/>
    </row>
    <row r="40" spans="1:26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204">
        <v>5057382.6182662696</v>
      </c>
      <c r="I40" s="204">
        <v>5305782</v>
      </c>
      <c r="J40" s="204">
        <v>5898466</v>
      </c>
      <c r="K40" s="132">
        <v>1242052</v>
      </c>
      <c r="L40" s="132">
        <v>1572825</v>
      </c>
      <c r="M40" s="132">
        <v>1370524</v>
      </c>
      <c r="N40" s="132">
        <v>1429566</v>
      </c>
      <c r="O40" s="132">
        <v>1488896</v>
      </c>
      <c r="P40" s="138">
        <v>1</v>
      </c>
      <c r="Q40" s="132">
        <f>+V40-L40-N40</f>
        <v>1643763</v>
      </c>
      <c r="R40" s="138">
        <v>1</v>
      </c>
      <c r="S40" s="138">
        <f>(Q40-O40)/O40</f>
        <v>0.10401465246733151</v>
      </c>
      <c r="T40" s="217">
        <v>4101472</v>
      </c>
      <c r="U40" s="218">
        <v>1</v>
      </c>
      <c r="V40" s="217">
        <v>4646154</v>
      </c>
      <c r="W40" s="218">
        <v>1</v>
      </c>
      <c r="X40" s="219">
        <f t="shared" ref="X40:X56" si="4">IF(T40&lt;&gt;0,(V40-T40)/T40,0)</f>
        <v>0.13280158928306715</v>
      </c>
      <c r="Y40" s="111"/>
      <c r="Z40" s="81"/>
    </row>
    <row r="41" spans="1:26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205">
        <v>-3030201.8461819952</v>
      </c>
      <c r="I41" s="205">
        <v>-3064460</v>
      </c>
      <c r="J41" s="205">
        <v>-3260968</v>
      </c>
      <c r="K41" s="133">
        <v>-682801</v>
      </c>
      <c r="L41" s="133">
        <v>-875730</v>
      </c>
      <c r="M41" s="133">
        <v>-750580</v>
      </c>
      <c r="N41" s="133">
        <v>-772014</v>
      </c>
      <c r="O41" s="133">
        <v>-823869</v>
      </c>
      <c r="P41" s="129">
        <f>+O41/$O$40</f>
        <v>-0.55334220791781297</v>
      </c>
      <c r="Q41" s="133">
        <f>+V41-L41-N41</f>
        <v>-915716</v>
      </c>
      <c r="R41" s="129">
        <f>+Q41/$Q$40</f>
        <v>-0.55708517590431228</v>
      </c>
      <c r="S41" s="129">
        <f t="shared" ref="S41:S59" si="5">(Q41-O41)/O41</f>
        <v>0.11148252938270525</v>
      </c>
      <c r="T41" s="220">
        <v>-2257250</v>
      </c>
      <c r="U41" s="219">
        <f>+T41/$T$40</f>
        <v>-0.55035119098704077</v>
      </c>
      <c r="V41" s="220">
        <v>-2563460</v>
      </c>
      <c r="W41" s="219">
        <f>+V41/$V$40</f>
        <v>-0.55173806120072644</v>
      </c>
      <c r="X41" s="219">
        <f t="shared" si="4"/>
        <v>0.13565621885037102</v>
      </c>
      <c r="Y41" s="101"/>
      <c r="Z41" s="81"/>
    </row>
    <row r="42" spans="1:26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202">
        <f t="shared" ref="H42:O42" si="6">SUM(H40:H41)</f>
        <v>2027180.7720842743</v>
      </c>
      <c r="I42" s="202">
        <f t="shared" si="6"/>
        <v>2241322</v>
      </c>
      <c r="J42" s="202">
        <f t="shared" si="6"/>
        <v>2637498</v>
      </c>
      <c r="K42" s="134">
        <f t="shared" si="6"/>
        <v>559251</v>
      </c>
      <c r="L42" s="134">
        <f t="shared" si="6"/>
        <v>697095</v>
      </c>
      <c r="M42" s="134">
        <f t="shared" ref="M42" si="7">SUM(M40:M41)</f>
        <v>619944</v>
      </c>
      <c r="N42" s="134">
        <f>SUM(N40:N41)</f>
        <v>657552</v>
      </c>
      <c r="O42" s="134">
        <f t="shared" si="6"/>
        <v>665027</v>
      </c>
      <c r="P42" s="138">
        <f t="shared" ref="P42:P59" si="8">+O42/$O$40</f>
        <v>0.44665779208218709</v>
      </c>
      <c r="Q42" s="134">
        <f>SUM(Q40:Q41)</f>
        <v>728047</v>
      </c>
      <c r="R42" s="138">
        <f t="shared" ref="R42:R59" si="9">+Q42/$Q$40</f>
        <v>0.44291482409568778</v>
      </c>
      <c r="S42" s="138">
        <f t="shared" si="5"/>
        <v>9.4763069770099559E-2</v>
      </c>
      <c r="T42" s="221">
        <f>SUM(T40:T41)</f>
        <v>1844222</v>
      </c>
      <c r="U42" s="218">
        <f t="shared" ref="U42:U59" si="10">+T42/$T$40</f>
        <v>0.44964880901295923</v>
      </c>
      <c r="V42" s="221">
        <f>SUM(V40:V41)</f>
        <v>2082694</v>
      </c>
      <c r="W42" s="218">
        <f t="shared" ref="W42:W59" si="11">+V42/$V$40</f>
        <v>0.44826193879927356</v>
      </c>
      <c r="X42" s="219">
        <f t="shared" si="4"/>
        <v>0.12930764300610231</v>
      </c>
      <c r="Y42" s="111"/>
      <c r="Z42" s="81"/>
    </row>
    <row r="43" spans="1:26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199">
        <v>-250061.17590559012</v>
      </c>
      <c r="I43" s="199">
        <v>-270303</v>
      </c>
      <c r="J43" s="199">
        <v>-347578</v>
      </c>
      <c r="K43" s="135">
        <v>-64873</v>
      </c>
      <c r="L43" s="135">
        <v>-103109</v>
      </c>
      <c r="M43" s="135">
        <v>-73939</v>
      </c>
      <c r="N43" s="135">
        <v>-95056</v>
      </c>
      <c r="O43" s="135">
        <v>-103428</v>
      </c>
      <c r="P43" s="129">
        <f t="shared" si="8"/>
        <v>-6.9466235385144431E-2</v>
      </c>
      <c r="Q43" s="135">
        <f>+V43-L43-N43</f>
        <v>-99719</v>
      </c>
      <c r="R43" s="129">
        <f t="shared" si="9"/>
        <v>-6.0665071546202223E-2</v>
      </c>
      <c r="S43" s="129">
        <f t="shared" si="5"/>
        <v>-3.5860695362957808E-2</v>
      </c>
      <c r="T43" s="222">
        <v>-242240</v>
      </c>
      <c r="U43" s="219">
        <f t="shared" si="10"/>
        <v>-5.9061722230457747E-2</v>
      </c>
      <c r="V43" s="222">
        <v>-297884</v>
      </c>
      <c r="W43" s="219">
        <f t="shared" si="11"/>
        <v>-6.4114103837281333E-2</v>
      </c>
      <c r="X43" s="219">
        <f t="shared" si="4"/>
        <v>0.22970607661822987</v>
      </c>
      <c r="Y43" s="101"/>
      <c r="Z43" s="81"/>
    </row>
    <row r="44" spans="1:26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199">
        <v>-1221301.5797654777</v>
      </c>
      <c r="I44" s="199">
        <v>-1326976</v>
      </c>
      <c r="J44" s="199">
        <v>-1505166</v>
      </c>
      <c r="K44" s="135">
        <v>-325559</v>
      </c>
      <c r="L44" s="135">
        <v>-400920</v>
      </c>
      <c r="M44" s="135">
        <v>-355546</v>
      </c>
      <c r="N44" s="135">
        <v>-396371</v>
      </c>
      <c r="O44" s="135">
        <v>-375490</v>
      </c>
      <c r="P44" s="129">
        <f t="shared" si="8"/>
        <v>-0.25219357161279232</v>
      </c>
      <c r="Q44" s="135">
        <f>+V44-L44-N44</f>
        <v>-427694</v>
      </c>
      <c r="R44" s="129">
        <f t="shared" si="9"/>
        <v>-0.26019201064873709</v>
      </c>
      <c r="S44" s="129">
        <f t="shared" si="5"/>
        <v>0.13902900210391755</v>
      </c>
      <c r="T44" s="222">
        <v>-1056595</v>
      </c>
      <c r="U44" s="219">
        <f t="shared" si="10"/>
        <v>-0.25761360799244759</v>
      </c>
      <c r="V44" s="222">
        <v>-1224985</v>
      </c>
      <c r="W44" s="219">
        <f t="shared" si="11"/>
        <v>-0.26365570319020848</v>
      </c>
      <c r="X44" s="219">
        <f t="shared" si="4"/>
        <v>0.15937043048661029</v>
      </c>
      <c r="Y44" s="101"/>
      <c r="Z44" s="81"/>
    </row>
    <row r="45" spans="1:26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199">
        <v>-123323</v>
      </c>
      <c r="I45" s="199">
        <v>-122931</v>
      </c>
      <c r="J45" s="199">
        <v>-134527</v>
      </c>
      <c r="K45" s="135">
        <v>-27738</v>
      </c>
      <c r="L45" s="135">
        <v>-29371</v>
      </c>
      <c r="M45" s="135">
        <v>-33697</v>
      </c>
      <c r="N45" s="135">
        <v>-21941</v>
      </c>
      <c r="O45" s="135">
        <v>-32082</v>
      </c>
      <c r="P45" s="129">
        <f t="shared" si="8"/>
        <v>-2.1547509026822557E-2</v>
      </c>
      <c r="Q45" s="135">
        <f>+V45-L45-N45</f>
        <v>-30812</v>
      </c>
      <c r="R45" s="129">
        <f t="shared" si="9"/>
        <v>-1.8744794717973332E-2</v>
      </c>
      <c r="S45" s="129">
        <f t="shared" si="5"/>
        <v>-3.958606071940652E-2</v>
      </c>
      <c r="T45" s="222">
        <v>-93517</v>
      </c>
      <c r="U45" s="219">
        <f t="shared" si="10"/>
        <v>-2.2800838333164288E-2</v>
      </c>
      <c r="V45" s="222">
        <v>-82124</v>
      </c>
      <c r="W45" s="219">
        <f t="shared" si="11"/>
        <v>-1.7675694778950504E-2</v>
      </c>
      <c r="X45" s="219">
        <f t="shared" si="4"/>
        <v>-0.12182811681298587</v>
      </c>
      <c r="Y45" s="101"/>
      <c r="Z45" s="81"/>
    </row>
    <row r="46" spans="1:26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202">
        <f t="shared" ref="H46:O46" si="12">SUM(H43:H45)</f>
        <v>-1594685.7556710679</v>
      </c>
      <c r="I46" s="202">
        <f t="shared" si="12"/>
        <v>-1720210</v>
      </c>
      <c r="J46" s="202">
        <f t="shared" si="12"/>
        <v>-1987271</v>
      </c>
      <c r="K46" s="134">
        <f t="shared" si="12"/>
        <v>-418170</v>
      </c>
      <c r="L46" s="134">
        <f t="shared" si="12"/>
        <v>-533400</v>
      </c>
      <c r="M46" s="134">
        <f t="shared" ref="M46" si="13">SUM(M43:M45)</f>
        <v>-463182</v>
      </c>
      <c r="N46" s="134">
        <f>SUM(N43:N45)</f>
        <v>-513368</v>
      </c>
      <c r="O46" s="134">
        <f t="shared" si="12"/>
        <v>-511000</v>
      </c>
      <c r="P46" s="138">
        <f t="shared" si="8"/>
        <v>-0.34320731602475929</v>
      </c>
      <c r="Q46" s="134">
        <f>SUM(Q43:Q45)</f>
        <v>-558225</v>
      </c>
      <c r="R46" s="138">
        <f t="shared" si="9"/>
        <v>-0.3396018769129126</v>
      </c>
      <c r="S46" s="138">
        <f t="shared" si="5"/>
        <v>9.2416829745596868E-2</v>
      </c>
      <c r="T46" s="221">
        <f>SUM(T43:T45)</f>
        <v>-1392352</v>
      </c>
      <c r="U46" s="218">
        <f t="shared" si="10"/>
        <v>-0.3394761685560696</v>
      </c>
      <c r="V46" s="221">
        <f>SUM(V43:V45)</f>
        <v>-1604993</v>
      </c>
      <c r="W46" s="218">
        <f t="shared" si="11"/>
        <v>-0.34544550180644035</v>
      </c>
      <c r="X46" s="219">
        <f t="shared" si="4"/>
        <v>0.15272072004780401</v>
      </c>
      <c r="Y46" s="111"/>
      <c r="Z46" s="81"/>
    </row>
    <row r="47" spans="1:26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202">
        <f t="shared" ref="H47:O47" si="14">+H42+H46</f>
        <v>432495.01641320647</v>
      </c>
      <c r="I47" s="202">
        <f t="shared" si="14"/>
        <v>521112</v>
      </c>
      <c r="J47" s="202">
        <f t="shared" si="14"/>
        <v>650227</v>
      </c>
      <c r="K47" s="134">
        <f t="shared" si="14"/>
        <v>141081</v>
      </c>
      <c r="L47" s="134">
        <f t="shared" si="14"/>
        <v>163695</v>
      </c>
      <c r="M47" s="134">
        <f t="shared" ref="M47" si="15">+M42+M46</f>
        <v>156762</v>
      </c>
      <c r="N47" s="134">
        <f>+N42+N46</f>
        <v>144184</v>
      </c>
      <c r="O47" s="134">
        <f t="shared" si="14"/>
        <v>154027</v>
      </c>
      <c r="P47" s="138">
        <f t="shared" si="8"/>
        <v>0.10345047605742778</v>
      </c>
      <c r="Q47" s="134">
        <f>+Q42+Q46</f>
        <v>169822</v>
      </c>
      <c r="R47" s="138">
        <f t="shared" si="9"/>
        <v>0.10331294718277513</v>
      </c>
      <c r="S47" s="138">
        <f t="shared" si="5"/>
        <v>0.10254695605315951</v>
      </c>
      <c r="T47" s="221">
        <f>+T42+T46</f>
        <v>451870</v>
      </c>
      <c r="U47" s="218">
        <f t="shared" si="10"/>
        <v>0.11017264045688963</v>
      </c>
      <c r="V47" s="221">
        <f>+V42+V46</f>
        <v>477701</v>
      </c>
      <c r="W47" s="218">
        <f t="shared" si="11"/>
        <v>0.10281643699283322</v>
      </c>
      <c r="X47" s="219">
        <f t="shared" si="4"/>
        <v>5.7164671255006974E-2</v>
      </c>
      <c r="Y47" s="111"/>
      <c r="Z47" s="81"/>
    </row>
    <row r="48" spans="1:26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199">
        <v>7592</v>
      </c>
      <c r="I48" s="199">
        <v>12296</v>
      </c>
      <c r="J48" s="199">
        <v>12207</v>
      </c>
      <c r="K48" s="135">
        <v>2375</v>
      </c>
      <c r="L48" s="135">
        <v>7447</v>
      </c>
      <c r="M48" s="135">
        <v>2770</v>
      </c>
      <c r="N48" s="135">
        <v>2628</v>
      </c>
      <c r="O48" s="135">
        <v>3066</v>
      </c>
      <c r="P48" s="129">
        <f t="shared" si="8"/>
        <v>2.0592438961485556E-3</v>
      </c>
      <c r="Q48" s="135">
        <f>+V48-L48-N48</f>
        <v>834.20667270999911</v>
      </c>
      <c r="R48" s="129">
        <f t="shared" si="9"/>
        <v>5.0749814462912183E-4</v>
      </c>
      <c r="S48" s="129">
        <f t="shared" si="5"/>
        <v>-0.72791693649380329</v>
      </c>
      <c r="T48" s="222">
        <v>8211</v>
      </c>
      <c r="U48" s="219">
        <f t="shared" si="10"/>
        <v>2.0019641728628162E-3</v>
      </c>
      <c r="V48" s="222">
        <v>10909.206672709999</v>
      </c>
      <c r="W48" s="219">
        <f t="shared" si="11"/>
        <v>2.3480079809472523E-3</v>
      </c>
      <c r="X48" s="219">
        <f t="shared" si="4"/>
        <v>0.3286087775800754</v>
      </c>
      <c r="Y48" s="101"/>
      <c r="Z48" s="81"/>
    </row>
    <row r="49" spans="1:26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199">
        <v>-84666</v>
      </c>
      <c r="I49" s="199">
        <v>-70722</v>
      </c>
      <c r="J49" s="199">
        <v>-101111</v>
      </c>
      <c r="K49" s="135">
        <v>-16818</v>
      </c>
      <c r="L49" s="135">
        <v>-39145</v>
      </c>
      <c r="M49" s="135">
        <v>-17303</v>
      </c>
      <c r="N49" s="135">
        <v>-38121</v>
      </c>
      <c r="O49" s="135">
        <v>-27264</v>
      </c>
      <c r="P49" s="129">
        <f t="shared" si="8"/>
        <v>-1.8311554332874829E-2</v>
      </c>
      <c r="Q49" s="135">
        <f>+V49-L49-N49</f>
        <v>-39692.202476859995</v>
      </c>
      <c r="R49" s="129">
        <f t="shared" si="9"/>
        <v>-2.4147156540730016E-2</v>
      </c>
      <c r="S49" s="129">
        <f t="shared" si="5"/>
        <v>0.45584662840595641</v>
      </c>
      <c r="T49" s="222">
        <v>-61385</v>
      </c>
      <c r="U49" s="219">
        <f t="shared" si="10"/>
        <v>-1.4966577853024476E-2</v>
      </c>
      <c r="V49" s="222">
        <v>-116958.20247685999</v>
      </c>
      <c r="W49" s="219">
        <f t="shared" si="11"/>
        <v>-2.5173122216108203E-2</v>
      </c>
      <c r="X49" s="219">
        <f t="shared" si="4"/>
        <v>0.90532218745393822</v>
      </c>
      <c r="Y49" s="101"/>
      <c r="Z49" s="81"/>
    </row>
    <row r="50" spans="1:26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199">
        <v>-3636</v>
      </c>
      <c r="I50" s="199">
        <v>1782</v>
      </c>
      <c r="J50" s="199">
        <v>8732</v>
      </c>
      <c r="K50" s="135">
        <v>-1758</v>
      </c>
      <c r="L50" s="135">
        <v>7445</v>
      </c>
      <c r="M50" s="135">
        <v>4040</v>
      </c>
      <c r="N50" s="135">
        <v>-2408</v>
      </c>
      <c r="O50" s="135">
        <v>10554</v>
      </c>
      <c r="P50" s="129">
        <f t="shared" si="8"/>
        <v>7.0884736072902342E-3</v>
      </c>
      <c r="Q50" s="135">
        <f>+V50-L50-N50</f>
        <v>-676</v>
      </c>
      <c r="R50" s="129">
        <f t="shared" si="9"/>
        <v>-4.112515003683621E-4</v>
      </c>
      <c r="S50" s="129">
        <f t="shared" si="5"/>
        <v>-1.0640515444381278</v>
      </c>
      <c r="T50" s="222">
        <v>12836</v>
      </c>
      <c r="U50" s="219">
        <f t="shared" si="10"/>
        <v>3.1296081016766665E-3</v>
      </c>
      <c r="V50" s="222">
        <v>4361</v>
      </c>
      <c r="W50" s="219">
        <f t="shared" si="11"/>
        <v>9.386257967342451E-4</v>
      </c>
      <c r="X50" s="219">
        <f t="shared" si="4"/>
        <v>-0.66025241508258026</v>
      </c>
      <c r="Y50" s="101"/>
      <c r="Z50" s="81"/>
    </row>
    <row r="51" spans="1:26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199">
        <v>-26933</v>
      </c>
      <c r="I51" s="199">
        <v>-13536</v>
      </c>
      <c r="J51" s="199">
        <v>-54534</v>
      </c>
      <c r="K51" s="135">
        <v>-7981</v>
      </c>
      <c r="L51" s="135">
        <v>-8069</v>
      </c>
      <c r="M51" s="135">
        <v>-15076</v>
      </c>
      <c r="N51" s="135">
        <v>-7510</v>
      </c>
      <c r="O51" s="135">
        <v>-2563</v>
      </c>
      <c r="P51" s="129">
        <f t="shared" si="8"/>
        <v>-1.7214096887895461E-3</v>
      </c>
      <c r="Q51" s="135">
        <f>+V51-L51-N51</f>
        <v>-16362.488190450102</v>
      </c>
      <c r="R51" s="129">
        <f t="shared" si="9"/>
        <v>-9.954286713139365E-3</v>
      </c>
      <c r="S51" s="129">
        <f t="shared" si="5"/>
        <v>5.384115563968046</v>
      </c>
      <c r="T51" s="222">
        <v>-25620</v>
      </c>
      <c r="U51" s="219">
        <f t="shared" si="10"/>
        <v>-6.2465378283699117E-3</v>
      </c>
      <c r="V51" s="222">
        <v>-31941.488190450102</v>
      </c>
      <c r="W51" s="219">
        <f t="shared" si="11"/>
        <v>-6.8748233895066981E-3</v>
      </c>
      <c r="X51" s="219">
        <f t="shared" si="4"/>
        <v>0.24674036652810702</v>
      </c>
      <c r="Y51" s="101"/>
      <c r="Z51" s="81"/>
    </row>
    <row r="52" spans="1:26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199">
        <v>33531</v>
      </c>
      <c r="I52" s="199">
        <v>35188</v>
      </c>
      <c r="J52" s="199">
        <v>39510</v>
      </c>
      <c r="K52" s="135">
        <v>8803</v>
      </c>
      <c r="L52" s="135">
        <v>9657</v>
      </c>
      <c r="M52" s="135">
        <v>9924</v>
      </c>
      <c r="N52" s="135">
        <v>10926</v>
      </c>
      <c r="O52" s="135">
        <v>11140</v>
      </c>
      <c r="P52" s="129">
        <f t="shared" si="8"/>
        <v>7.4820538170563963E-3</v>
      </c>
      <c r="Q52" s="135">
        <f>+V52-L52-N52</f>
        <v>10928.037788469999</v>
      </c>
      <c r="R52" s="129">
        <f t="shared" si="9"/>
        <v>6.648183338151546E-3</v>
      </c>
      <c r="S52" s="129">
        <f t="shared" si="5"/>
        <v>-1.9027128503590736E-2</v>
      </c>
      <c r="T52" s="222">
        <v>29867</v>
      </c>
      <c r="U52" s="219">
        <f t="shared" si="10"/>
        <v>7.2820197236504354E-3</v>
      </c>
      <c r="V52" s="222">
        <v>31511.037788469999</v>
      </c>
      <c r="W52" s="219">
        <f t="shared" si="11"/>
        <v>6.7821767828767617E-3</v>
      </c>
      <c r="X52" s="219">
        <f t="shared" si="4"/>
        <v>5.5045293751297394E-2</v>
      </c>
      <c r="Y52" s="101"/>
      <c r="Z52" s="81"/>
    </row>
    <row r="53" spans="1:26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199">
        <v>11185</v>
      </c>
      <c r="I53" s="199">
        <v>0</v>
      </c>
      <c r="J53" s="199">
        <v>107</v>
      </c>
      <c r="K53" s="135">
        <v>0</v>
      </c>
      <c r="L53" s="135">
        <v>0</v>
      </c>
      <c r="M53" s="135">
        <v>107</v>
      </c>
      <c r="N53" s="135">
        <v>0</v>
      </c>
      <c r="O53" s="135">
        <v>0</v>
      </c>
      <c r="P53" s="129">
        <f t="shared" si="8"/>
        <v>0</v>
      </c>
      <c r="Q53" s="135">
        <v>0</v>
      </c>
      <c r="R53" s="129">
        <f t="shared" si="9"/>
        <v>0</v>
      </c>
      <c r="S53" s="197" t="s">
        <v>131</v>
      </c>
      <c r="T53" s="222">
        <v>107</v>
      </c>
      <c r="U53" s="219">
        <f t="shared" si="10"/>
        <v>2.608819467742313E-5</v>
      </c>
      <c r="V53" s="222">
        <v>0</v>
      </c>
      <c r="W53" s="219">
        <f t="shared" si="11"/>
        <v>0</v>
      </c>
      <c r="X53" s="219">
        <f t="shared" si="4"/>
        <v>-1</v>
      </c>
      <c r="Y53" s="101"/>
      <c r="Z53" s="81"/>
    </row>
    <row r="54" spans="1:26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202">
        <f t="shared" ref="H54:O54" si="16">SUM(H48:H53)</f>
        <v>-62927</v>
      </c>
      <c r="I54" s="202">
        <f t="shared" si="16"/>
        <v>-34992</v>
      </c>
      <c r="J54" s="202">
        <f t="shared" si="16"/>
        <v>-95089</v>
      </c>
      <c r="K54" s="134">
        <f t="shared" si="16"/>
        <v>-15379</v>
      </c>
      <c r="L54" s="134">
        <f t="shared" si="16"/>
        <v>-22665</v>
      </c>
      <c r="M54" s="134">
        <f t="shared" ref="M54" si="17">SUM(M48:M53)</f>
        <v>-15538</v>
      </c>
      <c r="N54" s="134">
        <f>SUM(N48:N53)</f>
        <v>-34485</v>
      </c>
      <c r="O54" s="134">
        <f t="shared" si="16"/>
        <v>-5067</v>
      </c>
      <c r="P54" s="138">
        <f t="shared" si="8"/>
        <v>-3.4031927011691884E-3</v>
      </c>
      <c r="Q54" s="134">
        <f>SUM(Q48:Q53)</f>
        <v>-44968.446206130095</v>
      </c>
      <c r="R54" s="138">
        <f t="shared" si="9"/>
        <v>-2.7357013271457075E-2</v>
      </c>
      <c r="S54" s="138">
        <f t="shared" si="5"/>
        <v>7.8747673586205043</v>
      </c>
      <c r="T54" s="221">
        <f>SUM(T48:T53)</f>
        <v>-35984</v>
      </c>
      <c r="U54" s="218">
        <f t="shared" si="10"/>
        <v>-8.7734354885270465E-3</v>
      </c>
      <c r="V54" s="221">
        <f>SUM(V48:V53)</f>
        <v>-102118.4462061301</v>
      </c>
      <c r="W54" s="218">
        <f t="shared" si="11"/>
        <v>-2.1979135045056643E-2</v>
      </c>
      <c r="X54" s="219">
        <f t="shared" si="4"/>
        <v>1.8378847878537712</v>
      </c>
      <c r="Y54" s="111"/>
      <c r="Z54" s="81"/>
    </row>
    <row r="55" spans="1:26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202">
        <f t="shared" ref="H55:O55" si="18">+H47+H54</f>
        <v>369568.01641320647</v>
      </c>
      <c r="I55" s="202">
        <f t="shared" si="18"/>
        <v>486120</v>
      </c>
      <c r="J55" s="202">
        <f t="shared" si="18"/>
        <v>555138</v>
      </c>
      <c r="K55" s="134">
        <f t="shared" si="18"/>
        <v>125702</v>
      </c>
      <c r="L55" s="134">
        <f t="shared" si="18"/>
        <v>141030</v>
      </c>
      <c r="M55" s="134">
        <f t="shared" ref="M55" si="19">+M47+M54</f>
        <v>141224</v>
      </c>
      <c r="N55" s="134">
        <f>+N47+N54</f>
        <v>109699</v>
      </c>
      <c r="O55" s="134">
        <f t="shared" si="18"/>
        <v>148960</v>
      </c>
      <c r="P55" s="138">
        <f t="shared" si="8"/>
        <v>0.10004728335625859</v>
      </c>
      <c r="Q55" s="134">
        <f>+Q47+Q54</f>
        <v>124853.55379386991</v>
      </c>
      <c r="R55" s="138">
        <f t="shared" si="9"/>
        <v>7.5955933911318066E-2</v>
      </c>
      <c r="S55" s="138">
        <f t="shared" si="5"/>
        <v>-0.16183167431612572</v>
      </c>
      <c r="T55" s="221">
        <f>+T47+T54</f>
        <v>415886</v>
      </c>
      <c r="U55" s="218">
        <f t="shared" si="10"/>
        <v>0.10139920496836258</v>
      </c>
      <c r="V55" s="221">
        <f>+V47+V54</f>
        <v>375582.55379386991</v>
      </c>
      <c r="W55" s="218">
        <f t="shared" si="11"/>
        <v>8.0837301947776566E-2</v>
      </c>
      <c r="X55" s="219">
        <f t="shared" si="4"/>
        <v>-9.6909841173134198E-2</v>
      </c>
      <c r="Y55" s="111"/>
      <c r="Z55" s="81"/>
    </row>
    <row r="56" spans="1:26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199">
        <v>-113919.04882074999</v>
      </c>
      <c r="I56" s="199">
        <v>-138457</v>
      </c>
      <c r="J56" s="199">
        <v>-174487</v>
      </c>
      <c r="K56" s="135">
        <v>-46692</v>
      </c>
      <c r="L56" s="135">
        <v>-54819</v>
      </c>
      <c r="M56" s="135">
        <v>-44055</v>
      </c>
      <c r="N56" s="135">
        <v>-25831</v>
      </c>
      <c r="O56" s="135">
        <v>-44910</v>
      </c>
      <c r="P56" s="129">
        <f t="shared" si="8"/>
        <v>-3.0163288772352134E-2</v>
      </c>
      <c r="Q56" s="135">
        <f>+V56-L56-N56</f>
        <v>-32829</v>
      </c>
      <c r="R56" s="129">
        <f t="shared" si="9"/>
        <v>-1.9971857256794318E-2</v>
      </c>
      <c r="S56" s="129">
        <f t="shared" si="5"/>
        <v>-0.26900467601870409</v>
      </c>
      <c r="T56" s="222">
        <v>-135657</v>
      </c>
      <c r="U56" s="219">
        <f t="shared" si="10"/>
        <v>-3.3075198367805508E-2</v>
      </c>
      <c r="V56" s="222">
        <v>-113479</v>
      </c>
      <c r="W56" s="219">
        <f t="shared" si="11"/>
        <v>-2.4424287270718964E-2</v>
      </c>
      <c r="X56" s="219">
        <f t="shared" si="4"/>
        <v>-0.16348585034314483</v>
      </c>
      <c r="Y56" s="101"/>
      <c r="Z56" s="81"/>
    </row>
    <row r="57" spans="1:26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199">
        <v>-2137.6216936399992</v>
      </c>
      <c r="I57" s="199">
        <v>-2156</v>
      </c>
      <c r="J57" s="199">
        <v>-416</v>
      </c>
      <c r="K57" s="135">
        <v>276</v>
      </c>
      <c r="L57" s="135">
        <v>-1156</v>
      </c>
      <c r="M57" s="135">
        <v>-50</v>
      </c>
      <c r="N57" s="135">
        <v>-496</v>
      </c>
      <c r="O57" s="135">
        <v>-299</v>
      </c>
      <c r="P57" s="129">
        <f t="shared" si="8"/>
        <v>-2.0081993638239339E-4</v>
      </c>
      <c r="Q57" s="135">
        <f>+V57-L57-N57</f>
        <v>-267</v>
      </c>
      <c r="R57" s="129">
        <f t="shared" si="9"/>
        <v>-1.6243217544135012E-4</v>
      </c>
      <c r="S57" s="129">
        <f t="shared" si="5"/>
        <v>-0.10702341137123746</v>
      </c>
      <c r="T57" s="222">
        <v>-73</v>
      </c>
      <c r="U57" s="219">
        <f t="shared" si="10"/>
        <v>-1.7798487957494284E-5</v>
      </c>
      <c r="V57" s="222">
        <v>-1919</v>
      </c>
      <c r="W57" s="219">
        <f t="shared" si="11"/>
        <v>-4.130297876480203E-4</v>
      </c>
      <c r="X57" s="227" t="s">
        <v>131</v>
      </c>
      <c r="Y57" s="101"/>
      <c r="Z57" s="81"/>
    </row>
    <row r="58" spans="1:26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206">
        <f t="shared" ref="H58:O58" si="20">+H55+H56+H57</f>
        <v>253511.34589881651</v>
      </c>
      <c r="I58" s="206">
        <f t="shared" si="20"/>
        <v>345507</v>
      </c>
      <c r="J58" s="206">
        <f t="shared" si="20"/>
        <v>380235</v>
      </c>
      <c r="K58" s="136">
        <f t="shared" si="20"/>
        <v>79286</v>
      </c>
      <c r="L58" s="136">
        <f t="shared" si="20"/>
        <v>85055</v>
      </c>
      <c r="M58" s="136">
        <f t="shared" ref="M58" si="21">+M55+M56+M57</f>
        <v>97119</v>
      </c>
      <c r="N58" s="136">
        <f>+N55+N56+N57</f>
        <v>83372</v>
      </c>
      <c r="O58" s="136">
        <f t="shared" si="20"/>
        <v>103751</v>
      </c>
      <c r="P58" s="139">
        <f t="shared" si="8"/>
        <v>6.9683174647524077E-2</v>
      </c>
      <c r="Q58" s="136">
        <f>+Q55+Q56+Q57</f>
        <v>91757.553793869913</v>
      </c>
      <c r="R58" s="139">
        <f t="shared" si="9"/>
        <v>5.5821644479082395E-2</v>
      </c>
      <c r="S58" s="139">
        <f t="shared" si="5"/>
        <v>-0.11559836730373767</v>
      </c>
      <c r="T58" s="223">
        <f>+T55+T56+T57</f>
        <v>280156</v>
      </c>
      <c r="U58" s="224">
        <f t="shared" si="10"/>
        <v>6.8306208112599576E-2</v>
      </c>
      <c r="V58" s="223">
        <f>+V55+V56+V57</f>
        <v>260184.55379386991</v>
      </c>
      <c r="W58" s="224">
        <f t="shared" si="11"/>
        <v>5.599998488940959E-2</v>
      </c>
      <c r="X58" s="224">
        <f>+(V58-T58)/T58</f>
        <v>-7.1286876619205325E-2</v>
      </c>
      <c r="Y58" s="111"/>
      <c r="Z58" s="81"/>
    </row>
    <row r="59" spans="1:26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200">
        <v>568131.17041880696</v>
      </c>
      <c r="I59" s="200">
        <v>671095</v>
      </c>
      <c r="J59" s="200">
        <v>832827</v>
      </c>
      <c r="K59" s="137">
        <v>179705</v>
      </c>
      <c r="L59" s="137">
        <v>218965</v>
      </c>
      <c r="M59" s="137">
        <v>196119</v>
      </c>
      <c r="N59" s="137">
        <v>198720</v>
      </c>
      <c r="O59" s="137">
        <v>199330</v>
      </c>
      <c r="P59" s="130">
        <f t="shared" si="8"/>
        <v>0.13387771879298488</v>
      </c>
      <c r="Q59" s="137">
        <f>+V59-L59-N59</f>
        <v>224400</v>
      </c>
      <c r="R59" s="130">
        <f t="shared" si="9"/>
        <v>0.13651603059565157</v>
      </c>
      <c r="S59" s="130">
        <f t="shared" si="5"/>
        <v>0.12577133396879547</v>
      </c>
      <c r="T59" s="225">
        <v>575154</v>
      </c>
      <c r="U59" s="226">
        <f t="shared" si="10"/>
        <v>0.14023111702335161</v>
      </c>
      <c r="V59" s="225">
        <v>642085</v>
      </c>
      <c r="W59" s="226">
        <f t="shared" si="11"/>
        <v>0.13819709807294378</v>
      </c>
      <c r="X59" s="226">
        <f>+(V59-T59)/T59</f>
        <v>0.11637057205548428</v>
      </c>
      <c r="Y59" s="111"/>
      <c r="Z59" s="81"/>
    </row>
    <row r="60" spans="1:26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26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26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26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26" s="85" customFormat="1" x14ac:dyDescent="0.3">
      <c r="H64" s="81"/>
      <c r="I64" s="81"/>
      <c r="J64" s="81"/>
      <c r="K64" s="81"/>
      <c r="L64" s="89"/>
      <c r="M64" s="82"/>
      <c r="N64" s="101"/>
      <c r="O64" s="101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pageSetup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zoomScale="99" zoomScaleNormal="99" workbookViewId="0">
      <pane xSplit="1" ySplit="10" topLeftCell="K11" activePane="bottomRight" state="frozen"/>
      <selection pane="topRight" activeCell="B1" sqref="B1"/>
      <selection pane="bottomLeft" activeCell="A11" sqref="A11"/>
      <selection pane="bottomRight" activeCell="S6" sqref="S6"/>
    </sheetView>
  </sheetViews>
  <sheetFormatPr baseColWidth="10" defaultRowHeight="15" x14ac:dyDescent="0.3"/>
  <cols>
    <col min="1" max="1" width="43.7109375" style="73" customWidth="1"/>
    <col min="2" max="2" width="14.42578125" style="73" customWidth="1"/>
    <col min="3" max="7" width="11.42578125" style="73" bestFit="1" customWidth="1"/>
    <col min="8" max="8" width="13" style="74" bestFit="1" customWidth="1"/>
    <col min="9" max="9" width="12.7109375" style="74" bestFit="1" customWidth="1"/>
    <col min="10" max="11" width="12.7109375" style="74" customWidth="1"/>
    <col min="12" max="12" width="13.42578125" style="75" bestFit="1" customWidth="1"/>
    <col min="13" max="16384" width="11.42578125" style="73"/>
  </cols>
  <sheetData>
    <row r="1" spans="1:20" x14ac:dyDescent="0.3">
      <c r="M1" s="75"/>
      <c r="N1" s="76"/>
      <c r="O1" s="76"/>
    </row>
    <row r="2" spans="1:20" x14ac:dyDescent="0.3">
      <c r="M2" s="75"/>
      <c r="N2" s="76"/>
      <c r="O2" s="76"/>
    </row>
    <row r="3" spans="1:20" x14ac:dyDescent="0.3">
      <c r="M3" s="75"/>
      <c r="N3" s="76"/>
      <c r="O3" s="76"/>
    </row>
    <row r="4" spans="1:20" x14ac:dyDescent="0.3">
      <c r="M4" s="75"/>
      <c r="N4" s="76"/>
      <c r="O4" s="76"/>
    </row>
    <row r="5" spans="1:20" x14ac:dyDescent="0.3">
      <c r="M5" s="75"/>
      <c r="N5" s="76"/>
      <c r="O5" s="76"/>
    </row>
    <row r="6" spans="1:20" ht="21" x14ac:dyDescent="0.35">
      <c r="A6" s="116" t="s">
        <v>90</v>
      </c>
      <c r="B6" s="116"/>
      <c r="C6" s="116"/>
      <c r="D6" s="116"/>
      <c r="E6" s="116"/>
      <c r="F6" s="116"/>
      <c r="G6" s="116"/>
      <c r="M6" s="75"/>
      <c r="N6" s="76"/>
      <c r="O6" s="76"/>
    </row>
    <row r="7" spans="1:20" ht="15.75" x14ac:dyDescent="0.3">
      <c r="A7" s="78" t="s">
        <v>135</v>
      </c>
      <c r="B7" s="78"/>
      <c r="C7" s="78"/>
      <c r="D7" s="78"/>
      <c r="E7" s="78"/>
      <c r="F7" s="78"/>
      <c r="G7" s="78"/>
      <c r="M7" s="75"/>
      <c r="N7" s="76"/>
      <c r="O7" s="76"/>
    </row>
    <row r="8" spans="1:20" x14ac:dyDescent="0.3">
      <c r="A8" s="79" t="s">
        <v>88</v>
      </c>
      <c r="B8" s="79"/>
      <c r="C8" s="79"/>
      <c r="D8" s="79"/>
      <c r="E8" s="79"/>
      <c r="F8" s="79"/>
      <c r="G8" s="79"/>
      <c r="M8" s="75"/>
      <c r="N8" s="76"/>
      <c r="O8" s="76"/>
    </row>
    <row r="9" spans="1:20" s="85" customFormat="1" x14ac:dyDescent="0.3">
      <c r="A9" s="80"/>
      <c r="B9" s="80"/>
      <c r="C9" s="80"/>
      <c r="D9" s="80"/>
      <c r="E9" s="80"/>
      <c r="F9" s="80"/>
      <c r="G9" s="80"/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</row>
    <row r="10" spans="1:20" s="85" customFormat="1" ht="15.75" thickBot="1" x14ac:dyDescent="0.35">
      <c r="A10" s="104" t="s">
        <v>20</v>
      </c>
      <c r="B10" s="156">
        <v>2005</v>
      </c>
      <c r="C10" s="156">
        <v>2006</v>
      </c>
      <c r="D10" s="156">
        <v>2007</v>
      </c>
      <c r="E10" s="156">
        <v>2008</v>
      </c>
      <c r="F10" s="156">
        <v>2009</v>
      </c>
      <c r="G10" s="156">
        <v>2010</v>
      </c>
      <c r="H10" s="198">
        <v>2011</v>
      </c>
      <c r="I10" s="157">
        <v>2012</v>
      </c>
      <c r="J10" s="145">
        <v>2013</v>
      </c>
      <c r="K10" s="158" t="s">
        <v>46</v>
      </c>
      <c r="L10" s="145">
        <v>2013</v>
      </c>
      <c r="M10" s="145">
        <v>2014</v>
      </c>
      <c r="N10" s="158" t="s">
        <v>46</v>
      </c>
    </row>
    <row r="11" spans="1:20" s="85" customFormat="1" x14ac:dyDescent="0.3">
      <c r="A11" s="88" t="s">
        <v>21</v>
      </c>
      <c r="B11" s="81">
        <v>5989</v>
      </c>
      <c r="C11" s="81">
        <v>915</v>
      </c>
      <c r="D11" s="81">
        <v>1835</v>
      </c>
      <c r="E11" s="81">
        <v>382</v>
      </c>
      <c r="F11" s="81">
        <v>191</v>
      </c>
      <c r="G11" s="81">
        <v>225</v>
      </c>
      <c r="H11" s="199">
        <v>94</v>
      </c>
      <c r="I11" s="135">
        <v>74</v>
      </c>
      <c r="J11" s="135">
        <v>58</v>
      </c>
      <c r="K11" s="129">
        <f>(J11-I11)/I11</f>
        <v>-0.21621621621621623</v>
      </c>
      <c r="L11" s="135">
        <v>58</v>
      </c>
      <c r="M11" s="135">
        <v>70</v>
      </c>
      <c r="N11" s="129">
        <f>IF(L11&lt;&gt;0,(M11-L11)/L11,0)</f>
        <v>0.20689655172413793</v>
      </c>
      <c r="O11" s="82"/>
    </row>
    <row r="12" spans="1:20" s="85" customFormat="1" x14ac:dyDescent="0.3">
      <c r="A12" s="88" t="s">
        <v>22</v>
      </c>
      <c r="B12" s="81">
        <v>2353634</v>
      </c>
      <c r="C12" s="81">
        <v>2658218</v>
      </c>
      <c r="D12" s="81">
        <v>2904738</v>
      </c>
      <c r="E12" s="81">
        <v>3041332</v>
      </c>
      <c r="F12" s="81">
        <v>3601952</v>
      </c>
      <c r="G12" s="81">
        <v>2716228</v>
      </c>
      <c r="H12" s="199">
        <v>3554895</v>
      </c>
      <c r="I12" s="135">
        <v>3748346</v>
      </c>
      <c r="J12" s="135">
        <v>4126523</v>
      </c>
      <c r="K12" s="129">
        <f t="shared" ref="K12:K13" si="0">(J12-I12)/I12</f>
        <v>0.10089169996579825</v>
      </c>
      <c r="L12" s="135">
        <v>4126523</v>
      </c>
      <c r="M12" s="135">
        <v>4453792</v>
      </c>
      <c r="N12" s="129">
        <f t="shared" ref="N12:N17" si="1">IF(L12&lt;&gt;0,(M12-L12)/L12,0)</f>
        <v>7.9308657676208275E-2</v>
      </c>
      <c r="O12" s="82"/>
    </row>
    <row r="13" spans="1:20" s="89" customFormat="1" ht="14.25" customHeight="1" x14ac:dyDescent="0.3">
      <c r="A13" s="88" t="s">
        <v>23</v>
      </c>
      <c r="B13" s="81">
        <v>5093</v>
      </c>
      <c r="C13" s="81">
        <v>21107</v>
      </c>
      <c r="D13" s="81">
        <v>10187</v>
      </c>
      <c r="E13" s="81">
        <v>24218</v>
      </c>
      <c r="F13" s="81">
        <v>43410</v>
      </c>
      <c r="G13" s="81">
        <v>90361</v>
      </c>
      <c r="H13" s="199">
        <v>10662</v>
      </c>
      <c r="I13" s="135">
        <v>14922</v>
      </c>
      <c r="J13" s="135">
        <v>18191</v>
      </c>
      <c r="K13" s="129">
        <f t="shared" si="0"/>
        <v>0.21907251038734754</v>
      </c>
      <c r="L13" s="135">
        <v>18191</v>
      </c>
      <c r="M13" s="135">
        <v>24889</v>
      </c>
      <c r="N13" s="129">
        <f t="shared" si="1"/>
        <v>0.36820405695123964</v>
      </c>
      <c r="O13" s="82"/>
      <c r="P13" s="85"/>
      <c r="R13" s="85"/>
      <c r="S13" s="85"/>
      <c r="T13" s="85"/>
    </row>
    <row r="14" spans="1:20" s="89" customFormat="1" x14ac:dyDescent="0.3">
      <c r="A14" s="88" t="s">
        <v>37</v>
      </c>
      <c r="B14" s="81"/>
      <c r="C14" s="81"/>
      <c r="D14" s="81">
        <v>0</v>
      </c>
      <c r="E14" s="81">
        <v>50</v>
      </c>
      <c r="F14" s="81"/>
      <c r="G14" s="81"/>
      <c r="H14" s="199">
        <v>0</v>
      </c>
      <c r="I14" s="135">
        <v>0</v>
      </c>
      <c r="J14" s="135">
        <v>0</v>
      </c>
      <c r="K14" s="129">
        <v>0</v>
      </c>
      <c r="L14" s="135">
        <v>0</v>
      </c>
      <c r="M14" s="135">
        <v>0</v>
      </c>
      <c r="N14" s="129">
        <f t="shared" si="1"/>
        <v>0</v>
      </c>
      <c r="O14" s="82"/>
      <c r="P14" s="85"/>
      <c r="R14" s="85"/>
      <c r="S14" s="85"/>
      <c r="T14" s="85"/>
    </row>
    <row r="15" spans="1:20" s="89" customFormat="1" x14ac:dyDescent="0.3">
      <c r="A15" s="88" t="s">
        <v>83</v>
      </c>
      <c r="B15" s="81">
        <v>23371</v>
      </c>
      <c r="C15" s="81">
        <v>1095</v>
      </c>
      <c r="D15" s="81">
        <v>209</v>
      </c>
      <c r="E15" s="81">
        <v>209</v>
      </c>
      <c r="F15" s="81">
        <v>209</v>
      </c>
      <c r="G15" s="81">
        <v>155</v>
      </c>
      <c r="H15" s="199">
        <f>503+155</f>
        <v>658</v>
      </c>
      <c r="I15" s="135">
        <v>118</v>
      </c>
      <c r="J15" s="135">
        <v>4612</v>
      </c>
      <c r="K15" s="197" t="s">
        <v>116</v>
      </c>
      <c r="L15" s="135">
        <v>4612</v>
      </c>
      <c r="M15" s="135">
        <v>4364</v>
      </c>
      <c r="N15" s="129">
        <f t="shared" si="1"/>
        <v>-5.3772766695576756E-2</v>
      </c>
      <c r="O15" s="82"/>
      <c r="P15" s="85"/>
      <c r="R15" s="85"/>
      <c r="S15" s="85"/>
      <c r="T15" s="85"/>
    </row>
    <row r="16" spans="1:20" s="89" customFormat="1" x14ac:dyDescent="0.3">
      <c r="A16" s="88" t="s">
        <v>26</v>
      </c>
      <c r="B16" s="81">
        <v>1356015</v>
      </c>
      <c r="C16" s="81">
        <v>1347305</v>
      </c>
      <c r="D16" s="81">
        <v>1324771</v>
      </c>
      <c r="E16" s="81">
        <v>891321</v>
      </c>
      <c r="F16" s="81">
        <v>1869198</v>
      </c>
      <c r="G16" s="81">
        <v>3596772</v>
      </c>
      <c r="H16" s="199">
        <v>2979150</v>
      </c>
      <c r="I16" s="135">
        <v>3733696</v>
      </c>
      <c r="J16" s="135">
        <v>3357714</v>
      </c>
      <c r="K16" s="129">
        <f>(J16-I16)/I16</f>
        <v>-0.10069968203088843</v>
      </c>
      <c r="L16" s="135">
        <v>3357714</v>
      </c>
      <c r="M16" s="135">
        <v>3802056</v>
      </c>
      <c r="N16" s="129">
        <f t="shared" si="1"/>
        <v>0.132334677700364</v>
      </c>
      <c r="O16" s="82"/>
      <c r="P16" s="85"/>
      <c r="R16" s="85"/>
      <c r="S16" s="85"/>
      <c r="T16" s="85"/>
    </row>
    <row r="17" spans="1:20" s="89" customFormat="1" ht="15.75" thickBot="1" x14ac:dyDescent="0.35">
      <c r="A17" s="90" t="s">
        <v>27</v>
      </c>
      <c r="B17" s="91">
        <f>SUM(B11:B16)</f>
        <v>3744102</v>
      </c>
      <c r="C17" s="91">
        <f>SUM(C11:C16)</f>
        <v>4028640</v>
      </c>
      <c r="D17" s="91">
        <f>SUM(D11:D16)</f>
        <v>4241740</v>
      </c>
      <c r="E17" s="91">
        <f>SUM(E11:E16)</f>
        <v>3957512</v>
      </c>
      <c r="F17" s="91">
        <f t="shared" ref="F17:G17" si="2">SUM(F11:F16)</f>
        <v>5514960</v>
      </c>
      <c r="G17" s="91">
        <f t="shared" si="2"/>
        <v>6403741</v>
      </c>
      <c r="H17" s="200">
        <f>SUM(H11:H16)</f>
        <v>6545459</v>
      </c>
      <c r="I17" s="137">
        <f>SUM(I11:I16)</f>
        <v>7497156</v>
      </c>
      <c r="J17" s="137">
        <f>SUM(J11:J16)</f>
        <v>7507098</v>
      </c>
      <c r="K17" s="159">
        <f>(J17-I17)/I17</f>
        <v>1.3261028582038309E-3</v>
      </c>
      <c r="L17" s="137">
        <f>SUM(L11:L16)</f>
        <v>7507098</v>
      </c>
      <c r="M17" s="137">
        <f>SUM(M11:M16)</f>
        <v>8285171</v>
      </c>
      <c r="N17" s="159">
        <f t="shared" si="1"/>
        <v>0.10364497706037673</v>
      </c>
      <c r="O17" s="82"/>
      <c r="P17" s="85"/>
      <c r="R17" s="85"/>
      <c r="S17" s="85"/>
      <c r="T17" s="85"/>
    </row>
    <row r="18" spans="1:20" s="85" customFormat="1" x14ac:dyDescent="0.3">
      <c r="B18" s="81"/>
      <c r="C18" s="81"/>
      <c r="D18" s="81"/>
      <c r="E18" s="81"/>
      <c r="F18" s="81"/>
      <c r="G18" s="81"/>
      <c r="H18" s="199"/>
      <c r="I18" s="135"/>
      <c r="J18" s="135"/>
      <c r="K18" s="129"/>
      <c r="L18" s="135"/>
      <c r="M18" s="135"/>
      <c r="N18" s="129"/>
      <c r="O18" s="107"/>
    </row>
    <row r="19" spans="1:20" s="89" customFormat="1" x14ac:dyDescent="0.3">
      <c r="A19" s="104" t="s">
        <v>48</v>
      </c>
      <c r="B19" s="86"/>
      <c r="C19" s="86"/>
      <c r="D19" s="86"/>
      <c r="E19" s="86"/>
      <c r="F19" s="86"/>
      <c r="G19" s="86"/>
      <c r="H19" s="207"/>
      <c r="I19" s="161"/>
      <c r="J19" s="161"/>
      <c r="K19" s="162"/>
      <c r="L19" s="161"/>
      <c r="M19" s="161"/>
      <c r="N19" s="162"/>
      <c r="O19" s="107"/>
      <c r="P19" s="85"/>
      <c r="R19" s="85"/>
      <c r="S19" s="85"/>
      <c r="T19" s="85"/>
    </row>
    <row r="20" spans="1:20" s="89" customFormat="1" x14ac:dyDescent="0.3">
      <c r="A20" s="88" t="s">
        <v>28</v>
      </c>
      <c r="B20" s="81"/>
      <c r="C20" s="81"/>
      <c r="D20" s="81">
        <v>7000</v>
      </c>
      <c r="E20" s="81">
        <v>7000</v>
      </c>
      <c r="F20" s="81">
        <v>0</v>
      </c>
      <c r="G20" s="81">
        <v>445</v>
      </c>
      <c r="H20" s="199">
        <v>0</v>
      </c>
      <c r="I20" s="135">
        <v>7</v>
      </c>
      <c r="J20" s="135">
        <v>0</v>
      </c>
      <c r="K20" s="129">
        <f>(J20-I20)/I20</f>
        <v>-1</v>
      </c>
      <c r="L20" s="135">
        <v>0</v>
      </c>
      <c r="M20" s="135">
        <v>0</v>
      </c>
      <c r="N20" s="129">
        <f t="shared" ref="N20:N28" si="3">IF(L20&lt;&gt;0,(M20-L20)/L20,0)</f>
        <v>0</v>
      </c>
      <c r="O20" s="82"/>
      <c r="P20" s="85"/>
      <c r="R20" s="85"/>
      <c r="S20" s="85"/>
      <c r="T20" s="85"/>
    </row>
    <row r="21" spans="1:20" s="89" customFormat="1" x14ac:dyDescent="0.3">
      <c r="A21" s="88" t="s">
        <v>29</v>
      </c>
      <c r="B21" s="81">
        <v>37598</v>
      </c>
      <c r="C21" s="81">
        <v>60127</v>
      </c>
      <c r="D21" s="81">
        <v>62571</v>
      </c>
      <c r="E21" s="81">
        <v>71267</v>
      </c>
      <c r="F21" s="81">
        <v>111498</v>
      </c>
      <c r="G21" s="81">
        <v>70420</v>
      </c>
      <c r="H21" s="199">
        <v>59466</v>
      </c>
      <c r="I21" s="135">
        <v>65083</v>
      </c>
      <c r="J21" s="135">
        <v>70701</v>
      </c>
      <c r="K21" s="129">
        <f>(J21-I21)/I21</f>
        <v>8.6320544535439359E-2</v>
      </c>
      <c r="L21" s="135">
        <v>70701</v>
      </c>
      <c r="M21" s="135">
        <v>69194</v>
      </c>
      <c r="N21" s="129">
        <f t="shared" si="3"/>
        <v>-2.1315115769225328E-2</v>
      </c>
      <c r="O21" s="82"/>
      <c r="P21" s="85"/>
      <c r="R21" s="85"/>
      <c r="S21" s="85"/>
      <c r="T21" s="85"/>
    </row>
    <row r="22" spans="1:20" s="85" customFormat="1" x14ac:dyDescent="0.3">
      <c r="A22" s="88" t="s">
        <v>30</v>
      </c>
      <c r="B22" s="81">
        <v>3128</v>
      </c>
      <c r="C22" s="81">
        <v>98</v>
      </c>
      <c r="D22" s="81">
        <v>645</v>
      </c>
      <c r="E22" s="81">
        <v>1762</v>
      </c>
      <c r="F22" s="81">
        <v>430</v>
      </c>
      <c r="G22" s="81">
        <v>604</v>
      </c>
      <c r="H22" s="199">
        <v>585</v>
      </c>
      <c r="I22" s="135">
        <v>657</v>
      </c>
      <c r="J22" s="135">
        <v>2299</v>
      </c>
      <c r="K22" s="129">
        <f t="shared" ref="K22:K26" si="4">(J22-I22)/I22</f>
        <v>2.4992389649923896</v>
      </c>
      <c r="L22" s="135">
        <v>2299</v>
      </c>
      <c r="M22" s="135">
        <v>918</v>
      </c>
      <c r="N22" s="129">
        <f t="shared" si="3"/>
        <v>-0.60069595476294035</v>
      </c>
      <c r="O22" s="82"/>
    </row>
    <row r="23" spans="1:20" s="85" customFormat="1" x14ac:dyDescent="0.3">
      <c r="A23" s="88" t="s">
        <v>31</v>
      </c>
      <c r="B23" s="81">
        <v>247</v>
      </c>
      <c r="C23" s="81">
        <v>501</v>
      </c>
      <c r="D23" s="81">
        <v>686</v>
      </c>
      <c r="E23" s="81">
        <v>940</v>
      </c>
      <c r="F23" s="81">
        <v>650</v>
      </c>
      <c r="G23" s="81">
        <v>947</v>
      </c>
      <c r="H23" s="199">
        <v>872</v>
      </c>
      <c r="I23" s="135">
        <v>481</v>
      </c>
      <c r="J23" s="135">
        <v>932</v>
      </c>
      <c r="K23" s="129">
        <f t="shared" si="4"/>
        <v>0.93762993762993763</v>
      </c>
      <c r="L23" s="135">
        <v>932</v>
      </c>
      <c r="M23" s="135">
        <v>1164</v>
      </c>
      <c r="N23" s="129">
        <f t="shared" si="3"/>
        <v>0.24892703862660945</v>
      </c>
      <c r="O23" s="82"/>
    </row>
    <row r="24" spans="1:20" s="85" customFormat="1" x14ac:dyDescent="0.3">
      <c r="A24" s="88" t="s">
        <v>32</v>
      </c>
      <c r="B24" s="81"/>
      <c r="C24" s="81"/>
      <c r="D24" s="81"/>
      <c r="E24" s="81"/>
      <c r="F24" s="81"/>
      <c r="G24" s="81"/>
      <c r="H24" s="199">
        <v>0</v>
      </c>
      <c r="I24" s="135">
        <v>0</v>
      </c>
      <c r="J24" s="135">
        <v>0</v>
      </c>
      <c r="K24" s="129">
        <v>0</v>
      </c>
      <c r="L24" s="135">
        <v>0</v>
      </c>
      <c r="M24" s="135">
        <v>0</v>
      </c>
      <c r="N24" s="129">
        <f t="shared" si="3"/>
        <v>0</v>
      </c>
      <c r="O24" s="82"/>
    </row>
    <row r="25" spans="1:20" s="85" customFormat="1" x14ac:dyDescent="0.3">
      <c r="A25" s="88" t="s">
        <v>87</v>
      </c>
      <c r="B25" s="81">
        <v>2356</v>
      </c>
      <c r="C25" s="81">
        <v>2509</v>
      </c>
      <c r="D25" s="81">
        <v>2679</v>
      </c>
      <c r="E25" s="81">
        <v>2934</v>
      </c>
      <c r="F25" s="81">
        <v>3179</v>
      </c>
      <c r="G25" s="81">
        <v>7650</v>
      </c>
      <c r="H25" s="199">
        <v>8296</v>
      </c>
      <c r="I25" s="135">
        <v>8803</v>
      </c>
      <c r="J25" s="135">
        <v>9622</v>
      </c>
      <c r="K25" s="129">
        <f t="shared" si="4"/>
        <v>9.3036464841531302E-2</v>
      </c>
      <c r="L25" s="135">
        <v>9622</v>
      </c>
      <c r="M25" s="135">
        <v>0</v>
      </c>
      <c r="N25" s="129">
        <f t="shared" si="3"/>
        <v>-1</v>
      </c>
      <c r="O25" s="82"/>
    </row>
    <row r="26" spans="1:20" s="95" customFormat="1" x14ac:dyDescent="0.3">
      <c r="A26" s="93" t="s">
        <v>33</v>
      </c>
      <c r="B26" s="80">
        <f t="shared" ref="B26:G26" si="5">SUM(B20:B25)</f>
        <v>43329</v>
      </c>
      <c r="C26" s="80">
        <f t="shared" si="5"/>
        <v>63235</v>
      </c>
      <c r="D26" s="80">
        <f t="shared" si="5"/>
        <v>73581</v>
      </c>
      <c r="E26" s="80">
        <f t="shared" si="5"/>
        <v>83903</v>
      </c>
      <c r="F26" s="80">
        <f t="shared" si="5"/>
        <v>115757</v>
      </c>
      <c r="G26" s="80">
        <f t="shared" si="5"/>
        <v>80066</v>
      </c>
      <c r="H26" s="202">
        <f>SUM(H20:H25)</f>
        <v>69219</v>
      </c>
      <c r="I26" s="134">
        <f>SUM(I20:I25)</f>
        <v>75031</v>
      </c>
      <c r="J26" s="134">
        <f>SUM(J20:J25)</f>
        <v>83554</v>
      </c>
      <c r="K26" s="129">
        <f t="shared" si="4"/>
        <v>0.11359304820674121</v>
      </c>
      <c r="L26" s="134">
        <v>83554</v>
      </c>
      <c r="M26" s="134">
        <f>SUM(M20:M25)</f>
        <v>71276</v>
      </c>
      <c r="N26" s="138">
        <f t="shared" si="3"/>
        <v>-0.14694688464944827</v>
      </c>
      <c r="O26" s="82"/>
      <c r="P26" s="85"/>
      <c r="R26" s="85"/>
      <c r="S26" s="85"/>
      <c r="T26" s="85"/>
    </row>
    <row r="27" spans="1:20" s="95" customFormat="1" x14ac:dyDescent="0.3">
      <c r="A27" s="96" t="s">
        <v>34</v>
      </c>
      <c r="B27" s="97">
        <v>3700773</v>
      </c>
      <c r="C27" s="97">
        <v>3965405</v>
      </c>
      <c r="D27" s="97">
        <v>4168159</v>
      </c>
      <c r="E27" s="97">
        <v>3873609</v>
      </c>
      <c r="F27" s="97">
        <v>5399203</v>
      </c>
      <c r="G27" s="97">
        <v>6323675</v>
      </c>
      <c r="H27" s="203">
        <v>6476240</v>
      </c>
      <c r="I27" s="163">
        <f>+I17-I26</f>
        <v>7422125</v>
      </c>
      <c r="J27" s="163">
        <f>+J17-J26</f>
        <v>7423544</v>
      </c>
      <c r="K27" s="131">
        <f>(J27-I27)/I27</f>
        <v>1.9118513902689595E-4</v>
      </c>
      <c r="L27" s="163">
        <f>+L17-L26</f>
        <v>7423544</v>
      </c>
      <c r="M27" s="163">
        <f>+M17-M26</f>
        <v>8213895</v>
      </c>
      <c r="N27" s="131">
        <f t="shared" si="3"/>
        <v>0.1064654563911792</v>
      </c>
      <c r="O27" s="82"/>
      <c r="P27" s="85"/>
      <c r="R27" s="85"/>
      <c r="S27" s="85"/>
      <c r="T27" s="85"/>
    </row>
    <row r="28" spans="1:20" s="95" customFormat="1" ht="15.75" thickBot="1" x14ac:dyDescent="0.35">
      <c r="A28" s="90" t="s">
        <v>35</v>
      </c>
      <c r="B28" s="91">
        <f t="shared" ref="B28:G28" si="6">+B26+B27</f>
        <v>3744102</v>
      </c>
      <c r="C28" s="91">
        <f t="shared" si="6"/>
        <v>4028640</v>
      </c>
      <c r="D28" s="91">
        <f t="shared" si="6"/>
        <v>4241740</v>
      </c>
      <c r="E28" s="91">
        <f t="shared" si="6"/>
        <v>3957512</v>
      </c>
      <c r="F28" s="91">
        <f t="shared" si="6"/>
        <v>5514960</v>
      </c>
      <c r="G28" s="91">
        <f t="shared" si="6"/>
        <v>6403741</v>
      </c>
      <c r="H28" s="200">
        <f>+H26+H27</f>
        <v>6545459</v>
      </c>
      <c r="I28" s="137">
        <f>+I26+I27</f>
        <v>7497156</v>
      </c>
      <c r="J28" s="137">
        <f>+J26+J27</f>
        <v>7507098</v>
      </c>
      <c r="K28" s="130">
        <f>(J28-I28)/I28</f>
        <v>1.3261028582038309E-3</v>
      </c>
      <c r="L28" s="137">
        <f>+L26+L27</f>
        <v>7507098</v>
      </c>
      <c r="M28" s="137">
        <f>+M26+M27</f>
        <v>8285171</v>
      </c>
      <c r="N28" s="130">
        <f t="shared" si="3"/>
        <v>0.10364497706037673</v>
      </c>
      <c r="O28" s="82"/>
      <c r="P28" s="85"/>
      <c r="R28" s="85"/>
      <c r="S28" s="85"/>
      <c r="T28" s="85"/>
    </row>
    <row r="29" spans="1:20" s="85" customFormat="1" x14ac:dyDescent="0.3">
      <c r="A29" s="88" t="s">
        <v>54</v>
      </c>
      <c r="B29" s="81">
        <v>435123458</v>
      </c>
      <c r="C29" s="81">
        <v>435123458</v>
      </c>
      <c r="D29" s="81">
        <v>435123458</v>
      </c>
      <c r="E29" s="81">
        <v>435123458</v>
      </c>
      <c r="F29" s="81">
        <v>435123458</v>
      </c>
      <c r="G29" s="81">
        <v>435123458</v>
      </c>
      <c r="H29" s="199">
        <f>435123458+25000000</f>
        <v>460123458</v>
      </c>
      <c r="I29" s="135">
        <f>435123458+25000000</f>
        <v>460123458</v>
      </c>
      <c r="J29" s="135">
        <f>435123458+25000000</f>
        <v>460123458</v>
      </c>
      <c r="K29" s="129"/>
      <c r="L29" s="135">
        <f>435123458+25000000</f>
        <v>460123458</v>
      </c>
      <c r="M29" s="135">
        <f>435123458+25000000</f>
        <v>460123458</v>
      </c>
      <c r="N29" s="129"/>
      <c r="O29" s="107"/>
    </row>
    <row r="30" spans="1:20" s="85" customFormat="1" x14ac:dyDescent="0.3">
      <c r="A30" s="88" t="s">
        <v>71</v>
      </c>
      <c r="B30" s="100">
        <f>+B27/+(B29/1000000)</f>
        <v>8505.1102898708796</v>
      </c>
      <c r="C30" s="100">
        <f>+C27/+(C29/1000000)</f>
        <v>9113.2871075868297</v>
      </c>
      <c r="D30" s="100">
        <f>+D27/+(D29/1000000)</f>
        <v>9579.2560096817397</v>
      </c>
      <c r="E30" s="100">
        <f>+E27/+(E29/1000000)</f>
        <v>8902.3216946395933</v>
      </c>
      <c r="F30" s="100">
        <f t="shared" ref="F30:G30" si="7">+F27/+(F29/1000000)</f>
        <v>12408.439261851976</v>
      </c>
      <c r="G30" s="100">
        <f t="shared" si="7"/>
        <v>14533.059258781675</v>
      </c>
      <c r="H30" s="208">
        <f>+H27/+(H29/1000000)</f>
        <v>14075.005060924323</v>
      </c>
      <c r="I30" s="165">
        <f>+I27/+(I29/1000000)</f>
        <v>16130.725071617626</v>
      </c>
      <c r="J30" s="165">
        <f>+J27/+(J29/1000000)</f>
        <v>16133.809026533047</v>
      </c>
      <c r="K30" s="129"/>
      <c r="L30" s="165">
        <f>+L27/+(L29/1000000)</f>
        <v>16133.809026533047</v>
      </c>
      <c r="M30" s="165">
        <f>+M27/+(M29/1000000)</f>
        <v>17851.502367871017</v>
      </c>
      <c r="N30" s="129"/>
      <c r="O30" s="107"/>
    </row>
    <row r="31" spans="1:20" s="85" customFormat="1" x14ac:dyDescent="0.3">
      <c r="A31" s="115"/>
      <c r="B31" s="115"/>
      <c r="C31" s="115"/>
      <c r="D31" s="115"/>
      <c r="E31" s="115"/>
      <c r="F31" s="81"/>
      <c r="G31" s="115"/>
      <c r="H31" s="100"/>
      <c r="I31" s="100"/>
      <c r="J31" s="100"/>
      <c r="K31" s="100"/>
      <c r="L31" s="82"/>
      <c r="N31" s="107"/>
    </row>
    <row r="32" spans="1:20" s="85" customFormat="1" x14ac:dyDescent="0.3">
      <c r="A32" s="115"/>
      <c r="B32" s="115"/>
      <c r="C32" s="115"/>
      <c r="D32" s="115"/>
      <c r="E32" s="115"/>
      <c r="F32" s="100"/>
      <c r="G32" s="115"/>
      <c r="H32" s="100"/>
      <c r="I32" s="100"/>
      <c r="J32" s="100"/>
      <c r="K32" s="100"/>
      <c r="L32" s="82"/>
      <c r="N32" s="107"/>
    </row>
    <row r="33" spans="1:26" ht="21" x14ac:dyDescent="0.35">
      <c r="A33" s="116" t="s">
        <v>92</v>
      </c>
      <c r="B33" s="116"/>
      <c r="C33" s="116"/>
      <c r="D33" s="116"/>
      <c r="E33" s="116"/>
      <c r="F33" s="116"/>
      <c r="G33" s="116"/>
      <c r="M33" s="75"/>
      <c r="N33" s="109"/>
      <c r="O33" s="76"/>
    </row>
    <row r="34" spans="1:26" ht="15.75" x14ac:dyDescent="0.3">
      <c r="A34" s="78" t="s">
        <v>138</v>
      </c>
      <c r="B34" s="78"/>
      <c r="C34" s="78"/>
      <c r="D34" s="78"/>
      <c r="E34" s="78"/>
      <c r="F34" s="78"/>
      <c r="G34" s="78"/>
      <c r="M34" s="75"/>
      <c r="N34" s="109"/>
      <c r="O34" s="76"/>
    </row>
    <row r="35" spans="1:26" x14ac:dyDescent="0.3">
      <c r="A35" s="79" t="s">
        <v>88</v>
      </c>
      <c r="B35" s="79"/>
      <c r="C35" s="79"/>
      <c r="D35" s="79"/>
      <c r="E35" s="79"/>
      <c r="F35" s="79"/>
      <c r="G35" s="79"/>
      <c r="M35" s="75"/>
      <c r="N35" s="109"/>
      <c r="O35" s="76"/>
    </row>
    <row r="36" spans="1:26" s="85" customFormat="1" x14ac:dyDescent="0.3">
      <c r="H36" s="81"/>
      <c r="I36" s="81"/>
      <c r="J36" s="81"/>
      <c r="K36" s="81"/>
      <c r="L36" s="82"/>
      <c r="N36" s="107"/>
    </row>
    <row r="37" spans="1:26" s="85" customFormat="1" ht="15.75" thickBot="1" x14ac:dyDescent="0.35">
      <c r="B37" s="156">
        <v>2005</v>
      </c>
      <c r="C37" s="156">
        <v>2006</v>
      </c>
      <c r="D37" s="156">
        <v>2007</v>
      </c>
      <c r="E37" s="156">
        <v>2008</v>
      </c>
      <c r="F37" s="156">
        <v>2009</v>
      </c>
      <c r="G37" s="156">
        <v>2010</v>
      </c>
      <c r="H37" s="198">
        <v>2011</v>
      </c>
      <c r="I37" s="156">
        <v>2012</v>
      </c>
      <c r="J37" s="210">
        <v>2013</v>
      </c>
      <c r="K37" s="145" t="s">
        <v>95</v>
      </c>
      <c r="L37" s="145" t="s">
        <v>124</v>
      </c>
      <c r="M37" s="145" t="s">
        <v>100</v>
      </c>
      <c r="N37" s="145" t="s">
        <v>127</v>
      </c>
      <c r="O37" s="145" t="s">
        <v>112</v>
      </c>
      <c r="P37" s="145" t="s">
        <v>132</v>
      </c>
      <c r="Q37" s="145" t="s">
        <v>120</v>
      </c>
      <c r="R37" s="145" t="s">
        <v>136</v>
      </c>
      <c r="S37" s="167" t="s">
        <v>46</v>
      </c>
      <c r="T37" s="145" t="s">
        <v>109</v>
      </c>
      <c r="U37" s="145" t="s">
        <v>128</v>
      </c>
      <c r="V37" s="167" t="s">
        <v>46</v>
      </c>
      <c r="X37" s="107"/>
    </row>
    <row r="38" spans="1:26" s="95" customFormat="1" x14ac:dyDescent="0.3">
      <c r="A38" s="85" t="s">
        <v>72</v>
      </c>
      <c r="B38" s="80">
        <v>158869</v>
      </c>
      <c r="C38" s="80">
        <v>163042</v>
      </c>
      <c r="D38" s="80">
        <v>231987</v>
      </c>
      <c r="E38" s="80">
        <v>268897</v>
      </c>
      <c r="F38" s="80">
        <v>212895</v>
      </c>
      <c r="G38" s="80">
        <v>239836</v>
      </c>
      <c r="H38" s="202">
        <v>223644</v>
      </c>
      <c r="I38" s="80">
        <v>312990</v>
      </c>
      <c r="J38" s="211">
        <v>344939</v>
      </c>
      <c r="K38" s="134">
        <v>77093</v>
      </c>
      <c r="L38" s="134">
        <v>78232</v>
      </c>
      <c r="M38" s="134">
        <v>88356</v>
      </c>
      <c r="N38" s="134">
        <v>74755</v>
      </c>
      <c r="O38" s="134">
        <v>91080</v>
      </c>
      <c r="P38" s="134">
        <v>84646</v>
      </c>
      <c r="Q38" s="134">
        <f>+T38-K38-M38-O38</f>
        <v>88410</v>
      </c>
      <c r="R38" s="134">
        <f>+U38-L38-N38-P38</f>
        <v>86251</v>
      </c>
      <c r="S38" s="129">
        <f>(R38-Q38)/Q38</f>
        <v>-2.4420314444067413E-2</v>
      </c>
      <c r="T38" s="134">
        <v>344939</v>
      </c>
      <c r="U38" s="134">
        <v>323884</v>
      </c>
      <c r="V38" s="129">
        <f>IF(T38&lt;&gt;0,(U38-T38)/T38,0)</f>
        <v>-6.1039778047712781E-2</v>
      </c>
      <c r="W38" s="169"/>
      <c r="X38" s="85"/>
      <c r="Y38" s="85"/>
      <c r="Z38" s="85"/>
    </row>
    <row r="39" spans="1:26" s="85" customFormat="1" x14ac:dyDescent="0.3">
      <c r="A39" s="85" t="s">
        <v>5</v>
      </c>
      <c r="B39" s="81">
        <v>17762</v>
      </c>
      <c r="C39" s="81">
        <v>56828</v>
      </c>
      <c r="D39" s="81">
        <v>2685</v>
      </c>
      <c r="E39" s="81">
        <v>2704</v>
      </c>
      <c r="F39" s="81">
        <v>0</v>
      </c>
      <c r="G39" s="81">
        <v>1579</v>
      </c>
      <c r="H39" s="199">
        <v>11024</v>
      </c>
      <c r="I39" s="81">
        <v>0</v>
      </c>
      <c r="J39" s="212">
        <v>-176</v>
      </c>
      <c r="K39" s="135">
        <v>0</v>
      </c>
      <c r="L39" s="135">
        <v>640</v>
      </c>
      <c r="M39" s="135">
        <v>-176</v>
      </c>
      <c r="N39" s="135">
        <v>0</v>
      </c>
      <c r="O39" s="135">
        <v>0</v>
      </c>
      <c r="P39" s="135">
        <v>0</v>
      </c>
      <c r="Q39" s="134">
        <f t="shared" ref="Q39:Q41" si="8">+T39-K39-M39-O39</f>
        <v>0</v>
      </c>
      <c r="R39" s="134">
        <f t="shared" ref="R39:R48" si="9">+U39-L39-N39-P39</f>
        <v>0</v>
      </c>
      <c r="S39" s="129">
        <v>0</v>
      </c>
      <c r="T39" s="135">
        <v>-176</v>
      </c>
      <c r="U39" s="135">
        <v>640</v>
      </c>
      <c r="V39" s="129">
        <f t="shared" ref="V39:V44" si="10">IF(T39&lt;&gt;0,(U39-T39)/T39,0)</f>
        <v>-4.6363636363636367</v>
      </c>
      <c r="W39" s="169"/>
    </row>
    <row r="40" spans="1:26" s="95" customFormat="1" x14ac:dyDescent="0.3">
      <c r="A40" s="85" t="s">
        <v>57</v>
      </c>
      <c r="B40" s="81">
        <v>11795</v>
      </c>
      <c r="C40" s="81">
        <v>16684</v>
      </c>
      <c r="D40" s="81">
        <v>11678</v>
      </c>
      <c r="E40" s="81">
        <v>14746</v>
      </c>
      <c r="F40" s="81">
        <v>12979</v>
      </c>
      <c r="G40" s="81">
        <v>30953</v>
      </c>
      <c r="H40" s="199">
        <v>33432</v>
      </c>
      <c r="I40" s="81">
        <v>35105</v>
      </c>
      <c r="J40" s="212">
        <v>39426</v>
      </c>
      <c r="K40" s="135">
        <v>8803</v>
      </c>
      <c r="L40" s="135">
        <v>9622</v>
      </c>
      <c r="M40" s="135">
        <v>9861</v>
      </c>
      <c r="N40" s="135">
        <v>10926</v>
      </c>
      <c r="O40" s="135">
        <v>11140</v>
      </c>
      <c r="P40" s="135">
        <v>10926</v>
      </c>
      <c r="Q40" s="134">
        <f t="shared" si="8"/>
        <v>9622</v>
      </c>
      <c r="R40" s="134">
        <f t="shared" si="9"/>
        <v>21476</v>
      </c>
      <c r="S40" s="129">
        <f t="shared" ref="S40:S49" si="11">(R40-Q40)/Q40</f>
        <v>1.231968405736853</v>
      </c>
      <c r="T40" s="135">
        <v>39426</v>
      </c>
      <c r="U40" s="135">
        <v>52950</v>
      </c>
      <c r="V40" s="129">
        <f t="shared" si="10"/>
        <v>0.34302237102419725</v>
      </c>
      <c r="W40" s="169"/>
      <c r="X40" s="85"/>
      <c r="Y40" s="85"/>
      <c r="Z40" s="85"/>
    </row>
    <row r="41" spans="1:26" s="95" customFormat="1" x14ac:dyDescent="0.3">
      <c r="A41" s="85" t="s">
        <v>56</v>
      </c>
      <c r="B41" s="81">
        <v>2490</v>
      </c>
      <c r="C41" s="81">
        <v>7447</v>
      </c>
      <c r="D41" s="81">
        <v>5519</v>
      </c>
      <c r="E41" s="81">
        <v>13179</v>
      </c>
      <c r="F41" s="81">
        <v>10094</v>
      </c>
      <c r="G41" s="81">
        <v>13131</v>
      </c>
      <c r="H41" s="199">
        <v>7221</v>
      </c>
      <c r="I41" s="81">
        <v>8379</v>
      </c>
      <c r="J41" s="212">
        <v>14465</v>
      </c>
      <c r="K41" s="135">
        <v>2650</v>
      </c>
      <c r="L41" s="135">
        <v>3254</v>
      </c>
      <c r="M41" s="135">
        <v>2920</v>
      </c>
      <c r="N41" s="135">
        <v>3379</v>
      </c>
      <c r="O41" s="135">
        <v>3537</v>
      </c>
      <c r="P41" s="135">
        <v>2644</v>
      </c>
      <c r="Q41" s="134">
        <f t="shared" si="8"/>
        <v>5358</v>
      </c>
      <c r="R41" s="134">
        <f t="shared" si="9"/>
        <v>7820</v>
      </c>
      <c r="S41" s="129">
        <f t="shared" si="11"/>
        <v>0.45949981336319523</v>
      </c>
      <c r="T41" s="135">
        <v>14465</v>
      </c>
      <c r="U41" s="135">
        <v>17097</v>
      </c>
      <c r="V41" s="129">
        <f t="shared" si="10"/>
        <v>0.18195644659522986</v>
      </c>
      <c r="W41" s="169"/>
      <c r="X41" s="85"/>
      <c r="Y41" s="85"/>
      <c r="Z41" s="85"/>
    </row>
    <row r="42" spans="1:26" s="95" customFormat="1" x14ac:dyDescent="0.3">
      <c r="A42" s="95" t="s">
        <v>4</v>
      </c>
      <c r="B42" s="80">
        <f t="shared" ref="B42:G42" si="12">SUM(B38:B41)</f>
        <v>190916</v>
      </c>
      <c r="C42" s="80">
        <f t="shared" si="12"/>
        <v>244001</v>
      </c>
      <c r="D42" s="80">
        <f t="shared" si="12"/>
        <v>251869</v>
      </c>
      <c r="E42" s="80">
        <f>SUM(E38:E41)</f>
        <v>299526</v>
      </c>
      <c r="F42" s="80">
        <f t="shared" si="12"/>
        <v>235968</v>
      </c>
      <c r="G42" s="80">
        <f t="shared" si="12"/>
        <v>285499</v>
      </c>
      <c r="H42" s="202">
        <f>SUM(H38:H41)</f>
        <v>275321</v>
      </c>
      <c r="I42" s="80">
        <f>SUM(I38:I41)</f>
        <v>356474</v>
      </c>
      <c r="J42" s="211">
        <f t="shared" ref="J42:P42" si="13">SUM(J38:J41)</f>
        <v>398654</v>
      </c>
      <c r="K42" s="134">
        <f t="shared" si="13"/>
        <v>88546</v>
      </c>
      <c r="L42" s="134">
        <f t="shared" si="13"/>
        <v>91748</v>
      </c>
      <c r="M42" s="134">
        <f t="shared" si="13"/>
        <v>100961</v>
      </c>
      <c r="N42" s="134">
        <f t="shared" si="13"/>
        <v>89060</v>
      </c>
      <c r="O42" s="134">
        <f t="shared" si="13"/>
        <v>105757</v>
      </c>
      <c r="P42" s="134">
        <f t="shared" si="13"/>
        <v>98216</v>
      </c>
      <c r="Q42" s="134">
        <f t="shared" ref="Q42:R42" si="14">SUM(Q38:Q41)</f>
        <v>103390</v>
      </c>
      <c r="R42" s="134">
        <f t="shared" si="14"/>
        <v>115547</v>
      </c>
      <c r="S42" s="129">
        <f t="shared" si="11"/>
        <v>0.11758390560015475</v>
      </c>
      <c r="T42" s="134">
        <f t="shared" ref="T42" si="15">SUM(T38:T41)</f>
        <v>398654</v>
      </c>
      <c r="U42" s="134">
        <f>SUM(U38:U41)</f>
        <v>394571</v>
      </c>
      <c r="V42" s="129">
        <f t="shared" si="10"/>
        <v>-1.0241964209565187E-2</v>
      </c>
      <c r="W42" s="169"/>
      <c r="X42" s="85"/>
      <c r="Y42" s="85"/>
      <c r="Z42" s="85"/>
    </row>
    <row r="43" spans="1:26" s="85" customFormat="1" x14ac:dyDescent="0.3">
      <c r="A43" s="85" t="s">
        <v>58</v>
      </c>
      <c r="B43" s="81">
        <v>-22106</v>
      </c>
      <c r="C43" s="81">
        <v>-41421</v>
      </c>
      <c r="D43" s="81">
        <v>-7188</v>
      </c>
      <c r="E43" s="81">
        <v>-8773</v>
      </c>
      <c r="F43" s="81">
        <v>-8740</v>
      </c>
      <c r="G43" s="81">
        <v>-11563</v>
      </c>
      <c r="H43" s="199">
        <v>-9004</v>
      </c>
      <c r="I43" s="81">
        <v>-10090</v>
      </c>
      <c r="J43" s="212">
        <v>-13551</v>
      </c>
      <c r="K43" s="135">
        <f>-2393-5938</f>
        <v>-8331</v>
      </c>
      <c r="L43" s="135">
        <v>-6805</v>
      </c>
      <c r="M43" s="135">
        <v>1646</v>
      </c>
      <c r="N43" s="135">
        <v>-6216</v>
      </c>
      <c r="O43" s="135">
        <v>-3043</v>
      </c>
      <c r="P43" s="135">
        <v>-6145</v>
      </c>
      <c r="Q43" s="134">
        <f>+T43-K43-M43-O43</f>
        <v>-3823</v>
      </c>
      <c r="R43" s="134">
        <f t="shared" si="9"/>
        <v>583</v>
      </c>
      <c r="S43" s="129">
        <f t="shared" si="11"/>
        <v>-1.1524980381899033</v>
      </c>
      <c r="T43" s="135">
        <v>-13551</v>
      </c>
      <c r="U43" s="135">
        <v>-18583</v>
      </c>
      <c r="V43" s="129">
        <f t="shared" si="10"/>
        <v>0.37133790864142868</v>
      </c>
      <c r="W43" s="169"/>
    </row>
    <row r="44" spans="1:26" s="95" customFormat="1" x14ac:dyDescent="0.3">
      <c r="A44" s="95" t="s">
        <v>42</v>
      </c>
      <c r="B44" s="80">
        <f t="shared" ref="B44:G44" si="16">SUM(B42:B43)</f>
        <v>168810</v>
      </c>
      <c r="C44" s="80">
        <f t="shared" si="16"/>
        <v>202580</v>
      </c>
      <c r="D44" s="80">
        <f t="shared" si="16"/>
        <v>244681</v>
      </c>
      <c r="E44" s="80">
        <f t="shared" si="16"/>
        <v>290753</v>
      </c>
      <c r="F44" s="80">
        <f t="shared" si="16"/>
        <v>227228</v>
      </c>
      <c r="G44" s="80">
        <f t="shared" si="16"/>
        <v>273936</v>
      </c>
      <c r="H44" s="202">
        <f>SUM(H42:H43)</f>
        <v>266317</v>
      </c>
      <c r="I44" s="80">
        <f>SUM(I42:I43)</f>
        <v>346384</v>
      </c>
      <c r="J44" s="211">
        <f t="shared" ref="J44:P44" si="17">SUM(J42:J43)</f>
        <v>385103</v>
      </c>
      <c r="K44" s="134">
        <f t="shared" si="17"/>
        <v>80215</v>
      </c>
      <c r="L44" s="134">
        <f t="shared" si="17"/>
        <v>84943</v>
      </c>
      <c r="M44" s="134">
        <f t="shared" si="17"/>
        <v>102607</v>
      </c>
      <c r="N44" s="134">
        <f t="shared" si="17"/>
        <v>82844</v>
      </c>
      <c r="O44" s="134">
        <f t="shared" si="17"/>
        <v>102714</v>
      </c>
      <c r="P44" s="134">
        <f t="shared" si="17"/>
        <v>92071</v>
      </c>
      <c r="Q44" s="134">
        <f t="shared" ref="Q44:R44" si="18">SUM(Q42:Q43)</f>
        <v>99567</v>
      </c>
      <c r="R44" s="134">
        <f t="shared" si="18"/>
        <v>116130</v>
      </c>
      <c r="S44" s="129">
        <f t="shared" si="11"/>
        <v>0.1663502967850794</v>
      </c>
      <c r="T44" s="134">
        <f t="shared" ref="T44" si="19">SUM(T42:T43)</f>
        <v>385103</v>
      </c>
      <c r="U44" s="134">
        <f>SUM(U42:U43)</f>
        <v>375988</v>
      </c>
      <c r="V44" s="129">
        <f t="shared" si="10"/>
        <v>-2.3668992451370153E-2</v>
      </c>
      <c r="W44" s="169"/>
      <c r="X44" s="85"/>
      <c r="Y44" s="85"/>
      <c r="Z44" s="85"/>
    </row>
    <row r="45" spans="1:26" s="95" customFormat="1" x14ac:dyDescent="0.3">
      <c r="A45" s="85" t="s">
        <v>10</v>
      </c>
      <c r="B45" s="81">
        <v>4490</v>
      </c>
      <c r="C45" s="81">
        <v>8391</v>
      </c>
      <c r="D45" s="81">
        <v>80</v>
      </c>
      <c r="E45" s="81">
        <v>960</v>
      </c>
      <c r="F45" s="81">
        <v>214</v>
      </c>
      <c r="G45" s="81">
        <v>7839</v>
      </c>
      <c r="H45" s="199">
        <v>814</v>
      </c>
      <c r="I45" s="81">
        <v>851</v>
      </c>
      <c r="J45" s="212">
        <v>203</v>
      </c>
      <c r="K45" s="135">
        <v>61</v>
      </c>
      <c r="L45" s="135">
        <v>7</v>
      </c>
      <c r="M45" s="135">
        <v>51</v>
      </c>
      <c r="N45" s="135">
        <v>1655</v>
      </c>
      <c r="O45" s="135">
        <v>130</v>
      </c>
      <c r="P45" s="135">
        <v>24</v>
      </c>
      <c r="Q45" s="134">
        <f t="shared" ref="Q45:Q48" si="20">+T45-K45-M45-O45</f>
        <v>-39</v>
      </c>
      <c r="R45" s="134">
        <f t="shared" si="9"/>
        <v>28</v>
      </c>
      <c r="S45" s="197">
        <f t="shared" si="11"/>
        <v>-1.7179487179487178</v>
      </c>
      <c r="T45" s="135">
        <v>203</v>
      </c>
      <c r="U45" s="135">
        <v>1714</v>
      </c>
      <c r="V45" s="197" t="s">
        <v>131</v>
      </c>
      <c r="W45" s="169"/>
      <c r="X45" s="85"/>
      <c r="Y45" s="85"/>
      <c r="Z45" s="85"/>
    </row>
    <row r="46" spans="1:26" s="85" customFormat="1" x14ac:dyDescent="0.3">
      <c r="A46" s="85" t="s">
        <v>13</v>
      </c>
      <c r="B46" s="81">
        <v>-388</v>
      </c>
      <c r="C46" s="81">
        <v>-60</v>
      </c>
      <c r="D46" s="81">
        <v>-279</v>
      </c>
      <c r="E46" s="81">
        <v>-633</v>
      </c>
      <c r="F46" s="81">
        <v>-1741</v>
      </c>
      <c r="G46" s="81">
        <v>-1496</v>
      </c>
      <c r="H46" s="199">
        <v>-11022</v>
      </c>
      <c r="I46" s="81">
        <v>-1390</v>
      </c>
      <c r="J46" s="212">
        <v>-2974</v>
      </c>
      <c r="K46" s="135">
        <v>-127</v>
      </c>
      <c r="L46" s="135">
        <v>-10</v>
      </c>
      <c r="M46" s="135">
        <v>-2839</v>
      </c>
      <c r="N46" s="135">
        <v>-8</v>
      </c>
      <c r="O46" s="135">
        <v>-18</v>
      </c>
      <c r="P46" s="135">
        <v>0</v>
      </c>
      <c r="Q46" s="134">
        <f t="shared" si="20"/>
        <v>10</v>
      </c>
      <c r="R46" s="134">
        <f t="shared" si="9"/>
        <v>-10</v>
      </c>
      <c r="S46" s="129">
        <f t="shared" si="11"/>
        <v>-2</v>
      </c>
      <c r="T46" s="135">
        <v>-2974</v>
      </c>
      <c r="U46" s="135">
        <v>-28</v>
      </c>
      <c r="V46" s="129">
        <f>IF(T46&lt;&gt;0,(U46-T46)/T46,0)</f>
        <v>-0.99058507061197043</v>
      </c>
      <c r="W46" s="169"/>
    </row>
    <row r="47" spans="1:26" s="95" customFormat="1" x14ac:dyDescent="0.3">
      <c r="A47" s="95" t="s">
        <v>43</v>
      </c>
      <c r="B47" s="80">
        <f t="shared" ref="B47:G47" si="21">SUM(B44:B46)</f>
        <v>172912</v>
      </c>
      <c r="C47" s="80">
        <f t="shared" si="21"/>
        <v>210911</v>
      </c>
      <c r="D47" s="80">
        <f t="shared" si="21"/>
        <v>244482</v>
      </c>
      <c r="E47" s="80">
        <f t="shared" si="21"/>
        <v>291080</v>
      </c>
      <c r="F47" s="80">
        <f t="shared" si="21"/>
        <v>225701</v>
      </c>
      <c r="G47" s="80">
        <f t="shared" si="21"/>
        <v>280279</v>
      </c>
      <c r="H47" s="202">
        <f>SUM(H44:H46)</f>
        <v>256109</v>
      </c>
      <c r="I47" s="80">
        <f>SUM(I44:I46)</f>
        <v>345845</v>
      </c>
      <c r="J47" s="211">
        <f t="shared" ref="J47:P47" si="22">SUM(J44:J46)</f>
        <v>382332</v>
      </c>
      <c r="K47" s="134">
        <f t="shared" si="22"/>
        <v>80149</v>
      </c>
      <c r="L47" s="134">
        <f t="shared" si="22"/>
        <v>84940</v>
      </c>
      <c r="M47" s="134">
        <f t="shared" si="22"/>
        <v>99819</v>
      </c>
      <c r="N47" s="134">
        <f t="shared" si="22"/>
        <v>84491</v>
      </c>
      <c r="O47" s="134">
        <f t="shared" si="22"/>
        <v>102826</v>
      </c>
      <c r="P47" s="134">
        <f t="shared" si="22"/>
        <v>92095</v>
      </c>
      <c r="Q47" s="134">
        <f t="shared" ref="Q47:R47" si="23">SUM(Q44:Q46)</f>
        <v>99538</v>
      </c>
      <c r="R47" s="134">
        <f t="shared" si="23"/>
        <v>116148</v>
      </c>
      <c r="S47" s="129">
        <f t="shared" si="11"/>
        <v>0.166870943760172</v>
      </c>
      <c r="T47" s="134">
        <f t="shared" ref="T47" si="24">SUM(T44:T46)</f>
        <v>382332</v>
      </c>
      <c r="U47" s="134">
        <f>SUM(U44:U46)</f>
        <v>377674</v>
      </c>
      <c r="V47" s="129">
        <f>IF(T47&lt;&gt;0,(U47-T47)/T47,0)</f>
        <v>-1.2183128799054225E-2</v>
      </c>
      <c r="W47" s="169"/>
      <c r="X47" s="85"/>
      <c r="Y47" s="85"/>
      <c r="Z47" s="85"/>
    </row>
    <row r="48" spans="1:26" s="85" customFormat="1" x14ac:dyDescent="0.3">
      <c r="A48" s="85" t="s">
        <v>15</v>
      </c>
      <c r="B48" s="81">
        <v>-3501</v>
      </c>
      <c r="C48" s="81">
        <v>-214</v>
      </c>
      <c r="D48" s="81">
        <v>-190</v>
      </c>
      <c r="E48" s="81">
        <v>-74</v>
      </c>
      <c r="F48" s="81">
        <v>-205</v>
      </c>
      <c r="G48" s="81">
        <v>-1876</v>
      </c>
      <c r="H48" s="199">
        <v>-127</v>
      </c>
      <c r="I48" s="81">
        <v>-361</v>
      </c>
      <c r="J48" s="212">
        <v>-2436</v>
      </c>
      <c r="K48" s="135">
        <v>-2289</v>
      </c>
      <c r="L48" s="135">
        <v>-54</v>
      </c>
      <c r="M48" s="135">
        <v>911</v>
      </c>
      <c r="N48" s="135">
        <v>-26</v>
      </c>
      <c r="O48" s="135">
        <v>-496</v>
      </c>
      <c r="P48" s="135">
        <v>-27</v>
      </c>
      <c r="Q48" s="134">
        <f t="shared" si="20"/>
        <v>-562</v>
      </c>
      <c r="R48" s="134">
        <f t="shared" si="9"/>
        <v>-114</v>
      </c>
      <c r="S48" s="129">
        <f t="shared" si="11"/>
        <v>-0.79715302491103202</v>
      </c>
      <c r="T48" s="135">
        <v>-2436</v>
      </c>
      <c r="U48" s="135">
        <v>-221</v>
      </c>
      <c r="V48" s="129">
        <f>IF(T48&lt;&gt;0,(U48-T48)/T48,0)</f>
        <v>-0.90927750410509034</v>
      </c>
      <c r="W48" s="169"/>
    </row>
    <row r="49" spans="1:23" s="85" customFormat="1" ht="15.75" thickBot="1" x14ac:dyDescent="0.35">
      <c r="A49" s="102" t="s">
        <v>17</v>
      </c>
      <c r="B49" s="103">
        <f t="shared" ref="B49:G49" si="25">SUM(B47:B48)</f>
        <v>169411</v>
      </c>
      <c r="C49" s="103">
        <f t="shared" si="25"/>
        <v>210697</v>
      </c>
      <c r="D49" s="103">
        <f t="shared" si="25"/>
        <v>244292</v>
      </c>
      <c r="E49" s="103">
        <f t="shared" si="25"/>
        <v>291006</v>
      </c>
      <c r="F49" s="103">
        <f t="shared" si="25"/>
        <v>225496</v>
      </c>
      <c r="G49" s="103">
        <f t="shared" si="25"/>
        <v>278403</v>
      </c>
      <c r="H49" s="209">
        <f>SUM(H47:H48)</f>
        <v>255982</v>
      </c>
      <c r="I49" s="103">
        <f>SUM(I47:I48)</f>
        <v>345484</v>
      </c>
      <c r="J49" s="213">
        <f t="shared" ref="J49:P49" si="26">SUM(J47:J48)</f>
        <v>379896</v>
      </c>
      <c r="K49" s="166">
        <f t="shared" si="26"/>
        <v>77860</v>
      </c>
      <c r="L49" s="166">
        <f t="shared" si="26"/>
        <v>84886</v>
      </c>
      <c r="M49" s="166">
        <f t="shared" si="26"/>
        <v>100730</v>
      </c>
      <c r="N49" s="166">
        <f t="shared" si="26"/>
        <v>84465</v>
      </c>
      <c r="O49" s="166">
        <f t="shared" si="26"/>
        <v>102330</v>
      </c>
      <c r="P49" s="166">
        <f t="shared" si="26"/>
        <v>92068</v>
      </c>
      <c r="Q49" s="166">
        <f t="shared" ref="Q49:R49" si="27">SUM(Q47:Q48)</f>
        <v>98976</v>
      </c>
      <c r="R49" s="166">
        <f t="shared" si="27"/>
        <v>116034</v>
      </c>
      <c r="S49" s="130">
        <f t="shared" si="11"/>
        <v>0.17234481086323958</v>
      </c>
      <c r="T49" s="166">
        <f t="shared" ref="T49" si="28">SUM(T47:T48)</f>
        <v>379896</v>
      </c>
      <c r="U49" s="166">
        <f>SUM(U47:U48)</f>
        <v>377453</v>
      </c>
      <c r="V49" s="130">
        <f>IF(T49&lt;&gt;0,(U49-T49)/T49,0)</f>
        <v>-6.4307073514856695E-3</v>
      </c>
      <c r="W49" s="169"/>
    </row>
    <row r="50" spans="1:23" s="85" customFormat="1" x14ac:dyDescent="0.3">
      <c r="C50" s="80"/>
      <c r="H50" s="81"/>
      <c r="I50" s="81"/>
      <c r="J50" s="81"/>
      <c r="K50" s="81"/>
      <c r="L50" s="82"/>
    </row>
    <row r="51" spans="1:23" s="85" customFormat="1" x14ac:dyDescent="0.3">
      <c r="A51" s="85" t="s">
        <v>53</v>
      </c>
      <c r="C51" s="81"/>
      <c r="H51" s="81"/>
      <c r="I51" s="81"/>
      <c r="J51" s="81"/>
      <c r="K51" s="81"/>
      <c r="L51" s="82"/>
    </row>
    <row r="52" spans="1:23" s="85" customFormat="1" x14ac:dyDescent="0.3">
      <c r="C52" s="81"/>
      <c r="E52" s="80"/>
      <c r="H52" s="81"/>
      <c r="I52" s="81"/>
      <c r="J52" s="81"/>
      <c r="K52" s="81"/>
      <c r="L52" s="82"/>
    </row>
    <row r="53" spans="1:23" s="85" customFormat="1" x14ac:dyDescent="0.3">
      <c r="C53" s="81"/>
      <c r="E53" s="81"/>
      <c r="H53" s="81"/>
      <c r="I53" s="81"/>
      <c r="J53" s="81"/>
      <c r="K53" s="81"/>
      <c r="L53" s="82"/>
    </row>
    <row r="54" spans="1:23" s="85" customFormat="1" x14ac:dyDescent="0.3">
      <c r="C54" s="80"/>
      <c r="E54" s="81"/>
      <c r="H54" s="81"/>
      <c r="I54" s="81"/>
      <c r="J54" s="81"/>
      <c r="K54" s="81"/>
      <c r="L54" s="82"/>
    </row>
    <row r="55" spans="1:23" s="85" customFormat="1" x14ac:dyDescent="0.3">
      <c r="C55" s="81"/>
      <c r="E55" s="81"/>
      <c r="H55" s="81"/>
      <c r="I55" s="81"/>
      <c r="J55" s="81"/>
      <c r="K55" s="81"/>
      <c r="L55" s="82"/>
    </row>
    <row r="56" spans="1:23" x14ac:dyDescent="0.3">
      <c r="C56" s="80"/>
      <c r="E56" s="80"/>
    </row>
    <row r="57" spans="1:23" x14ac:dyDescent="0.3">
      <c r="C57" s="81"/>
      <c r="E57" s="81"/>
    </row>
    <row r="58" spans="1:23" x14ac:dyDescent="0.3">
      <c r="C58" s="81"/>
      <c r="E58" s="80"/>
    </row>
  </sheetData>
  <pageMargins left="0.7" right="0.7" top="0.75" bottom="0.75" header="0.3" footer="0.3"/>
  <pageSetup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B82"/>
  <sheetViews>
    <sheetView topLeftCell="A12" workbookViewId="0">
      <selection activeCell="A35" sqref="A35"/>
    </sheetView>
  </sheetViews>
  <sheetFormatPr baseColWidth="10" defaultRowHeight="15" x14ac:dyDescent="0.3"/>
  <cols>
    <col min="1" max="1" width="32.140625" style="73" customWidth="1"/>
    <col min="2" max="4" width="10.42578125" style="73" bestFit="1" customWidth="1"/>
    <col min="5" max="7" width="11.140625" style="73" bestFit="1" customWidth="1"/>
    <col min="8" max="9" width="11.140625" style="74" bestFit="1" customWidth="1"/>
    <col min="10" max="10" width="11.5703125" style="74" bestFit="1" customWidth="1"/>
    <col min="11" max="11" width="11.140625" style="74" bestFit="1" customWidth="1"/>
    <col min="12" max="12" width="11.5703125" style="75" bestFit="1" customWidth="1"/>
    <col min="13" max="13" width="11.7109375" style="75" customWidth="1"/>
    <col min="14" max="14" width="10.42578125" style="76" bestFit="1" customWidth="1"/>
    <col min="15" max="15" width="11.140625" style="76" bestFit="1" customWidth="1"/>
    <col min="16" max="16" width="10.28515625" style="73" bestFit="1" customWidth="1"/>
    <col min="17" max="17" width="10.28515625" style="73" customWidth="1"/>
    <col min="18" max="16384" width="11.42578125" style="73"/>
  </cols>
  <sheetData>
    <row r="6" spans="1:21" ht="21" x14ac:dyDescent="0.35">
      <c r="A6" s="116" t="s">
        <v>40</v>
      </c>
      <c r="B6" s="116"/>
      <c r="C6" s="116"/>
      <c r="D6" s="116"/>
      <c r="E6" s="116"/>
      <c r="F6" s="116"/>
      <c r="G6" s="116"/>
    </row>
    <row r="7" spans="1:21" ht="15.75" x14ac:dyDescent="0.3">
      <c r="A7" s="78" t="s">
        <v>135</v>
      </c>
      <c r="B7" s="78"/>
      <c r="C7" s="78"/>
      <c r="D7" s="78"/>
      <c r="E7" s="78"/>
      <c r="F7" s="78"/>
      <c r="G7" s="78"/>
    </row>
    <row r="8" spans="1:21" x14ac:dyDescent="0.3">
      <c r="A8" s="79" t="s">
        <v>88</v>
      </c>
      <c r="B8" s="79"/>
      <c r="C8" s="79"/>
      <c r="D8" s="79"/>
      <c r="E8" s="79"/>
      <c r="F8" s="79"/>
      <c r="G8" s="79"/>
    </row>
    <row r="9" spans="1:21" s="85" customFormat="1" x14ac:dyDescent="0.3">
      <c r="H9" s="81"/>
      <c r="I9" s="81"/>
      <c r="J9" s="81"/>
      <c r="K9" s="81"/>
      <c r="L9" s="82"/>
      <c r="M9" s="82"/>
      <c r="N9" s="83"/>
      <c r="O9" s="83"/>
      <c r="P9" s="84"/>
      <c r="Q9" s="84"/>
      <c r="R9" s="84"/>
      <c r="S9" s="84"/>
      <c r="T9" s="84"/>
    </row>
    <row r="10" spans="1:21" s="85" customFormat="1" ht="15.75" thickBot="1" x14ac:dyDescent="0.35">
      <c r="A10" s="152" t="s">
        <v>20</v>
      </c>
      <c r="B10" s="144">
        <v>2005</v>
      </c>
      <c r="C10" s="144">
        <v>2006</v>
      </c>
      <c r="D10" s="144">
        <v>2007</v>
      </c>
      <c r="E10" s="144">
        <v>2008</v>
      </c>
      <c r="F10" s="144">
        <v>2009</v>
      </c>
      <c r="G10" s="144">
        <v>2010</v>
      </c>
      <c r="H10" s="198">
        <v>2011</v>
      </c>
      <c r="I10" s="145">
        <v>2012</v>
      </c>
      <c r="J10" s="145">
        <v>2013</v>
      </c>
      <c r="K10" s="146" t="s">
        <v>46</v>
      </c>
      <c r="L10" s="145">
        <v>2013</v>
      </c>
      <c r="M10" s="145">
        <v>2014</v>
      </c>
      <c r="N10" s="146" t="s">
        <v>46</v>
      </c>
      <c r="O10" s="83"/>
      <c r="P10" s="83"/>
      <c r="Q10" s="83"/>
      <c r="R10" s="106"/>
      <c r="S10" s="84"/>
      <c r="T10" s="84"/>
      <c r="U10" s="84"/>
    </row>
    <row r="11" spans="1:21" s="85" customFormat="1" x14ac:dyDescent="0.3">
      <c r="A11" s="153" t="s">
        <v>21</v>
      </c>
      <c r="B11" s="81">
        <v>121469</v>
      </c>
      <c r="C11" s="81">
        <v>147021</v>
      </c>
      <c r="D11" s="81">
        <v>141066</v>
      </c>
      <c r="E11" s="81">
        <v>200123</v>
      </c>
      <c r="F11" s="81">
        <v>152572</v>
      </c>
      <c r="G11" s="81">
        <v>133389</v>
      </c>
      <c r="H11" s="199">
        <v>193087</v>
      </c>
      <c r="I11" s="117">
        <v>291812</v>
      </c>
      <c r="J11" s="117">
        <v>415478</v>
      </c>
      <c r="K11" s="129">
        <f t="shared" ref="K11:K20" si="0">+(J11-I11)/I11</f>
        <v>0.42378654750318701</v>
      </c>
      <c r="L11" s="117">
        <v>415478</v>
      </c>
      <c r="M11" s="117">
        <v>374060</v>
      </c>
      <c r="N11" s="129">
        <f>+(M11-L11)/L11</f>
        <v>-9.9687588753195111E-2</v>
      </c>
      <c r="O11" s="83"/>
      <c r="P11" s="83"/>
      <c r="Q11" s="83"/>
      <c r="R11" s="108"/>
      <c r="S11" s="84"/>
      <c r="T11" s="84"/>
      <c r="U11" s="84"/>
    </row>
    <row r="12" spans="1:21" s="85" customFormat="1" x14ac:dyDescent="0.3">
      <c r="A12" s="153" t="s">
        <v>22</v>
      </c>
      <c r="B12" s="81">
        <v>328742</v>
      </c>
      <c r="C12" s="81">
        <v>323226</v>
      </c>
      <c r="D12" s="81">
        <v>322254</v>
      </c>
      <c r="E12" s="81">
        <v>299414</v>
      </c>
      <c r="F12" s="81">
        <v>335272</v>
      </c>
      <c r="G12" s="81">
        <v>330481</v>
      </c>
      <c r="H12" s="199">
        <v>329071</v>
      </c>
      <c r="I12" s="117">
        <v>330090</v>
      </c>
      <c r="J12" s="117">
        <v>357830</v>
      </c>
      <c r="K12" s="129">
        <f t="shared" si="0"/>
        <v>8.4037686691508379E-2</v>
      </c>
      <c r="L12" s="117">
        <v>357830</v>
      </c>
      <c r="M12" s="117">
        <v>380790</v>
      </c>
      <c r="N12" s="129">
        <f t="shared" ref="N12:N19" si="1">+(M12-L12)/L12</f>
        <v>6.4164547410781661E-2</v>
      </c>
      <c r="O12" s="170"/>
      <c r="P12" s="83"/>
      <c r="Q12" s="83"/>
      <c r="R12" s="106"/>
      <c r="S12" s="84"/>
      <c r="T12" s="84"/>
      <c r="U12" s="84"/>
    </row>
    <row r="13" spans="1:21" s="85" customFormat="1" x14ac:dyDescent="0.3">
      <c r="A13" s="153" t="s">
        <v>23</v>
      </c>
      <c r="B13" s="81">
        <v>292269</v>
      </c>
      <c r="C13" s="81">
        <v>381730</v>
      </c>
      <c r="D13" s="81">
        <v>426683</v>
      </c>
      <c r="E13" s="81">
        <v>656631</v>
      </c>
      <c r="F13" s="81">
        <v>523529</v>
      </c>
      <c r="G13" s="81">
        <v>586256</v>
      </c>
      <c r="H13" s="199">
        <v>650631</v>
      </c>
      <c r="I13" s="117">
        <v>681860</v>
      </c>
      <c r="J13" s="117">
        <v>857299</v>
      </c>
      <c r="K13" s="129">
        <f t="shared" si="0"/>
        <v>0.25729475258850792</v>
      </c>
      <c r="L13" s="117">
        <v>857299</v>
      </c>
      <c r="M13" s="117">
        <v>939981</v>
      </c>
      <c r="N13" s="129">
        <f t="shared" si="1"/>
        <v>9.6444764312101139E-2</v>
      </c>
      <c r="O13" s="83"/>
      <c r="P13" s="83"/>
      <c r="Q13" s="83"/>
      <c r="R13" s="106"/>
      <c r="S13" s="84"/>
      <c r="T13" s="84"/>
      <c r="U13" s="84"/>
    </row>
    <row r="14" spans="1:21" s="85" customFormat="1" x14ac:dyDescent="0.3">
      <c r="A14" s="153" t="s">
        <v>36</v>
      </c>
      <c r="B14" s="81">
        <v>274553</v>
      </c>
      <c r="C14" s="81">
        <v>371699</v>
      </c>
      <c r="D14" s="81">
        <v>434839</v>
      </c>
      <c r="E14" s="81">
        <v>528465</v>
      </c>
      <c r="F14" s="81">
        <v>494120</v>
      </c>
      <c r="G14" s="81">
        <v>553016</v>
      </c>
      <c r="H14" s="199">
        <v>601866</v>
      </c>
      <c r="I14" s="117">
        <v>555796</v>
      </c>
      <c r="J14" s="117">
        <v>725323</v>
      </c>
      <c r="K14" s="129">
        <f t="shared" si="0"/>
        <v>0.30501658882035854</v>
      </c>
      <c r="L14" s="117">
        <v>725323</v>
      </c>
      <c r="M14" s="117">
        <v>865567</v>
      </c>
      <c r="N14" s="129">
        <f t="shared" si="1"/>
        <v>0.19335385752278639</v>
      </c>
      <c r="O14" s="83"/>
      <c r="P14" s="83"/>
      <c r="Q14" s="83"/>
      <c r="R14" s="106"/>
      <c r="S14" s="84"/>
      <c r="T14" s="84"/>
      <c r="U14" s="84"/>
    </row>
    <row r="15" spans="1:21" s="85" customFormat="1" x14ac:dyDescent="0.3">
      <c r="A15" s="153" t="s">
        <v>60</v>
      </c>
      <c r="B15" s="81">
        <v>456824</v>
      </c>
      <c r="C15" s="81">
        <v>561031</v>
      </c>
      <c r="D15" s="81">
        <v>653908</v>
      </c>
      <c r="E15" s="81">
        <v>767527</v>
      </c>
      <c r="F15" s="81">
        <v>977261</v>
      </c>
      <c r="G15" s="81">
        <v>988793</v>
      </c>
      <c r="H15" s="199">
        <v>1009855</v>
      </c>
      <c r="I15" s="117">
        <v>1135785</v>
      </c>
      <c r="J15" s="117">
        <v>1456074</v>
      </c>
      <c r="K15" s="129">
        <f t="shared" si="0"/>
        <v>0.28199791333747143</v>
      </c>
      <c r="L15" s="117">
        <v>1456074</v>
      </c>
      <c r="M15" s="117">
        <v>1625659</v>
      </c>
      <c r="N15" s="129">
        <f t="shared" si="1"/>
        <v>0.11646729493143892</v>
      </c>
      <c r="O15" s="83"/>
      <c r="P15" s="83"/>
      <c r="Q15" s="83"/>
      <c r="R15" s="106"/>
      <c r="S15" s="84"/>
      <c r="T15" s="84"/>
      <c r="U15" s="84"/>
    </row>
    <row r="16" spans="1:21" s="85" customFormat="1" x14ac:dyDescent="0.3">
      <c r="A16" s="153" t="s">
        <v>47</v>
      </c>
      <c r="B16" s="81">
        <v>63266</v>
      </c>
      <c r="C16" s="81">
        <v>621440</v>
      </c>
      <c r="D16" s="81">
        <v>564218</v>
      </c>
      <c r="E16" s="81">
        <v>543336</v>
      </c>
      <c r="F16" s="81">
        <v>748013</v>
      </c>
      <c r="G16" s="81">
        <v>853564</v>
      </c>
      <c r="H16" s="199">
        <v>900384</v>
      </c>
      <c r="I16" s="117">
        <v>1025441</v>
      </c>
      <c r="J16" s="117">
        <v>2038332</v>
      </c>
      <c r="K16" s="129">
        <f t="shared" si="0"/>
        <v>0.9877613631598503</v>
      </c>
      <c r="L16" s="117">
        <v>2038332</v>
      </c>
      <c r="M16" s="117">
        <v>2054699</v>
      </c>
      <c r="N16" s="129">
        <f t="shared" si="1"/>
        <v>8.029604598269565E-3</v>
      </c>
      <c r="O16" s="83"/>
      <c r="P16" s="83"/>
      <c r="Q16" s="83"/>
      <c r="R16" s="106"/>
      <c r="S16" s="84"/>
      <c r="T16" s="84"/>
      <c r="U16" s="84"/>
    </row>
    <row r="17" spans="1:21" s="85" customFormat="1" x14ac:dyDescent="0.3">
      <c r="A17" s="153" t="s">
        <v>24</v>
      </c>
      <c r="B17" s="81">
        <v>12635</v>
      </c>
      <c r="C17" s="81">
        <v>23420</v>
      </c>
      <c r="D17" s="81">
        <v>57260</v>
      </c>
      <c r="E17" s="81">
        <v>28175</v>
      </c>
      <c r="F17" s="81">
        <v>79348</v>
      </c>
      <c r="G17" s="81">
        <v>67002</v>
      </c>
      <c r="H17" s="199">
        <v>130401</v>
      </c>
      <c r="I17" s="117">
        <v>57452</v>
      </c>
      <c r="J17" s="117">
        <v>101223</v>
      </c>
      <c r="K17" s="129">
        <f t="shared" si="0"/>
        <v>0.76187077908514933</v>
      </c>
      <c r="L17" s="117">
        <v>101223</v>
      </c>
      <c r="M17" s="117">
        <v>76948</v>
      </c>
      <c r="N17" s="129">
        <f t="shared" si="1"/>
        <v>-0.2398170376297877</v>
      </c>
      <c r="O17" s="83"/>
      <c r="P17" s="83"/>
      <c r="Q17" s="83"/>
      <c r="R17" s="106"/>
      <c r="S17" s="84"/>
      <c r="T17" s="84"/>
      <c r="U17" s="84"/>
    </row>
    <row r="18" spans="1:21" s="85" customFormat="1" x14ac:dyDescent="0.3">
      <c r="A18" s="153" t="s">
        <v>25</v>
      </c>
      <c r="B18" s="81">
        <v>3714</v>
      </c>
      <c r="C18" s="81">
        <v>11893</v>
      </c>
      <c r="D18" s="81">
        <v>12073</v>
      </c>
      <c r="E18" s="81">
        <v>44095</v>
      </c>
      <c r="F18" s="81">
        <v>19094</v>
      </c>
      <c r="G18" s="81">
        <v>16902</v>
      </c>
      <c r="H18" s="199">
        <v>18323</v>
      </c>
      <c r="I18" s="117">
        <v>6913</v>
      </c>
      <c r="J18" s="117">
        <v>16502</v>
      </c>
      <c r="K18" s="129">
        <f t="shared" si="0"/>
        <v>1.3870967741935485</v>
      </c>
      <c r="L18" s="117">
        <v>16502</v>
      </c>
      <c r="M18" s="117">
        <v>25438</v>
      </c>
      <c r="N18" s="129">
        <f t="shared" si="1"/>
        <v>0.54151011998545628</v>
      </c>
      <c r="O18" s="83"/>
      <c r="P18" s="83"/>
      <c r="Q18" s="83"/>
      <c r="R18" s="106"/>
      <c r="S18" s="84"/>
      <c r="T18" s="84"/>
      <c r="U18" s="84"/>
    </row>
    <row r="19" spans="1:21" s="85" customFormat="1" x14ac:dyDescent="0.3">
      <c r="A19" s="153" t="s">
        <v>26</v>
      </c>
      <c r="B19" s="81">
        <v>2468685</v>
      </c>
      <c r="C19" s="81">
        <v>2591441</v>
      </c>
      <c r="D19" s="81">
        <v>2736001</v>
      </c>
      <c r="E19" s="81">
        <v>2268787</v>
      </c>
      <c r="F19" s="81">
        <v>3599917</v>
      </c>
      <c r="G19" s="81">
        <v>4555288</v>
      </c>
      <c r="H19" s="199">
        <v>4097551</v>
      </c>
      <c r="I19" s="117">
        <v>4866415</v>
      </c>
      <c r="J19" s="117">
        <v>4612437</v>
      </c>
      <c r="K19" s="129">
        <f t="shared" si="0"/>
        <v>-5.2189959138297902E-2</v>
      </c>
      <c r="L19" s="117">
        <v>4612437</v>
      </c>
      <c r="M19" s="117">
        <v>5187750</v>
      </c>
      <c r="N19" s="129">
        <f t="shared" si="1"/>
        <v>0.12473080933137949</v>
      </c>
      <c r="O19" s="83"/>
      <c r="P19" s="83"/>
      <c r="Q19" s="83"/>
      <c r="R19" s="106"/>
      <c r="S19" s="84"/>
      <c r="T19" s="84"/>
      <c r="U19" s="84"/>
    </row>
    <row r="20" spans="1:21" s="85" customFormat="1" ht="15.75" thickBot="1" x14ac:dyDescent="0.35">
      <c r="A20" s="154" t="s">
        <v>27</v>
      </c>
      <c r="B20" s="91">
        <v>4022157</v>
      </c>
      <c r="C20" s="91">
        <v>5032901</v>
      </c>
      <c r="D20" s="91">
        <v>5348302</v>
      </c>
      <c r="E20" s="91">
        <v>5336553</v>
      </c>
      <c r="F20" s="91">
        <v>6929126</v>
      </c>
      <c r="G20" s="91">
        <v>8084691</v>
      </c>
      <c r="H20" s="200">
        <f>SUM(H11:H19)</f>
        <v>7931169</v>
      </c>
      <c r="I20" s="118">
        <f>SUM(I11:I19)</f>
        <v>8951564</v>
      </c>
      <c r="J20" s="118">
        <f>SUM(J11:J19)</f>
        <v>10580498</v>
      </c>
      <c r="K20" s="130">
        <f t="shared" si="0"/>
        <v>0.18197199952991455</v>
      </c>
      <c r="L20" s="118">
        <f>SUM(L11:L19)</f>
        <v>10580498</v>
      </c>
      <c r="M20" s="118">
        <f>SUM(M11:M19)</f>
        <v>11530892</v>
      </c>
      <c r="N20" s="130">
        <f>+(M20-L20)/L20</f>
        <v>8.9825072506038939E-2</v>
      </c>
      <c r="O20" s="83"/>
      <c r="P20" s="83"/>
      <c r="Q20" s="83"/>
      <c r="R20" s="106"/>
      <c r="S20" s="84"/>
      <c r="T20" s="84"/>
      <c r="U20" s="84"/>
    </row>
    <row r="21" spans="1:21" s="85" customFormat="1" x14ac:dyDescent="0.3">
      <c r="A21" s="153"/>
      <c r="B21" s="81"/>
      <c r="C21" s="81"/>
      <c r="D21" s="81"/>
      <c r="E21" s="81"/>
      <c r="F21" s="81"/>
      <c r="G21" s="81"/>
      <c r="H21" s="199"/>
      <c r="I21" s="117"/>
      <c r="J21" s="117"/>
      <c r="K21" s="129"/>
      <c r="L21" s="117"/>
      <c r="M21" s="117"/>
      <c r="N21" s="129"/>
      <c r="O21" s="83"/>
      <c r="P21" s="83"/>
      <c r="Q21" s="83"/>
      <c r="R21" s="106"/>
      <c r="S21" s="84"/>
      <c r="T21" s="84"/>
      <c r="U21" s="84"/>
    </row>
    <row r="22" spans="1:21" s="85" customFormat="1" x14ac:dyDescent="0.3">
      <c r="A22" s="152" t="s">
        <v>48</v>
      </c>
      <c r="B22" s="125">
        <v>2005</v>
      </c>
      <c r="C22" s="125">
        <v>2006</v>
      </c>
      <c r="D22" s="125">
        <v>2007</v>
      </c>
      <c r="E22" s="125">
        <v>2008</v>
      </c>
      <c r="F22" s="125">
        <v>2009</v>
      </c>
      <c r="G22" s="125">
        <v>2010</v>
      </c>
      <c r="H22" s="201">
        <v>2011</v>
      </c>
      <c r="I22" s="127">
        <v>2012</v>
      </c>
      <c r="J22" s="127">
        <v>2013</v>
      </c>
      <c r="K22" s="128" t="s">
        <v>123</v>
      </c>
      <c r="L22" s="127">
        <v>2013</v>
      </c>
      <c r="M22" s="127">
        <v>2014</v>
      </c>
      <c r="N22" s="128" t="s">
        <v>46</v>
      </c>
      <c r="O22" s="83"/>
      <c r="P22" s="83"/>
      <c r="Q22" s="83"/>
      <c r="R22" s="108"/>
      <c r="S22" s="84"/>
      <c r="T22" s="84"/>
      <c r="U22" s="84"/>
    </row>
    <row r="23" spans="1:21" s="85" customFormat="1" x14ac:dyDescent="0.3">
      <c r="A23" s="153" t="s">
        <v>28</v>
      </c>
      <c r="B23" s="81">
        <v>41040</v>
      </c>
      <c r="C23" s="81">
        <v>705877</v>
      </c>
      <c r="D23" s="81">
        <v>718503</v>
      </c>
      <c r="E23" s="81">
        <v>884817</v>
      </c>
      <c r="F23" s="81">
        <v>1015157</v>
      </c>
      <c r="G23" s="81">
        <v>1126326</v>
      </c>
      <c r="H23" s="199">
        <v>679598</v>
      </c>
      <c r="I23" s="117">
        <v>690354</v>
      </c>
      <c r="J23" s="117">
        <v>1996737</v>
      </c>
      <c r="K23" s="129">
        <f t="shared" ref="K23:K34" si="2">+(J23-I23)/I23</f>
        <v>1.8923378440626113</v>
      </c>
      <c r="L23" s="117">
        <v>1996737</v>
      </c>
      <c r="M23" s="117">
        <v>2123009</v>
      </c>
      <c r="N23" s="129">
        <f t="shared" ref="N23:N34" si="3">+(M23-L23)/L23</f>
        <v>6.3239174713545149E-2</v>
      </c>
      <c r="O23" s="83"/>
      <c r="P23" s="83"/>
      <c r="Q23" s="83"/>
      <c r="R23" s="106"/>
      <c r="S23" s="84"/>
      <c r="T23" s="84"/>
      <c r="U23" s="84"/>
    </row>
    <row r="24" spans="1:21" s="85" customFormat="1" x14ac:dyDescent="0.3">
      <c r="A24" s="153" t="s">
        <v>49</v>
      </c>
      <c r="B24" s="81">
        <v>111023</v>
      </c>
      <c r="C24" s="81">
        <v>146194</v>
      </c>
      <c r="D24" s="81">
        <v>146091</v>
      </c>
      <c r="E24" s="81">
        <v>163812</v>
      </c>
      <c r="F24" s="81">
        <v>124270</v>
      </c>
      <c r="G24" s="81">
        <v>165155</v>
      </c>
      <c r="H24" s="199">
        <v>163168</v>
      </c>
      <c r="I24" s="117">
        <v>170648</v>
      </c>
      <c r="J24" s="117">
        <v>299136</v>
      </c>
      <c r="K24" s="129">
        <f t="shared" si="2"/>
        <v>0.75294172800150017</v>
      </c>
      <c r="L24" s="117">
        <v>299136</v>
      </c>
      <c r="M24" s="117">
        <v>298022</v>
      </c>
      <c r="N24" s="129">
        <f t="shared" si="3"/>
        <v>-3.7240586221651689E-3</v>
      </c>
      <c r="O24" s="83"/>
      <c r="P24" s="83"/>
      <c r="Q24" s="83"/>
      <c r="R24" s="108"/>
      <c r="S24" s="84"/>
      <c r="T24" s="84"/>
      <c r="U24" s="84"/>
    </row>
    <row r="25" spans="1:21" s="85" customFormat="1" x14ac:dyDescent="0.3">
      <c r="A25" s="153" t="s">
        <v>38</v>
      </c>
      <c r="B25" s="81">
        <v>59396</v>
      </c>
      <c r="C25" s="81">
        <v>108992</v>
      </c>
      <c r="D25" s="81">
        <v>140644</v>
      </c>
      <c r="E25" s="81">
        <v>173147</v>
      </c>
      <c r="F25" s="81">
        <v>141613</v>
      </c>
      <c r="G25" s="81">
        <v>209038</v>
      </c>
      <c r="H25" s="199">
        <v>217244</v>
      </c>
      <c r="I25" s="117">
        <v>259622</v>
      </c>
      <c r="J25" s="117">
        <v>339737</v>
      </c>
      <c r="K25" s="129">
        <f t="shared" si="2"/>
        <v>0.30858324795279291</v>
      </c>
      <c r="L25" s="117">
        <v>339737</v>
      </c>
      <c r="M25" s="117">
        <v>393832</v>
      </c>
      <c r="N25" s="129">
        <f t="shared" si="3"/>
        <v>0.15922610725355202</v>
      </c>
      <c r="O25" s="83"/>
      <c r="P25" s="83"/>
      <c r="Q25" s="83"/>
      <c r="R25" s="106"/>
      <c r="S25" s="84"/>
      <c r="T25" s="84"/>
      <c r="U25" s="84"/>
    </row>
    <row r="26" spans="1:21" s="85" customFormat="1" x14ac:dyDescent="0.3">
      <c r="A26" s="153" t="s">
        <v>30</v>
      </c>
      <c r="B26" s="81">
        <v>55165</v>
      </c>
      <c r="C26" s="81">
        <v>54299</v>
      </c>
      <c r="D26" s="81">
        <v>55981</v>
      </c>
      <c r="E26" s="81">
        <v>61484</v>
      </c>
      <c r="F26" s="81">
        <v>52025</v>
      </c>
      <c r="G26" s="81">
        <v>68247</v>
      </c>
      <c r="H26" s="199">
        <v>132822</v>
      </c>
      <c r="I26" s="117">
        <v>138203</v>
      </c>
      <c r="J26" s="117">
        <v>159523</v>
      </c>
      <c r="K26" s="129">
        <f t="shared" si="2"/>
        <v>0.15426582635688083</v>
      </c>
      <c r="L26" s="117">
        <v>159523</v>
      </c>
      <c r="M26" s="117">
        <v>128889</v>
      </c>
      <c r="N26" s="129">
        <f t="shared" si="3"/>
        <v>-0.19203500435673854</v>
      </c>
      <c r="O26" s="83"/>
      <c r="P26" s="83"/>
      <c r="Q26" s="83"/>
      <c r="R26" s="106"/>
      <c r="S26" s="84"/>
      <c r="T26" s="84"/>
      <c r="U26" s="84"/>
    </row>
    <row r="27" spans="1:21" s="85" customFormat="1" x14ac:dyDescent="0.3">
      <c r="A27" s="153" t="s">
        <v>31</v>
      </c>
      <c r="B27" s="81">
        <v>34448</v>
      </c>
      <c r="C27" s="81">
        <v>46282</v>
      </c>
      <c r="D27" s="81">
        <v>58521</v>
      </c>
      <c r="E27" s="81">
        <v>75362</v>
      </c>
      <c r="F27" s="81">
        <v>77811</v>
      </c>
      <c r="G27" s="81">
        <v>88387</v>
      </c>
      <c r="H27" s="199">
        <v>96429</v>
      </c>
      <c r="I27" s="117">
        <v>109969</v>
      </c>
      <c r="J27" s="117">
        <v>138378</v>
      </c>
      <c r="K27" s="129">
        <f t="shared" si="2"/>
        <v>0.25833644026953051</v>
      </c>
      <c r="L27" s="117">
        <v>138378</v>
      </c>
      <c r="M27" s="117">
        <v>131617</v>
      </c>
      <c r="N27" s="129">
        <f t="shared" si="3"/>
        <v>-4.8858922661116654E-2</v>
      </c>
      <c r="O27" s="83"/>
      <c r="P27" s="83"/>
      <c r="Q27" s="83"/>
      <c r="R27" s="106"/>
      <c r="S27" s="84"/>
      <c r="T27" s="84"/>
      <c r="U27" s="84"/>
    </row>
    <row r="28" spans="1:21" s="85" customFormat="1" x14ac:dyDescent="0.3">
      <c r="A28" s="153" t="s">
        <v>32</v>
      </c>
      <c r="B28" s="81">
        <v>33024</v>
      </c>
      <c r="C28" s="81">
        <v>38698</v>
      </c>
      <c r="D28" s="81">
        <v>57731</v>
      </c>
      <c r="E28" s="81">
        <v>63828</v>
      </c>
      <c r="F28" s="81">
        <v>65860</v>
      </c>
      <c r="G28" s="81">
        <v>31651</v>
      </c>
      <c r="H28" s="199">
        <v>33608</v>
      </c>
      <c r="I28" s="117">
        <v>28288</v>
      </c>
      <c r="J28" s="117">
        <v>54184</v>
      </c>
      <c r="K28" s="129">
        <f t="shared" si="2"/>
        <v>0.9154411764705882</v>
      </c>
      <c r="L28" s="117">
        <v>54184</v>
      </c>
      <c r="M28" s="117">
        <v>57423</v>
      </c>
      <c r="N28" s="129">
        <f t="shared" si="3"/>
        <v>5.9777794182784588E-2</v>
      </c>
      <c r="O28" s="83"/>
      <c r="P28" s="83"/>
      <c r="Q28" s="83"/>
      <c r="R28" s="106"/>
      <c r="S28" s="84"/>
      <c r="T28" s="84"/>
      <c r="U28" s="84"/>
    </row>
    <row r="29" spans="1:21" s="85" customFormat="1" x14ac:dyDescent="0.3">
      <c r="A29" s="153" t="s">
        <v>24</v>
      </c>
      <c r="B29" s="81">
        <v>12261</v>
      </c>
      <c r="C29" s="81">
        <v>10307</v>
      </c>
      <c r="D29" s="81">
        <v>36889</v>
      </c>
      <c r="E29" s="81">
        <v>44153</v>
      </c>
      <c r="F29" s="81">
        <v>59601</v>
      </c>
      <c r="G29" s="81">
        <v>58990</v>
      </c>
      <c r="H29" s="199">
        <v>112430</v>
      </c>
      <c r="I29" s="117">
        <v>125466</v>
      </c>
      <c r="J29" s="117">
        <v>159573</v>
      </c>
      <c r="K29" s="129">
        <f t="shared" si="2"/>
        <v>0.27184257089570085</v>
      </c>
      <c r="L29" s="117">
        <v>159573</v>
      </c>
      <c r="M29" s="117">
        <v>172156</v>
      </c>
      <c r="N29" s="129">
        <f t="shared" si="3"/>
        <v>7.8854192125234215E-2</v>
      </c>
      <c r="O29" s="83"/>
      <c r="P29" s="83"/>
      <c r="Q29" s="83"/>
      <c r="R29" s="106"/>
      <c r="S29" s="84"/>
      <c r="T29" s="84"/>
      <c r="U29" s="84"/>
    </row>
    <row r="30" spans="1:21" s="85" customFormat="1" x14ac:dyDescent="0.3">
      <c r="A30" s="153" t="s">
        <v>0</v>
      </c>
      <c r="B30" s="81">
        <v>938</v>
      </c>
      <c r="C30" s="81">
        <v>1750</v>
      </c>
      <c r="D30" s="81">
        <v>1583</v>
      </c>
      <c r="E30" s="81">
        <v>2766</v>
      </c>
      <c r="F30" s="81">
        <v>2549</v>
      </c>
      <c r="G30" s="81">
        <v>1983</v>
      </c>
      <c r="H30" s="199">
        <v>5031</v>
      </c>
      <c r="I30" s="117">
        <v>3762</v>
      </c>
      <c r="J30" s="117">
        <v>3159</v>
      </c>
      <c r="K30" s="129">
        <f t="shared" si="2"/>
        <v>-0.16028708133971292</v>
      </c>
      <c r="L30" s="117">
        <v>3159</v>
      </c>
      <c r="M30" s="117">
        <v>3438</v>
      </c>
      <c r="N30" s="129">
        <f t="shared" si="3"/>
        <v>8.8319088319088315E-2</v>
      </c>
      <c r="O30" s="83"/>
      <c r="P30" s="83"/>
      <c r="Q30" s="83"/>
      <c r="R30" s="106"/>
      <c r="S30" s="84"/>
      <c r="T30" s="84"/>
      <c r="U30" s="84"/>
    </row>
    <row r="31" spans="1:21" s="85" customFormat="1" x14ac:dyDescent="0.3">
      <c r="A31" s="153" t="s">
        <v>33</v>
      </c>
      <c r="B31" s="80">
        <v>347295</v>
      </c>
      <c r="C31" s="80">
        <v>1112399</v>
      </c>
      <c r="D31" s="80">
        <v>1215943</v>
      </c>
      <c r="E31" s="80">
        <v>1469369</v>
      </c>
      <c r="F31" s="80">
        <v>1538886</v>
      </c>
      <c r="G31" s="80">
        <v>1749777</v>
      </c>
      <c r="H31" s="202">
        <f>SUM(H23:H30)</f>
        <v>1440330</v>
      </c>
      <c r="I31" s="119">
        <f>SUM(I23:I30)</f>
        <v>1526312</v>
      </c>
      <c r="J31" s="119">
        <f>SUM(J23:J30)</f>
        <v>3150427</v>
      </c>
      <c r="K31" s="129">
        <f t="shared" si="2"/>
        <v>1.0640779866763808</v>
      </c>
      <c r="L31" s="119">
        <f>SUM(L23:L30)</f>
        <v>3150427</v>
      </c>
      <c r="M31" s="119">
        <f>SUM(M23:M30)</f>
        <v>3308386</v>
      </c>
      <c r="N31" s="129">
        <f t="shared" si="3"/>
        <v>5.0138917676873646E-2</v>
      </c>
      <c r="O31" s="83"/>
      <c r="P31" s="83"/>
      <c r="Q31" s="83"/>
      <c r="R31" s="106"/>
      <c r="S31" s="84"/>
      <c r="T31" s="84"/>
      <c r="U31" s="84"/>
    </row>
    <row r="32" spans="1:21" s="85" customFormat="1" x14ac:dyDescent="0.3">
      <c r="A32" s="153" t="s">
        <v>39</v>
      </c>
      <c r="B32" s="81">
        <v>2519</v>
      </c>
      <c r="C32" s="81">
        <v>2618</v>
      </c>
      <c r="D32" s="81">
        <v>2964</v>
      </c>
      <c r="E32" s="81">
        <v>2751</v>
      </c>
      <c r="F32" s="81">
        <v>3611</v>
      </c>
      <c r="G32" s="81">
        <v>11268</v>
      </c>
      <c r="H32" s="199">
        <v>16209</v>
      </c>
      <c r="I32" s="117">
        <v>16294</v>
      </c>
      <c r="J32" s="117">
        <v>19208</v>
      </c>
      <c r="K32" s="129">
        <f t="shared" si="2"/>
        <v>0.17883883638149012</v>
      </c>
      <c r="L32" s="117">
        <v>19208</v>
      </c>
      <c r="M32" s="117">
        <v>23731</v>
      </c>
      <c r="N32" s="129">
        <f t="shared" si="3"/>
        <v>0.23547480216576427</v>
      </c>
      <c r="O32" s="83"/>
      <c r="P32" s="83"/>
      <c r="Q32" s="83"/>
      <c r="R32" s="106"/>
      <c r="S32" s="84"/>
      <c r="T32" s="84"/>
      <c r="U32" s="84"/>
    </row>
    <row r="33" spans="1:28" s="85" customFormat="1" x14ac:dyDescent="0.3">
      <c r="A33" s="155" t="s">
        <v>34</v>
      </c>
      <c r="B33" s="97">
        <v>3672343</v>
      </c>
      <c r="C33" s="97">
        <v>3917884</v>
      </c>
      <c r="D33" s="97">
        <v>4129395</v>
      </c>
      <c r="E33" s="97">
        <v>3864433</v>
      </c>
      <c r="F33" s="97">
        <v>5386629</v>
      </c>
      <c r="G33" s="97">
        <v>6323646</v>
      </c>
      <c r="H33" s="203">
        <v>6474630</v>
      </c>
      <c r="I33" s="120">
        <f>I20-I31-I32</f>
        <v>7408958</v>
      </c>
      <c r="J33" s="120">
        <f>J20-J31-J32</f>
        <v>7410863</v>
      </c>
      <c r="K33" s="131">
        <f t="shared" si="2"/>
        <v>2.5712117682405542E-4</v>
      </c>
      <c r="L33" s="120">
        <f>+L20-L31-L32</f>
        <v>7410863</v>
      </c>
      <c r="M33" s="120">
        <f>M20-M31-M32</f>
        <v>8198775</v>
      </c>
      <c r="N33" s="131">
        <f t="shared" si="3"/>
        <v>0.10631852187795132</v>
      </c>
      <c r="O33" s="83"/>
      <c r="P33" s="83"/>
      <c r="Q33" s="83"/>
      <c r="R33" s="108"/>
      <c r="S33" s="84"/>
      <c r="T33" s="84"/>
      <c r="U33" s="84"/>
    </row>
    <row r="34" spans="1:28" s="85" customFormat="1" ht="15.75" thickBot="1" x14ac:dyDescent="0.35">
      <c r="A34" s="151" t="s">
        <v>35</v>
      </c>
      <c r="B34" s="91">
        <v>4022157</v>
      </c>
      <c r="C34" s="91">
        <v>5032901</v>
      </c>
      <c r="D34" s="91">
        <v>5348302</v>
      </c>
      <c r="E34" s="91">
        <v>5336553</v>
      </c>
      <c r="F34" s="91">
        <v>6929126</v>
      </c>
      <c r="G34" s="91">
        <v>8084691</v>
      </c>
      <c r="H34" s="200">
        <f>+H31+H32+H33</f>
        <v>7931169</v>
      </c>
      <c r="I34" s="118">
        <f>+I31+I32+I33</f>
        <v>8951564</v>
      </c>
      <c r="J34" s="118">
        <f>+J31+J32+J33</f>
        <v>10580498</v>
      </c>
      <c r="K34" s="130">
        <f t="shared" si="2"/>
        <v>0.18197199952991455</v>
      </c>
      <c r="L34" s="118">
        <f>+L31+L32+L33</f>
        <v>10580498</v>
      </c>
      <c r="M34" s="118">
        <f>+M31+M32+M33</f>
        <v>11530892</v>
      </c>
      <c r="N34" s="130">
        <f t="shared" si="3"/>
        <v>8.9825072506038939E-2</v>
      </c>
      <c r="O34" s="83"/>
      <c r="P34" s="83"/>
      <c r="Q34" s="83"/>
      <c r="R34" s="108"/>
      <c r="S34" s="84"/>
      <c r="T34" s="84"/>
      <c r="U34" s="84"/>
    </row>
    <row r="35" spans="1:28" s="85" customFormat="1" x14ac:dyDescent="0.3">
      <c r="H35" s="81"/>
      <c r="I35" s="81"/>
      <c r="J35" s="81"/>
      <c r="K35" s="81"/>
      <c r="L35" s="82"/>
      <c r="M35" s="107"/>
      <c r="N35" s="83"/>
      <c r="O35" s="83"/>
      <c r="P35" s="108"/>
      <c r="Q35" s="108"/>
      <c r="R35" s="84"/>
      <c r="S35" s="84"/>
      <c r="T35" s="84"/>
    </row>
    <row r="36" spans="1:28" ht="21" x14ac:dyDescent="0.35">
      <c r="A36" s="116" t="s">
        <v>91</v>
      </c>
      <c r="B36" s="116"/>
      <c r="C36" s="116"/>
      <c r="D36" s="116"/>
      <c r="E36" s="116"/>
      <c r="F36" s="116"/>
      <c r="G36" s="116"/>
    </row>
    <row r="37" spans="1:28" ht="15.75" x14ac:dyDescent="0.3">
      <c r="A37" s="78" t="s">
        <v>137</v>
      </c>
      <c r="B37" s="78"/>
      <c r="C37" s="78"/>
      <c r="D37" s="78"/>
      <c r="E37" s="78"/>
      <c r="F37" s="78"/>
      <c r="G37" s="78"/>
    </row>
    <row r="38" spans="1:28" x14ac:dyDescent="0.3">
      <c r="A38" s="79" t="s">
        <v>88</v>
      </c>
      <c r="B38" s="79"/>
      <c r="C38" s="79"/>
      <c r="D38" s="79"/>
      <c r="E38" s="79"/>
      <c r="F38" s="79"/>
      <c r="G38" s="79"/>
    </row>
    <row r="39" spans="1:28" s="85" customFormat="1" ht="15.75" thickBot="1" x14ac:dyDescent="0.35">
      <c r="A39" s="86"/>
      <c r="B39" s="144">
        <v>2005</v>
      </c>
      <c r="C39" s="144">
        <v>2006</v>
      </c>
      <c r="D39" s="144">
        <v>2007</v>
      </c>
      <c r="E39" s="144">
        <v>2008</v>
      </c>
      <c r="F39" s="144">
        <v>2009</v>
      </c>
      <c r="G39" s="144">
        <v>2010</v>
      </c>
      <c r="H39" s="198">
        <v>2011</v>
      </c>
      <c r="I39" s="198">
        <v>2012</v>
      </c>
      <c r="J39" s="198">
        <v>2013</v>
      </c>
      <c r="K39" s="145" t="s">
        <v>95</v>
      </c>
      <c r="L39" s="145" t="s">
        <v>124</v>
      </c>
      <c r="M39" s="145" t="s">
        <v>100</v>
      </c>
      <c r="N39" s="145" t="s">
        <v>127</v>
      </c>
      <c r="O39" s="145" t="s">
        <v>112</v>
      </c>
      <c r="P39" s="145" t="s">
        <v>132</v>
      </c>
      <c r="Q39" s="145" t="s">
        <v>120</v>
      </c>
      <c r="R39" s="146" t="s">
        <v>55</v>
      </c>
      <c r="S39" s="145" t="s">
        <v>136</v>
      </c>
      <c r="T39" s="146" t="s">
        <v>55</v>
      </c>
      <c r="U39" s="147" t="s">
        <v>46</v>
      </c>
      <c r="V39" s="214" t="s">
        <v>109</v>
      </c>
      <c r="W39" s="215" t="s">
        <v>55</v>
      </c>
      <c r="X39" s="214" t="s">
        <v>128</v>
      </c>
      <c r="Y39" s="215" t="s">
        <v>55</v>
      </c>
      <c r="Z39" s="216" t="s">
        <v>46</v>
      </c>
      <c r="AA39" s="144"/>
    </row>
    <row r="40" spans="1:28" s="95" customFormat="1" x14ac:dyDescent="0.3">
      <c r="A40" s="148" t="s">
        <v>4</v>
      </c>
      <c r="B40" s="110">
        <v>2297199</v>
      </c>
      <c r="C40" s="110">
        <v>2872015</v>
      </c>
      <c r="D40" s="110">
        <v>3449517</v>
      </c>
      <c r="E40" s="110">
        <v>4009727</v>
      </c>
      <c r="F40" s="110">
        <v>4588366</v>
      </c>
      <c r="G40" s="110">
        <v>4458858</v>
      </c>
      <c r="H40" s="204">
        <v>5057382.6182662696</v>
      </c>
      <c r="I40" s="204">
        <v>5305782</v>
      </c>
      <c r="J40" s="204">
        <v>5898466</v>
      </c>
      <c r="K40" s="132">
        <v>1242052</v>
      </c>
      <c r="L40" s="132">
        <v>1572825</v>
      </c>
      <c r="M40" s="132">
        <v>1370524</v>
      </c>
      <c r="N40" s="132">
        <v>1429566</v>
      </c>
      <c r="O40" s="132">
        <v>1488896</v>
      </c>
      <c r="P40" s="132">
        <v>1643763</v>
      </c>
      <c r="Q40" s="132">
        <v>1796994</v>
      </c>
      <c r="R40" s="138">
        <v>1</v>
      </c>
      <c r="S40" s="132">
        <f>+X40-L40-N40-P40</f>
        <v>1815598</v>
      </c>
      <c r="T40" s="138">
        <v>1</v>
      </c>
      <c r="U40" s="138">
        <f t="shared" ref="U40:U52" si="4">(S40-Q40)/Q40</f>
        <v>1.0352844806382214E-2</v>
      </c>
      <c r="V40" s="217">
        <v>5898466</v>
      </c>
      <c r="W40" s="218">
        <v>1</v>
      </c>
      <c r="X40" s="217">
        <v>6461752</v>
      </c>
      <c r="Y40" s="218">
        <v>1</v>
      </c>
      <c r="Z40" s="219">
        <f t="shared" ref="Z40:Z56" si="5">IF(V40&lt;&gt;0,(X40-V40)/V40,0)</f>
        <v>9.5497032618311273E-2</v>
      </c>
      <c r="AA40" s="111"/>
      <c r="AB40" s="81"/>
    </row>
    <row r="41" spans="1:28" s="85" customFormat="1" x14ac:dyDescent="0.3">
      <c r="A41" s="149" t="s">
        <v>50</v>
      </c>
      <c r="B41" s="112">
        <v>-1428204</v>
      </c>
      <c r="C41" s="112">
        <v>-1760636</v>
      </c>
      <c r="D41" s="112">
        <v>-2035308</v>
      </c>
      <c r="E41" s="112">
        <v>-2384094</v>
      </c>
      <c r="F41" s="112">
        <v>-2818189</v>
      </c>
      <c r="G41" s="112">
        <v>-2587907.8744791602</v>
      </c>
      <c r="H41" s="205">
        <v>-3030201.8461819952</v>
      </c>
      <c r="I41" s="205">
        <v>-3064460</v>
      </c>
      <c r="J41" s="205">
        <v>-3260968</v>
      </c>
      <c r="K41" s="133">
        <v>-682801</v>
      </c>
      <c r="L41" s="133">
        <v>-875730</v>
      </c>
      <c r="M41" s="133">
        <v>-750580</v>
      </c>
      <c r="N41" s="133">
        <v>-772014</v>
      </c>
      <c r="O41" s="133">
        <v>-823869</v>
      </c>
      <c r="P41" s="133">
        <v>-915716</v>
      </c>
      <c r="Q41" s="133">
        <v>-1003718</v>
      </c>
      <c r="R41" s="129">
        <f>+P41/$P$40</f>
        <v>-0.55708517590431228</v>
      </c>
      <c r="S41" s="133">
        <f>+X41-L41-N41-P41</f>
        <v>-1028518</v>
      </c>
      <c r="T41" s="129">
        <f>+S41/$S$40</f>
        <v>-0.56648993885210275</v>
      </c>
      <c r="U41" s="129">
        <f t="shared" si="4"/>
        <v>2.4708135153499289E-2</v>
      </c>
      <c r="V41" s="220">
        <v>-3260968</v>
      </c>
      <c r="W41" s="219">
        <f>+V41/$V$40</f>
        <v>-0.55285018172521461</v>
      </c>
      <c r="X41" s="220">
        <v>-3591978</v>
      </c>
      <c r="Y41" s="219">
        <f>+X41/$X$40</f>
        <v>-0.55588298653368318</v>
      </c>
      <c r="Z41" s="219">
        <f t="shared" si="5"/>
        <v>0.10150666918534619</v>
      </c>
      <c r="AA41" s="101"/>
      <c r="AB41" s="81"/>
    </row>
    <row r="42" spans="1:28" s="95" customFormat="1" x14ac:dyDescent="0.3">
      <c r="A42" s="148" t="s">
        <v>6</v>
      </c>
      <c r="B42" s="80">
        <v>868995</v>
      </c>
      <c r="C42" s="80">
        <v>1111379</v>
      </c>
      <c r="D42" s="80">
        <v>1414209</v>
      </c>
      <c r="E42" s="80">
        <v>1625633</v>
      </c>
      <c r="F42" s="80">
        <v>1770177</v>
      </c>
      <c r="G42" s="80">
        <v>1870950.1255208398</v>
      </c>
      <c r="H42" s="202">
        <f t="shared" ref="H42:P42" si="6">SUM(H40:H41)</f>
        <v>2027180.7720842743</v>
      </c>
      <c r="I42" s="202">
        <f t="shared" si="6"/>
        <v>2241322</v>
      </c>
      <c r="J42" s="202">
        <f t="shared" si="6"/>
        <v>2637498</v>
      </c>
      <c r="K42" s="134">
        <f t="shared" si="6"/>
        <v>559251</v>
      </c>
      <c r="L42" s="134">
        <f t="shared" si="6"/>
        <v>697095</v>
      </c>
      <c r="M42" s="134">
        <f t="shared" ref="M42" si="7">SUM(M40:M41)</f>
        <v>619944</v>
      </c>
      <c r="N42" s="134">
        <f>SUM(N40:N41)</f>
        <v>657552</v>
      </c>
      <c r="O42" s="134">
        <f t="shared" ref="O42:Q42" si="8">SUM(O40:O41)</f>
        <v>665027</v>
      </c>
      <c r="P42" s="134">
        <f t="shared" si="6"/>
        <v>728047</v>
      </c>
      <c r="Q42" s="134">
        <f t="shared" si="8"/>
        <v>793276</v>
      </c>
      <c r="R42" s="138">
        <f t="shared" ref="R42:R59" si="9">+P42/$P$40</f>
        <v>0.44291482409568778</v>
      </c>
      <c r="S42" s="134">
        <f>SUM(S40:S41)</f>
        <v>787080</v>
      </c>
      <c r="T42" s="138">
        <f t="shared" ref="T42:T59" si="10">+S42/$S$40</f>
        <v>0.43351006114789725</v>
      </c>
      <c r="U42" s="138">
        <f t="shared" si="4"/>
        <v>-7.8106485006479457E-3</v>
      </c>
      <c r="V42" s="221">
        <f>SUM(V40:V41)</f>
        <v>2637498</v>
      </c>
      <c r="W42" s="218">
        <f t="shared" ref="W42:W59" si="11">+V42/$V$40</f>
        <v>0.44714981827478534</v>
      </c>
      <c r="X42" s="221">
        <f>SUM(X40:X41)</f>
        <v>2869774</v>
      </c>
      <c r="Y42" s="218">
        <f t="shared" ref="Y42:Y59" si="12">+X42/$X$40</f>
        <v>0.44411701346631688</v>
      </c>
      <c r="Z42" s="219">
        <f t="shared" si="5"/>
        <v>8.8066796638329198E-2</v>
      </c>
      <c r="AA42" s="111"/>
      <c r="AB42" s="81"/>
    </row>
    <row r="43" spans="1:28" s="85" customFormat="1" x14ac:dyDescent="0.3">
      <c r="A43" s="149" t="s">
        <v>7</v>
      </c>
      <c r="B43" s="81">
        <v>-95853</v>
      </c>
      <c r="C43" s="81">
        <v>-127200</v>
      </c>
      <c r="D43" s="81">
        <v>-165507</v>
      </c>
      <c r="E43" s="81">
        <v>-183777</v>
      </c>
      <c r="F43" s="81">
        <v>-218875</v>
      </c>
      <c r="G43" s="81">
        <v>-212941</v>
      </c>
      <c r="H43" s="199">
        <v>-250061.17590559012</v>
      </c>
      <c r="I43" s="199">
        <v>-270303</v>
      </c>
      <c r="J43" s="199">
        <v>-347578</v>
      </c>
      <c r="K43" s="135">
        <v>-64873</v>
      </c>
      <c r="L43" s="135">
        <v>-103109</v>
      </c>
      <c r="M43" s="135">
        <v>-73939</v>
      </c>
      <c r="N43" s="135">
        <v>-95056</v>
      </c>
      <c r="O43" s="135">
        <v>-103428</v>
      </c>
      <c r="P43" s="135">
        <v>-99719</v>
      </c>
      <c r="Q43" s="135">
        <v>-105338</v>
      </c>
      <c r="R43" s="129">
        <f t="shared" si="9"/>
        <v>-6.0665071546202223E-2</v>
      </c>
      <c r="S43" s="135">
        <f>+X43-L43-N43-P43</f>
        <v>-110137</v>
      </c>
      <c r="T43" s="129">
        <f t="shared" si="10"/>
        <v>-6.0661556137426895E-2</v>
      </c>
      <c r="U43" s="129">
        <f t="shared" si="4"/>
        <v>4.5558108185080409E-2</v>
      </c>
      <c r="V43" s="222">
        <v>-347578</v>
      </c>
      <c r="W43" s="219">
        <f t="shared" si="11"/>
        <v>-5.8926846403793802E-2</v>
      </c>
      <c r="X43" s="222">
        <v>-408021</v>
      </c>
      <c r="Y43" s="219">
        <f t="shared" si="12"/>
        <v>-6.314402038332638E-2</v>
      </c>
      <c r="Z43" s="219">
        <f t="shared" si="5"/>
        <v>0.17389765750421488</v>
      </c>
      <c r="AA43" s="101"/>
      <c r="AB43" s="81"/>
    </row>
    <row r="44" spans="1:28" s="85" customFormat="1" x14ac:dyDescent="0.3">
      <c r="A44" s="149" t="s">
        <v>8</v>
      </c>
      <c r="B44" s="81">
        <v>-509961</v>
      </c>
      <c r="C44" s="81">
        <v>-684105</v>
      </c>
      <c r="D44" s="81">
        <v>-815817</v>
      </c>
      <c r="E44" s="81">
        <v>-975970</v>
      </c>
      <c r="F44" s="81">
        <v>-1102578</v>
      </c>
      <c r="G44" s="81">
        <v>-1103652</v>
      </c>
      <c r="H44" s="199">
        <v>-1221301.5797654777</v>
      </c>
      <c r="I44" s="199">
        <v>-1326976</v>
      </c>
      <c r="J44" s="199">
        <v>-1505166</v>
      </c>
      <c r="K44" s="135">
        <v>-325559</v>
      </c>
      <c r="L44" s="135">
        <v>-400920</v>
      </c>
      <c r="M44" s="135">
        <v>-355546</v>
      </c>
      <c r="N44" s="135">
        <v>-396371</v>
      </c>
      <c r="O44" s="135">
        <v>-375490</v>
      </c>
      <c r="P44" s="135">
        <v>-427694</v>
      </c>
      <c r="Q44" s="135">
        <v>-448571</v>
      </c>
      <c r="R44" s="129">
        <f t="shared" si="9"/>
        <v>-0.26019201064873709</v>
      </c>
      <c r="S44" s="135">
        <f>+X44-L44-N44-P44</f>
        <v>-478849</v>
      </c>
      <c r="T44" s="129">
        <f t="shared" si="10"/>
        <v>-0.26374175340576494</v>
      </c>
      <c r="U44" s="129">
        <f t="shared" si="4"/>
        <v>6.7498790603940068E-2</v>
      </c>
      <c r="V44" s="222">
        <v>-1505166</v>
      </c>
      <c r="W44" s="219">
        <f t="shared" si="11"/>
        <v>-0.25517922795520054</v>
      </c>
      <c r="X44" s="222">
        <v>-1703834</v>
      </c>
      <c r="Y44" s="219">
        <f t="shared" si="12"/>
        <v>-0.26367988124582931</v>
      </c>
      <c r="Z44" s="219">
        <f t="shared" si="5"/>
        <v>0.13199075716565481</v>
      </c>
      <c r="AA44" s="101"/>
      <c r="AB44" s="81"/>
    </row>
    <row r="45" spans="1:28" s="85" customFormat="1" x14ac:dyDescent="0.3">
      <c r="A45" s="149" t="s">
        <v>84</v>
      </c>
      <c r="B45" s="81"/>
      <c r="C45" s="81"/>
      <c r="D45" s="81"/>
      <c r="E45" s="81"/>
      <c r="F45" s="81"/>
      <c r="G45" s="81">
        <v>-121613</v>
      </c>
      <c r="H45" s="199">
        <v>-123323</v>
      </c>
      <c r="I45" s="199">
        <v>-122931</v>
      </c>
      <c r="J45" s="199">
        <v>-134527</v>
      </c>
      <c r="K45" s="135">
        <v>-27738</v>
      </c>
      <c r="L45" s="135">
        <v>-29371</v>
      </c>
      <c r="M45" s="135">
        <v>-33697</v>
      </c>
      <c r="N45" s="135">
        <v>-21941</v>
      </c>
      <c r="O45" s="135">
        <v>-32082</v>
      </c>
      <c r="P45" s="135">
        <v>-30812</v>
      </c>
      <c r="Q45" s="135">
        <v>-41010</v>
      </c>
      <c r="R45" s="129">
        <f t="shared" si="9"/>
        <v>-1.8744794717973332E-2</v>
      </c>
      <c r="S45" s="135">
        <f>+X45-L45-N45-P45</f>
        <v>-37455</v>
      </c>
      <c r="T45" s="129">
        <f t="shared" si="10"/>
        <v>-2.0629566677204975E-2</v>
      </c>
      <c r="U45" s="129">
        <f t="shared" si="4"/>
        <v>-8.6686174103877106E-2</v>
      </c>
      <c r="V45" s="222">
        <v>-134527</v>
      </c>
      <c r="W45" s="219">
        <f t="shared" si="11"/>
        <v>-2.2807116290913605E-2</v>
      </c>
      <c r="X45" s="222">
        <v>-119579</v>
      </c>
      <c r="Y45" s="219">
        <f t="shared" si="12"/>
        <v>-1.850566224144783E-2</v>
      </c>
      <c r="Z45" s="219">
        <f t="shared" si="5"/>
        <v>-0.11111524080667821</v>
      </c>
      <c r="AA45" s="101"/>
      <c r="AB45" s="81"/>
    </row>
    <row r="46" spans="1:28" s="95" customFormat="1" x14ac:dyDescent="0.3">
      <c r="A46" s="148" t="s">
        <v>9</v>
      </c>
      <c r="B46" s="80">
        <v>-605814</v>
      </c>
      <c r="C46" s="80">
        <v>-811305</v>
      </c>
      <c r="D46" s="80">
        <v>-981324</v>
      </c>
      <c r="E46" s="80">
        <v>-1159747</v>
      </c>
      <c r="F46" s="80">
        <v>-1321453</v>
      </c>
      <c r="G46" s="80">
        <v>-1438206</v>
      </c>
      <c r="H46" s="202">
        <f t="shared" ref="H46:P46" si="13">SUM(H43:H45)</f>
        <v>-1594685.7556710679</v>
      </c>
      <c r="I46" s="202">
        <f t="shared" si="13"/>
        <v>-1720210</v>
      </c>
      <c r="J46" s="202">
        <f t="shared" si="13"/>
        <v>-1987271</v>
      </c>
      <c r="K46" s="134">
        <f t="shared" si="13"/>
        <v>-418170</v>
      </c>
      <c r="L46" s="134">
        <f t="shared" si="13"/>
        <v>-533400</v>
      </c>
      <c r="M46" s="134">
        <f t="shared" ref="M46" si="14">SUM(M43:M45)</f>
        <v>-463182</v>
      </c>
      <c r="N46" s="134">
        <f>SUM(N43:N45)</f>
        <v>-513368</v>
      </c>
      <c r="O46" s="134">
        <f t="shared" ref="O46:Q46" si="15">SUM(O43:O45)</f>
        <v>-511000</v>
      </c>
      <c r="P46" s="134">
        <f t="shared" si="13"/>
        <v>-558225</v>
      </c>
      <c r="Q46" s="134">
        <f t="shared" si="15"/>
        <v>-594919</v>
      </c>
      <c r="R46" s="138">
        <f t="shared" si="9"/>
        <v>-0.3396018769129126</v>
      </c>
      <c r="S46" s="134">
        <f>SUM(S43:S45)</f>
        <v>-626441</v>
      </c>
      <c r="T46" s="138">
        <f t="shared" si="10"/>
        <v>-0.3450328762203968</v>
      </c>
      <c r="U46" s="138">
        <f t="shared" si="4"/>
        <v>5.2985364394144412E-2</v>
      </c>
      <c r="V46" s="221">
        <f>SUM(V43:V45)</f>
        <v>-1987271</v>
      </c>
      <c r="W46" s="218">
        <f t="shared" si="11"/>
        <v>-0.33691319064990793</v>
      </c>
      <c r="X46" s="221">
        <f>SUM(X43:X45)</f>
        <v>-2231434</v>
      </c>
      <c r="Y46" s="218">
        <f t="shared" si="12"/>
        <v>-0.34532956387060354</v>
      </c>
      <c r="Z46" s="219">
        <f t="shared" si="5"/>
        <v>0.12286346451993714</v>
      </c>
      <c r="AA46" s="111"/>
      <c r="AB46" s="81"/>
    </row>
    <row r="47" spans="1:28" s="95" customFormat="1" x14ac:dyDescent="0.3">
      <c r="A47" s="148" t="s">
        <v>1</v>
      </c>
      <c r="B47" s="80">
        <v>263181</v>
      </c>
      <c r="C47" s="80">
        <v>300074</v>
      </c>
      <c r="D47" s="80">
        <v>432885</v>
      </c>
      <c r="E47" s="80">
        <v>465886</v>
      </c>
      <c r="F47" s="80">
        <v>448724</v>
      </c>
      <c r="G47" s="80">
        <v>432744.12552083982</v>
      </c>
      <c r="H47" s="202">
        <f t="shared" ref="H47:P47" si="16">+H42+H46</f>
        <v>432495.01641320647</v>
      </c>
      <c r="I47" s="202">
        <f t="shared" si="16"/>
        <v>521112</v>
      </c>
      <c r="J47" s="202">
        <f t="shared" si="16"/>
        <v>650227</v>
      </c>
      <c r="K47" s="134">
        <f t="shared" si="16"/>
        <v>141081</v>
      </c>
      <c r="L47" s="134">
        <f t="shared" si="16"/>
        <v>163695</v>
      </c>
      <c r="M47" s="134">
        <f t="shared" si="16"/>
        <v>156762</v>
      </c>
      <c r="N47" s="134">
        <f>+N42+N46</f>
        <v>144184</v>
      </c>
      <c r="O47" s="134">
        <f t="shared" ref="O47:Q47" si="17">+O42+O46</f>
        <v>154027</v>
      </c>
      <c r="P47" s="134">
        <f t="shared" si="16"/>
        <v>169822</v>
      </c>
      <c r="Q47" s="134">
        <f t="shared" si="17"/>
        <v>198357</v>
      </c>
      <c r="R47" s="138">
        <f t="shared" si="9"/>
        <v>0.10331294718277513</v>
      </c>
      <c r="S47" s="134">
        <f>+S42+S46</f>
        <v>160639</v>
      </c>
      <c r="T47" s="138">
        <f t="shared" si="10"/>
        <v>8.8477184927500466E-2</v>
      </c>
      <c r="U47" s="138">
        <f t="shared" si="4"/>
        <v>-0.19015209949737091</v>
      </c>
      <c r="V47" s="221">
        <f>+V42+V46</f>
        <v>650227</v>
      </c>
      <c r="W47" s="218">
        <f t="shared" si="11"/>
        <v>0.11023662762487739</v>
      </c>
      <c r="X47" s="221">
        <f>+X42+X46</f>
        <v>638340</v>
      </c>
      <c r="Y47" s="218">
        <f t="shared" si="12"/>
        <v>9.8787449595713367E-2</v>
      </c>
      <c r="Z47" s="219">
        <f t="shared" si="5"/>
        <v>-1.8281307912467491E-2</v>
      </c>
      <c r="AA47" s="111"/>
      <c r="AB47" s="81"/>
    </row>
    <row r="48" spans="1:28" s="85" customFormat="1" x14ac:dyDescent="0.3">
      <c r="A48" s="149" t="s">
        <v>51</v>
      </c>
      <c r="B48" s="81">
        <v>14213</v>
      </c>
      <c r="C48" s="81">
        <v>13821</v>
      </c>
      <c r="D48" s="81">
        <v>11386</v>
      </c>
      <c r="E48" s="81">
        <v>11580</v>
      </c>
      <c r="F48" s="81">
        <v>9537</v>
      </c>
      <c r="G48" s="81">
        <v>8084</v>
      </c>
      <c r="H48" s="199">
        <v>7592</v>
      </c>
      <c r="I48" s="199">
        <v>12296</v>
      </c>
      <c r="J48" s="199">
        <v>12207</v>
      </c>
      <c r="K48" s="135">
        <v>2375</v>
      </c>
      <c r="L48" s="135">
        <v>7447</v>
      </c>
      <c r="M48" s="135">
        <v>2770</v>
      </c>
      <c r="N48" s="135">
        <v>2628</v>
      </c>
      <c r="O48" s="135">
        <v>3066</v>
      </c>
      <c r="P48" s="135">
        <v>834.20667270999911</v>
      </c>
      <c r="Q48" s="135">
        <v>3996</v>
      </c>
      <c r="R48" s="129">
        <f t="shared" si="9"/>
        <v>5.0749814462912183E-4</v>
      </c>
      <c r="S48" s="135">
        <f>+X48-L48-N48-P48</f>
        <v>1723.7933272900009</v>
      </c>
      <c r="T48" s="129">
        <f t="shared" si="10"/>
        <v>9.4943557290215171E-4</v>
      </c>
      <c r="U48" s="129">
        <f t="shared" si="4"/>
        <v>-0.5686202884659658</v>
      </c>
      <c r="V48" s="222">
        <v>12207</v>
      </c>
      <c r="W48" s="219">
        <f t="shared" si="11"/>
        <v>2.0695211263403062E-3</v>
      </c>
      <c r="X48" s="222">
        <v>12633</v>
      </c>
      <c r="Y48" s="219">
        <f t="shared" si="12"/>
        <v>1.9550425333562786E-3</v>
      </c>
      <c r="Z48" s="219">
        <f t="shared" si="5"/>
        <v>3.4898009338903906E-2</v>
      </c>
      <c r="AA48" s="101"/>
      <c r="AB48" s="81"/>
    </row>
    <row r="49" spans="1:28" s="85" customFormat="1" x14ac:dyDescent="0.3">
      <c r="A49" s="149" t="s">
        <v>11</v>
      </c>
      <c r="B49" s="81">
        <v>-25197</v>
      </c>
      <c r="C49" s="81">
        <v>-64413</v>
      </c>
      <c r="D49" s="81">
        <v>-84176</v>
      </c>
      <c r="E49" s="81">
        <v>-88738</v>
      </c>
      <c r="F49" s="81">
        <v>-103331</v>
      </c>
      <c r="G49" s="81">
        <v>-79867</v>
      </c>
      <c r="H49" s="199">
        <v>-84666</v>
      </c>
      <c r="I49" s="199">
        <v>-70722</v>
      </c>
      <c r="J49" s="199">
        <v>-101111</v>
      </c>
      <c r="K49" s="135">
        <v>-16818</v>
      </c>
      <c r="L49" s="135">
        <v>-39145</v>
      </c>
      <c r="M49" s="135">
        <v>-17303</v>
      </c>
      <c r="N49" s="135">
        <v>-38121</v>
      </c>
      <c r="O49" s="135">
        <v>-27264</v>
      </c>
      <c r="P49" s="135">
        <v>-39692.202476859995</v>
      </c>
      <c r="Q49" s="135">
        <v>-39726</v>
      </c>
      <c r="R49" s="129">
        <f t="shared" si="9"/>
        <v>-2.4147156540730016E-2</v>
      </c>
      <c r="S49" s="135">
        <f>+X49-L49-N49-P49</f>
        <v>-40986.797523140005</v>
      </c>
      <c r="T49" s="129">
        <f t="shared" si="10"/>
        <v>-2.2574819714022601E-2</v>
      </c>
      <c r="U49" s="129">
        <f t="shared" si="4"/>
        <v>3.1737338849620024E-2</v>
      </c>
      <c r="V49" s="222">
        <v>-101111</v>
      </c>
      <c r="W49" s="219">
        <f t="shared" si="11"/>
        <v>-1.7141914524895118E-2</v>
      </c>
      <c r="X49" s="222">
        <v>-157945</v>
      </c>
      <c r="Y49" s="219">
        <f t="shared" si="12"/>
        <v>-2.4443061262642084E-2</v>
      </c>
      <c r="Z49" s="219">
        <f t="shared" si="5"/>
        <v>0.56209512318145405</v>
      </c>
      <c r="AA49" s="101"/>
      <c r="AB49" s="81"/>
    </row>
    <row r="50" spans="1:28" s="85" customFormat="1" x14ac:dyDescent="0.3">
      <c r="A50" s="149" t="s">
        <v>12</v>
      </c>
      <c r="B50" s="81">
        <v>-24458</v>
      </c>
      <c r="C50" s="81">
        <v>-32576</v>
      </c>
      <c r="D50" s="81">
        <v>-17533</v>
      </c>
      <c r="E50" s="81">
        <v>-27906</v>
      </c>
      <c r="F50" s="81">
        <v>-1787</v>
      </c>
      <c r="G50" s="81">
        <v>-28926</v>
      </c>
      <c r="H50" s="199">
        <v>-3636</v>
      </c>
      <c r="I50" s="199">
        <v>1782</v>
      </c>
      <c r="J50" s="199">
        <v>8732</v>
      </c>
      <c r="K50" s="135">
        <v>-1758</v>
      </c>
      <c r="L50" s="135">
        <v>7445</v>
      </c>
      <c r="M50" s="135">
        <v>4040</v>
      </c>
      <c r="N50" s="135">
        <v>-2408</v>
      </c>
      <c r="O50" s="135">
        <v>10554</v>
      </c>
      <c r="P50" s="135">
        <v>-676</v>
      </c>
      <c r="Q50" s="135">
        <v>-4104</v>
      </c>
      <c r="R50" s="129">
        <f t="shared" si="9"/>
        <v>-4.112515003683621E-4</v>
      </c>
      <c r="S50" s="135">
        <f>+X50-L50-N50-P50</f>
        <v>21211</v>
      </c>
      <c r="T50" s="129">
        <f t="shared" si="10"/>
        <v>1.1682652217065673E-2</v>
      </c>
      <c r="U50" s="129">
        <f t="shared" si="4"/>
        <v>-6.1683723196881095</v>
      </c>
      <c r="V50" s="222">
        <v>8732</v>
      </c>
      <c r="W50" s="219">
        <f t="shared" si="11"/>
        <v>1.4803849000740192E-3</v>
      </c>
      <c r="X50" s="222">
        <v>25572</v>
      </c>
      <c r="Y50" s="219">
        <f t="shared" si="12"/>
        <v>3.9574406445806029E-3</v>
      </c>
      <c r="Z50" s="219">
        <f t="shared" si="5"/>
        <v>1.9285387081997252</v>
      </c>
      <c r="AA50" s="101"/>
      <c r="AB50" s="81"/>
    </row>
    <row r="51" spans="1:28" s="85" customFormat="1" x14ac:dyDescent="0.3">
      <c r="A51" s="149" t="s">
        <v>52</v>
      </c>
      <c r="B51" s="81">
        <v>-1493</v>
      </c>
      <c r="C51" s="81">
        <v>-70809</v>
      </c>
      <c r="D51" s="81">
        <v>-27554</v>
      </c>
      <c r="E51" s="81">
        <v>-96678</v>
      </c>
      <c r="F51" s="81">
        <v>-89202</v>
      </c>
      <c r="G51" s="81">
        <v>-23551</v>
      </c>
      <c r="H51" s="199">
        <v>-26933</v>
      </c>
      <c r="I51" s="199">
        <v>-13536</v>
      </c>
      <c r="J51" s="199">
        <v>-54534</v>
      </c>
      <c r="K51" s="135">
        <v>-7981</v>
      </c>
      <c r="L51" s="135">
        <v>-8069</v>
      </c>
      <c r="M51" s="135">
        <v>-15076</v>
      </c>
      <c r="N51" s="135">
        <v>-7510</v>
      </c>
      <c r="O51" s="135">
        <v>-2563</v>
      </c>
      <c r="P51" s="135">
        <v>-16362.488190450102</v>
      </c>
      <c r="Q51" s="135">
        <f>+V51-K51-M51-O51</f>
        <v>-28914</v>
      </c>
      <c r="R51" s="129">
        <f t="shared" si="9"/>
        <v>-9.954286713139365E-3</v>
      </c>
      <c r="S51" s="135">
        <f>+X51-L51-N51-P51</f>
        <v>2882.4881904501017</v>
      </c>
      <c r="T51" s="129">
        <f t="shared" si="10"/>
        <v>1.5876246781777142E-3</v>
      </c>
      <c r="U51" s="129">
        <f t="shared" si="4"/>
        <v>-1.099691782197209</v>
      </c>
      <c r="V51" s="222">
        <v>-54534</v>
      </c>
      <c r="W51" s="219">
        <f t="shared" si="11"/>
        <v>-9.245454665670701E-3</v>
      </c>
      <c r="X51" s="222">
        <v>-29059</v>
      </c>
      <c r="Y51" s="219">
        <f t="shared" si="12"/>
        <v>-4.4970775727697383E-3</v>
      </c>
      <c r="Z51" s="219">
        <f t="shared" si="5"/>
        <v>-0.46713976601753032</v>
      </c>
      <c r="AA51" s="101"/>
      <c r="AB51" s="81"/>
    </row>
    <row r="52" spans="1:28" s="85" customFormat="1" x14ac:dyDescent="0.3">
      <c r="A52" s="149" t="s">
        <v>14</v>
      </c>
      <c r="B52" s="81">
        <v>22218</v>
      </c>
      <c r="C52" s="81">
        <v>29348</v>
      </c>
      <c r="D52" s="81">
        <v>25763</v>
      </c>
      <c r="E52" s="81">
        <v>27907</v>
      </c>
      <c r="F52" s="81">
        <v>28975</v>
      </c>
      <c r="G52" s="81">
        <v>30996</v>
      </c>
      <c r="H52" s="199">
        <v>33531</v>
      </c>
      <c r="I52" s="199">
        <v>35188</v>
      </c>
      <c r="J52" s="199">
        <v>39510</v>
      </c>
      <c r="K52" s="135">
        <v>8803</v>
      </c>
      <c r="L52" s="135">
        <v>9657</v>
      </c>
      <c r="M52" s="135">
        <v>9924</v>
      </c>
      <c r="N52" s="135">
        <v>10926</v>
      </c>
      <c r="O52" s="135">
        <v>11140</v>
      </c>
      <c r="P52" s="135">
        <v>10928.037788469999</v>
      </c>
      <c r="Q52" s="135">
        <v>9643</v>
      </c>
      <c r="R52" s="129">
        <f t="shared" si="9"/>
        <v>6.648183338151546E-3</v>
      </c>
      <c r="S52" s="135">
        <f>+X52-L52-N52-P52</f>
        <v>21505.962211530001</v>
      </c>
      <c r="T52" s="129">
        <f t="shared" si="10"/>
        <v>1.1845112305438759E-2</v>
      </c>
      <c r="U52" s="129">
        <f t="shared" si="4"/>
        <v>1.2302148928269212</v>
      </c>
      <c r="V52" s="222">
        <v>39510</v>
      </c>
      <c r="W52" s="219">
        <f t="shared" si="11"/>
        <v>6.6983517409441706E-3</v>
      </c>
      <c r="X52" s="222">
        <v>53017</v>
      </c>
      <c r="Y52" s="219">
        <f t="shared" si="12"/>
        <v>8.2047407576149624E-3</v>
      </c>
      <c r="Z52" s="219">
        <f t="shared" si="5"/>
        <v>0.3418628195393571</v>
      </c>
      <c r="AA52" s="101"/>
      <c r="AB52" s="81"/>
    </row>
    <row r="53" spans="1:28" s="85" customFormat="1" x14ac:dyDescent="0.3">
      <c r="A53" s="149" t="s">
        <v>16</v>
      </c>
      <c r="B53" s="81">
        <v>18955</v>
      </c>
      <c r="C53" s="81">
        <v>71319</v>
      </c>
      <c r="D53" s="81">
        <v>6759</v>
      </c>
      <c r="E53" s="81">
        <v>80511</v>
      </c>
      <c r="F53" s="81">
        <v>2124</v>
      </c>
      <c r="G53" s="81">
        <v>1513.7364279999999</v>
      </c>
      <c r="H53" s="199">
        <v>11185</v>
      </c>
      <c r="I53" s="199">
        <v>0</v>
      </c>
      <c r="J53" s="199">
        <v>107</v>
      </c>
      <c r="K53" s="135">
        <v>0</v>
      </c>
      <c r="L53" s="135">
        <v>0</v>
      </c>
      <c r="M53" s="135">
        <v>107</v>
      </c>
      <c r="N53" s="135">
        <v>0</v>
      </c>
      <c r="O53" s="135">
        <v>0</v>
      </c>
      <c r="P53" s="135">
        <v>0</v>
      </c>
      <c r="Q53" s="135">
        <v>0</v>
      </c>
      <c r="R53" s="129">
        <f t="shared" si="9"/>
        <v>0</v>
      </c>
      <c r="S53" s="135">
        <v>1110</v>
      </c>
      <c r="T53" s="129">
        <f t="shared" si="10"/>
        <v>6.1136881622473693E-4</v>
      </c>
      <c r="U53" s="197" t="s">
        <v>131</v>
      </c>
      <c r="V53" s="222">
        <v>107</v>
      </c>
      <c r="W53" s="219">
        <f t="shared" si="11"/>
        <v>1.8140309700861208E-5</v>
      </c>
      <c r="X53" s="222">
        <v>1110</v>
      </c>
      <c r="Y53" s="219">
        <f t="shared" si="12"/>
        <v>1.7178003736447947E-4</v>
      </c>
      <c r="Z53" s="219">
        <f t="shared" si="5"/>
        <v>9.3738317757009337</v>
      </c>
      <c r="AA53" s="101"/>
      <c r="AB53" s="81"/>
    </row>
    <row r="54" spans="1:28" s="95" customFormat="1" x14ac:dyDescent="0.3">
      <c r="A54" s="148" t="s">
        <v>2</v>
      </c>
      <c r="B54" s="80">
        <v>4238</v>
      </c>
      <c r="C54" s="80">
        <v>-53310</v>
      </c>
      <c r="D54" s="80">
        <v>-85355</v>
      </c>
      <c r="E54" s="80">
        <v>-93324</v>
      </c>
      <c r="F54" s="80">
        <v>-153684</v>
      </c>
      <c r="G54" s="80">
        <v>-91750.263571999996</v>
      </c>
      <c r="H54" s="202">
        <f t="shared" ref="H54:P54" si="18">SUM(H48:H53)</f>
        <v>-62927</v>
      </c>
      <c r="I54" s="202">
        <f t="shared" si="18"/>
        <v>-34992</v>
      </c>
      <c r="J54" s="202">
        <f t="shared" si="18"/>
        <v>-95089</v>
      </c>
      <c r="K54" s="134">
        <f t="shared" si="18"/>
        <v>-15379</v>
      </c>
      <c r="L54" s="134">
        <f t="shared" si="18"/>
        <v>-22665</v>
      </c>
      <c r="M54" s="134">
        <f t="shared" ref="M54" si="19">SUM(M48:M53)</f>
        <v>-15538</v>
      </c>
      <c r="N54" s="134">
        <f>SUM(N48:N53)</f>
        <v>-34485</v>
      </c>
      <c r="O54" s="134">
        <f t="shared" ref="O54:Q54" si="20">SUM(O48:O53)</f>
        <v>-5067</v>
      </c>
      <c r="P54" s="134">
        <f t="shared" si="18"/>
        <v>-44968.446206130095</v>
      </c>
      <c r="Q54" s="134">
        <f t="shared" si="20"/>
        <v>-59105</v>
      </c>
      <c r="R54" s="138">
        <f t="shared" si="9"/>
        <v>-2.7357013271457075E-2</v>
      </c>
      <c r="S54" s="134">
        <f>SUM(S48:S53)</f>
        <v>7446.4462061300947</v>
      </c>
      <c r="T54" s="138">
        <f t="shared" si="10"/>
        <v>4.1013738757864323E-3</v>
      </c>
      <c r="U54" s="138">
        <f t="shared" ref="U54:U59" si="21">(S54-Q54)/Q54</f>
        <v>-1.125986738958296</v>
      </c>
      <c r="V54" s="221">
        <f>SUM(V48:V53)</f>
        <v>-95089</v>
      </c>
      <c r="W54" s="218">
        <f t="shared" si="11"/>
        <v>-1.6120971113506462E-2</v>
      </c>
      <c r="X54" s="221">
        <f>SUM(X48:X53)</f>
        <v>-94672</v>
      </c>
      <c r="Y54" s="218">
        <f t="shared" si="12"/>
        <v>-1.4651134862495497E-2</v>
      </c>
      <c r="Z54" s="219">
        <f t="shared" si="5"/>
        <v>-4.3853652893604935E-3</v>
      </c>
      <c r="AA54" s="111"/>
      <c r="AB54" s="81"/>
    </row>
    <row r="55" spans="1:28" s="95" customFormat="1" x14ac:dyDescent="0.3">
      <c r="A55" s="148" t="s">
        <v>41</v>
      </c>
      <c r="B55" s="80">
        <v>267419</v>
      </c>
      <c r="C55" s="80">
        <v>246764</v>
      </c>
      <c r="D55" s="80">
        <v>347530</v>
      </c>
      <c r="E55" s="80">
        <v>372562</v>
      </c>
      <c r="F55" s="80">
        <v>295040</v>
      </c>
      <c r="G55" s="80">
        <v>340993.86194883985</v>
      </c>
      <c r="H55" s="202">
        <f t="shared" ref="H55:P55" si="22">+H47+H54</f>
        <v>369568.01641320647</v>
      </c>
      <c r="I55" s="202">
        <f t="shared" si="22"/>
        <v>486120</v>
      </c>
      <c r="J55" s="202">
        <f t="shared" si="22"/>
        <v>555138</v>
      </c>
      <c r="K55" s="134">
        <f t="shared" si="22"/>
        <v>125702</v>
      </c>
      <c r="L55" s="134">
        <f t="shared" si="22"/>
        <v>141030</v>
      </c>
      <c r="M55" s="134">
        <f t="shared" si="22"/>
        <v>141224</v>
      </c>
      <c r="N55" s="134">
        <f>+N47+N54</f>
        <v>109699</v>
      </c>
      <c r="O55" s="134">
        <f t="shared" ref="O55:Q55" si="23">+O47+O54</f>
        <v>148960</v>
      </c>
      <c r="P55" s="134">
        <f t="shared" si="22"/>
        <v>124853.55379386991</v>
      </c>
      <c r="Q55" s="134">
        <f t="shared" si="23"/>
        <v>139252</v>
      </c>
      <c r="R55" s="138">
        <f t="shared" si="9"/>
        <v>7.5955933911318066E-2</v>
      </c>
      <c r="S55" s="134">
        <f>+S47+S54</f>
        <v>168085.44620613009</v>
      </c>
      <c r="T55" s="138">
        <f t="shared" si="10"/>
        <v>9.2578558803286901E-2</v>
      </c>
      <c r="U55" s="138">
        <f t="shared" si="21"/>
        <v>0.20705947638906505</v>
      </c>
      <c r="V55" s="221">
        <f>+V47+V54</f>
        <v>555138</v>
      </c>
      <c r="W55" s="218">
        <f t="shared" si="11"/>
        <v>9.4115656511370924E-2</v>
      </c>
      <c r="X55" s="221">
        <f>+X47+X54</f>
        <v>543668</v>
      </c>
      <c r="Y55" s="218">
        <f t="shared" si="12"/>
        <v>8.4136314733217865E-2</v>
      </c>
      <c r="Z55" s="219">
        <f t="shared" si="5"/>
        <v>-2.0661529205350741E-2</v>
      </c>
      <c r="AA55" s="111"/>
      <c r="AB55" s="81"/>
    </row>
    <row r="56" spans="1:28" s="85" customFormat="1" x14ac:dyDescent="0.3">
      <c r="A56" s="149" t="s">
        <v>15</v>
      </c>
      <c r="B56" s="81">
        <v>-84076</v>
      </c>
      <c r="C56" s="81">
        <v>-70246</v>
      </c>
      <c r="D56" s="81">
        <v>-99987</v>
      </c>
      <c r="E56" s="81">
        <v>-73232</v>
      </c>
      <c r="F56" s="81">
        <v>-81309</v>
      </c>
      <c r="G56" s="81">
        <v>-76992.534036829995</v>
      </c>
      <c r="H56" s="199">
        <v>-113919.04882074999</v>
      </c>
      <c r="I56" s="199">
        <v>-138457</v>
      </c>
      <c r="J56" s="199">
        <v>-174487</v>
      </c>
      <c r="K56" s="135">
        <v>-46692</v>
      </c>
      <c r="L56" s="135">
        <v>-54819</v>
      </c>
      <c r="M56" s="135">
        <v>-44055</v>
      </c>
      <c r="N56" s="135">
        <v>-25831</v>
      </c>
      <c r="O56" s="135">
        <v>-44910</v>
      </c>
      <c r="P56" s="135">
        <v>-32829</v>
      </c>
      <c r="Q56" s="135">
        <v>-38830</v>
      </c>
      <c r="R56" s="129">
        <f t="shared" si="9"/>
        <v>-1.9971857256794318E-2</v>
      </c>
      <c r="S56" s="135">
        <f>+X56-L56-N56-P56</f>
        <v>-50207</v>
      </c>
      <c r="T56" s="129">
        <f t="shared" si="10"/>
        <v>-2.7653147888464298E-2</v>
      </c>
      <c r="U56" s="129">
        <f t="shared" si="21"/>
        <v>0.29299510687612673</v>
      </c>
      <c r="V56" s="222">
        <v>-174487</v>
      </c>
      <c r="W56" s="219">
        <f t="shared" si="11"/>
        <v>-2.95817590539642E-2</v>
      </c>
      <c r="X56" s="222">
        <v>-163686</v>
      </c>
      <c r="Y56" s="219">
        <f t="shared" si="12"/>
        <v>-2.5331519996434404E-2</v>
      </c>
      <c r="Z56" s="219">
        <f t="shared" si="5"/>
        <v>-6.1901459707599991E-2</v>
      </c>
      <c r="AA56" s="101"/>
      <c r="AB56" s="81"/>
    </row>
    <row r="57" spans="1:28" s="85" customFormat="1" x14ac:dyDescent="0.3">
      <c r="A57" s="149" t="s">
        <v>18</v>
      </c>
      <c r="B57" s="81">
        <v>-23</v>
      </c>
      <c r="C57" s="81">
        <v>17</v>
      </c>
      <c r="D57" s="81">
        <v>-230</v>
      </c>
      <c r="E57" s="81">
        <v>-279</v>
      </c>
      <c r="F57" s="81">
        <v>-457</v>
      </c>
      <c r="G57" s="81">
        <v>-762.45166136</v>
      </c>
      <c r="H57" s="199">
        <v>-2137.6216936399992</v>
      </c>
      <c r="I57" s="199">
        <v>-2156</v>
      </c>
      <c r="J57" s="199">
        <v>-416</v>
      </c>
      <c r="K57" s="135">
        <v>276</v>
      </c>
      <c r="L57" s="135">
        <v>-1156</v>
      </c>
      <c r="M57" s="135">
        <v>-50</v>
      </c>
      <c r="N57" s="135">
        <v>-496</v>
      </c>
      <c r="O57" s="135">
        <v>-299</v>
      </c>
      <c r="P57" s="135">
        <v>-267</v>
      </c>
      <c r="Q57" s="135">
        <v>-343</v>
      </c>
      <c r="R57" s="129">
        <f t="shared" si="9"/>
        <v>-1.6243217544135012E-4</v>
      </c>
      <c r="S57" s="135">
        <f>+X57-L57-N57-P57</f>
        <v>-492</v>
      </c>
      <c r="T57" s="129">
        <f t="shared" si="10"/>
        <v>-2.7098509692123477E-4</v>
      </c>
      <c r="U57" s="129">
        <f t="shared" si="21"/>
        <v>0.43440233236151604</v>
      </c>
      <c r="V57" s="222">
        <v>-416</v>
      </c>
      <c r="W57" s="219">
        <f t="shared" si="11"/>
        <v>-7.0526811547273483E-5</v>
      </c>
      <c r="X57" s="222">
        <v>-2411</v>
      </c>
      <c r="Y57" s="219">
        <f t="shared" si="12"/>
        <v>-3.7311862169888289E-4</v>
      </c>
      <c r="Z57" s="227" t="s">
        <v>131</v>
      </c>
      <c r="AA57" s="101"/>
      <c r="AB57" s="81"/>
    </row>
    <row r="58" spans="1:28" s="95" customFormat="1" x14ac:dyDescent="0.3">
      <c r="A58" s="150" t="s">
        <v>17</v>
      </c>
      <c r="B58" s="113">
        <v>183320</v>
      </c>
      <c r="C58" s="113">
        <v>176535</v>
      </c>
      <c r="D58" s="113">
        <v>247313</v>
      </c>
      <c r="E58" s="113">
        <v>299051</v>
      </c>
      <c r="F58" s="113">
        <v>213274</v>
      </c>
      <c r="G58" s="113">
        <v>263238.87625064986</v>
      </c>
      <c r="H58" s="206">
        <f t="shared" ref="H58:P58" si="24">+H55+H56+H57</f>
        <v>253511.34589881651</v>
      </c>
      <c r="I58" s="206">
        <f t="shared" si="24"/>
        <v>345507</v>
      </c>
      <c r="J58" s="206">
        <f t="shared" si="24"/>
        <v>380235</v>
      </c>
      <c r="K58" s="136">
        <f t="shared" si="24"/>
        <v>79286</v>
      </c>
      <c r="L58" s="136">
        <f t="shared" si="24"/>
        <v>85055</v>
      </c>
      <c r="M58" s="136">
        <f t="shared" si="24"/>
        <v>97119</v>
      </c>
      <c r="N58" s="136">
        <f>+N55+N56+N57</f>
        <v>83372</v>
      </c>
      <c r="O58" s="136">
        <f t="shared" ref="O58:Q58" si="25">+O55+O56+O57</f>
        <v>103751</v>
      </c>
      <c r="P58" s="136">
        <f t="shared" si="24"/>
        <v>91757.553793869913</v>
      </c>
      <c r="Q58" s="136">
        <f t="shared" si="25"/>
        <v>100079</v>
      </c>
      <c r="R58" s="139">
        <f t="shared" si="9"/>
        <v>5.5821644479082395E-2</v>
      </c>
      <c r="S58" s="136">
        <f>+S55+S56+S57</f>
        <v>117386.44620613009</v>
      </c>
      <c r="T58" s="139">
        <f t="shared" si="10"/>
        <v>6.4654425817901373E-2</v>
      </c>
      <c r="U58" s="139">
        <f t="shared" si="21"/>
        <v>0.17293784116677913</v>
      </c>
      <c r="V58" s="223">
        <f>+V55+V56+V57</f>
        <v>380235</v>
      </c>
      <c r="W58" s="224">
        <f t="shared" si="11"/>
        <v>6.4463370645859455E-2</v>
      </c>
      <c r="X58" s="223">
        <f>+X55+X56+X57</f>
        <v>377571</v>
      </c>
      <c r="Y58" s="224">
        <f t="shared" si="12"/>
        <v>5.8431676115084576E-2</v>
      </c>
      <c r="Z58" s="224">
        <f>+(X58-V58)/V58</f>
        <v>-7.0061935382066355E-3</v>
      </c>
      <c r="AA58" s="111"/>
      <c r="AB58" s="81"/>
    </row>
    <row r="59" spans="1:28" s="95" customFormat="1" ht="15.75" thickBot="1" x14ac:dyDescent="0.35">
      <c r="A59" s="151" t="s">
        <v>19</v>
      </c>
      <c r="B59" s="91">
        <v>317502</v>
      </c>
      <c r="C59" s="91">
        <v>382594</v>
      </c>
      <c r="D59" s="91">
        <v>528754</v>
      </c>
      <c r="E59" s="91">
        <v>569823</v>
      </c>
      <c r="F59" s="91">
        <v>551034</v>
      </c>
      <c r="G59" s="91">
        <v>538165</v>
      </c>
      <c r="H59" s="200">
        <v>568131.17041880696</v>
      </c>
      <c r="I59" s="200">
        <v>671095</v>
      </c>
      <c r="J59" s="200">
        <v>832827</v>
      </c>
      <c r="K59" s="137">
        <v>179705</v>
      </c>
      <c r="L59" s="137">
        <v>218965</v>
      </c>
      <c r="M59" s="137">
        <v>196119</v>
      </c>
      <c r="N59" s="137">
        <v>198720</v>
      </c>
      <c r="O59" s="137">
        <v>199330</v>
      </c>
      <c r="P59" s="137">
        <v>224400</v>
      </c>
      <c r="Q59" s="137">
        <v>257673</v>
      </c>
      <c r="R59" s="130">
        <f t="shared" si="9"/>
        <v>0.13651603059565157</v>
      </c>
      <c r="S59" s="137">
        <f>+X59-L59-N59-P59</f>
        <v>222172</v>
      </c>
      <c r="T59" s="130">
        <f t="shared" si="10"/>
        <v>0.12236849787232636</v>
      </c>
      <c r="U59" s="130">
        <f t="shared" si="21"/>
        <v>-0.13777539749993209</v>
      </c>
      <c r="V59" s="225">
        <v>832827</v>
      </c>
      <c r="W59" s="226">
        <f t="shared" si="11"/>
        <v>0.14119382903961811</v>
      </c>
      <c r="X59" s="225">
        <v>864257</v>
      </c>
      <c r="Y59" s="226">
        <f t="shared" si="12"/>
        <v>0.13374963941667833</v>
      </c>
      <c r="Z59" s="226">
        <f>+(X59-V59)/V59</f>
        <v>3.7738930173973707E-2</v>
      </c>
      <c r="AA59" s="111"/>
      <c r="AB59" s="81"/>
    </row>
    <row r="60" spans="1:28" s="85" customFormat="1" x14ac:dyDescent="0.3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  <c r="L60" s="112"/>
      <c r="M60" s="82"/>
      <c r="N60" s="101"/>
      <c r="O60" s="101"/>
    </row>
    <row r="61" spans="1:28" s="85" customFormat="1" x14ac:dyDescent="0.3">
      <c r="A61" s="85" t="s">
        <v>53</v>
      </c>
      <c r="H61" s="112"/>
      <c r="I61" s="112"/>
      <c r="J61" s="112"/>
      <c r="K61" s="112"/>
      <c r="L61" s="112"/>
      <c r="M61" s="82"/>
      <c r="N61" s="101"/>
      <c r="O61" s="101"/>
    </row>
    <row r="62" spans="1:28" s="85" customFormat="1" x14ac:dyDescent="0.3">
      <c r="H62" s="81"/>
      <c r="I62" s="81"/>
      <c r="J62" s="81"/>
      <c r="K62" s="81"/>
      <c r="L62" s="112"/>
      <c r="M62" s="82"/>
      <c r="N62" s="101"/>
      <c r="O62" s="101"/>
    </row>
    <row r="63" spans="1:28" s="85" customFormat="1" x14ac:dyDescent="0.3">
      <c r="H63" s="81"/>
      <c r="I63" s="81"/>
      <c r="J63" s="81"/>
      <c r="K63" s="81"/>
      <c r="L63" s="82"/>
      <c r="M63" s="82"/>
      <c r="N63" s="101"/>
      <c r="O63" s="101"/>
    </row>
    <row r="64" spans="1:28" s="85" customFormat="1" x14ac:dyDescent="0.3">
      <c r="H64" s="81"/>
      <c r="I64" s="81"/>
      <c r="J64" s="81"/>
      <c r="K64" s="81"/>
      <c r="L64" s="89"/>
      <c r="M64" s="82"/>
      <c r="N64" s="101"/>
      <c r="O64" s="101"/>
    </row>
    <row r="65" spans="13:13" x14ac:dyDescent="0.3">
      <c r="M65" s="77"/>
    </row>
    <row r="82" spans="13:13" x14ac:dyDescent="0.3">
      <c r="M82" s="77"/>
    </row>
  </sheetData>
  <pageMargins left="0.7" right="0.7" top="0.75" bottom="0.75" header="0.3" footer="0.3"/>
  <pageSetup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8:G77"/>
  <sheetViews>
    <sheetView showGridLines="0" tabSelected="1" workbookViewId="0">
      <selection activeCell="J36" sqref="J36"/>
    </sheetView>
  </sheetViews>
  <sheetFormatPr baseColWidth="10" defaultRowHeight="12.75" x14ac:dyDescent="0.2"/>
  <cols>
    <col min="1" max="1" width="38.5703125" customWidth="1"/>
    <col min="3" max="3" width="10.42578125" bestFit="1" customWidth="1"/>
    <col min="4" max="4" width="11.28515625" bestFit="1" customWidth="1"/>
  </cols>
  <sheetData>
    <row r="8" spans="1:6" ht="21" x14ac:dyDescent="0.35">
      <c r="A8" s="116" t="s">
        <v>40</v>
      </c>
    </row>
    <row r="9" spans="1:6" ht="15" x14ac:dyDescent="0.25">
      <c r="A9" s="78" t="s">
        <v>164</v>
      </c>
    </row>
    <row r="10" spans="1:6" x14ac:dyDescent="0.2">
      <c r="A10" s="79" t="s">
        <v>88</v>
      </c>
    </row>
    <row r="12" spans="1:6" ht="24" x14ac:dyDescent="0.2">
      <c r="A12" s="228"/>
      <c r="B12" s="230" t="s">
        <v>140</v>
      </c>
      <c r="C12" s="229" t="s">
        <v>139</v>
      </c>
      <c r="D12" s="231" t="s">
        <v>141</v>
      </c>
    </row>
    <row r="13" spans="1:6" x14ac:dyDescent="0.2">
      <c r="A13" s="232" t="s">
        <v>20</v>
      </c>
      <c r="B13" s="232"/>
      <c r="C13" s="232"/>
      <c r="D13" s="233"/>
    </row>
    <row r="14" spans="1:6" x14ac:dyDescent="0.2">
      <c r="A14" s="234" t="s">
        <v>142</v>
      </c>
      <c r="B14" s="236">
        <v>419428</v>
      </c>
      <c r="C14" s="235">
        <v>275986</v>
      </c>
      <c r="D14" s="237">
        <f t="shared" ref="D14:D25" si="0">(C14-B14)/B14</f>
        <v>-0.34199433514214594</v>
      </c>
      <c r="F14" s="250"/>
    </row>
    <row r="15" spans="1:6" x14ac:dyDescent="0.2">
      <c r="A15" s="234" t="s">
        <v>23</v>
      </c>
      <c r="B15" s="236">
        <v>767695</v>
      </c>
      <c r="C15" s="235">
        <v>845697</v>
      </c>
      <c r="D15" s="237">
        <f t="shared" si="0"/>
        <v>0.10160545529148945</v>
      </c>
    </row>
    <row r="16" spans="1:6" x14ac:dyDescent="0.2">
      <c r="A16" s="234" t="s">
        <v>36</v>
      </c>
      <c r="B16" s="236">
        <v>839716</v>
      </c>
      <c r="C16" s="235">
        <v>947055</v>
      </c>
      <c r="D16" s="237">
        <f t="shared" si="0"/>
        <v>0.12782774176030945</v>
      </c>
    </row>
    <row r="17" spans="1:7" x14ac:dyDescent="0.2">
      <c r="A17" s="234" t="s">
        <v>143</v>
      </c>
      <c r="B17" s="236">
        <v>50087</v>
      </c>
      <c r="C17" s="235">
        <v>48656</v>
      </c>
      <c r="D17" s="237">
        <f t="shared" si="0"/>
        <v>-2.8570287699403039E-2</v>
      </c>
    </row>
    <row r="18" spans="1:7" x14ac:dyDescent="0.2">
      <c r="A18" s="234" t="s">
        <v>144</v>
      </c>
      <c r="B18" s="236">
        <v>4016472</v>
      </c>
      <c r="C18" s="235">
        <v>3326010</v>
      </c>
      <c r="D18" s="237">
        <f t="shared" si="0"/>
        <v>-0.17190758456675412</v>
      </c>
    </row>
    <row r="19" spans="1:7" x14ac:dyDescent="0.2">
      <c r="A19" s="234" t="s">
        <v>145</v>
      </c>
      <c r="B19" s="236">
        <v>93261</v>
      </c>
      <c r="C19" s="235">
        <v>98149</v>
      </c>
      <c r="D19" s="237">
        <f t="shared" si="0"/>
        <v>5.2412047908557705E-2</v>
      </c>
    </row>
    <row r="20" spans="1:7" x14ac:dyDescent="0.2">
      <c r="A20" s="234" t="s">
        <v>37</v>
      </c>
      <c r="B20" s="236">
        <v>2966128</v>
      </c>
      <c r="C20" s="235">
        <v>3082521</v>
      </c>
      <c r="D20" s="237">
        <f t="shared" si="0"/>
        <v>3.9240720562295356E-2</v>
      </c>
    </row>
    <row r="21" spans="1:7" x14ac:dyDescent="0.2">
      <c r="A21" s="234" t="s">
        <v>146</v>
      </c>
      <c r="B21" s="236">
        <v>98245</v>
      </c>
      <c r="C21" s="235">
        <v>91582</v>
      </c>
      <c r="D21" s="237">
        <f t="shared" si="0"/>
        <v>-6.7820245305104582E-2</v>
      </c>
    </row>
    <row r="22" spans="1:7" x14ac:dyDescent="0.2">
      <c r="A22" s="234" t="s">
        <v>147</v>
      </c>
      <c r="B22" s="236">
        <v>2133941</v>
      </c>
      <c r="C22" s="235">
        <v>2996308</v>
      </c>
      <c r="D22" s="237">
        <f t="shared" si="0"/>
        <v>0.40411942035885717</v>
      </c>
    </row>
    <row r="23" spans="1:7" x14ac:dyDescent="0.2">
      <c r="A23" s="234" t="s">
        <v>148</v>
      </c>
      <c r="B23" s="236">
        <v>300627</v>
      </c>
      <c r="C23" s="235">
        <v>315164</v>
      </c>
      <c r="D23" s="237">
        <f t="shared" si="0"/>
        <v>4.835560345544479E-2</v>
      </c>
    </row>
    <row r="24" spans="1:7" x14ac:dyDescent="0.2">
      <c r="A24" s="234" t="s">
        <v>149</v>
      </c>
      <c r="B24" s="236">
        <v>154143</v>
      </c>
      <c r="C24" s="235">
        <v>213171</v>
      </c>
      <c r="D24" s="237">
        <f t="shared" si="0"/>
        <v>0.38294311126681069</v>
      </c>
    </row>
    <row r="25" spans="1:7" x14ac:dyDescent="0.2">
      <c r="A25" s="238" t="s">
        <v>150</v>
      </c>
      <c r="B25" s="240">
        <f>SUM(B14:B24)</f>
        <v>11839743</v>
      </c>
      <c r="C25" s="239">
        <f t="shared" ref="C25" si="1">SUM(C14:C24)</f>
        <v>12240299</v>
      </c>
      <c r="D25" s="241">
        <f t="shared" si="0"/>
        <v>3.3831477592038951E-2</v>
      </c>
    </row>
    <row r="26" spans="1:7" x14ac:dyDescent="0.2">
      <c r="A26" s="232" t="s">
        <v>151</v>
      </c>
      <c r="B26" s="232"/>
      <c r="C26" s="242"/>
      <c r="D26" s="233"/>
    </row>
    <row r="27" spans="1:7" x14ac:dyDescent="0.2">
      <c r="A27" s="243" t="s">
        <v>28</v>
      </c>
      <c r="B27" s="236">
        <v>2142797</v>
      </c>
      <c r="C27" s="235">
        <v>2989695</v>
      </c>
      <c r="D27" s="237">
        <f t="shared" ref="D27:D33" si="2">(C27-B27)/B27</f>
        <v>0.39523015945980883</v>
      </c>
      <c r="G27">
        <v>-1</v>
      </c>
    </row>
    <row r="28" spans="1:7" x14ac:dyDescent="0.2">
      <c r="A28" s="243" t="s">
        <v>152</v>
      </c>
      <c r="B28" s="236">
        <v>645697</v>
      </c>
      <c r="C28" s="235">
        <v>830387</v>
      </c>
      <c r="D28" s="237">
        <f t="shared" si="2"/>
        <v>0.28603199333433482</v>
      </c>
    </row>
    <row r="29" spans="1:7" x14ac:dyDescent="0.2">
      <c r="A29" s="243" t="s">
        <v>30</v>
      </c>
      <c r="B29" s="236">
        <v>150218</v>
      </c>
      <c r="C29" s="235">
        <v>180908</v>
      </c>
      <c r="D29" s="237">
        <f t="shared" si="2"/>
        <v>0.2043030795244245</v>
      </c>
    </row>
    <row r="30" spans="1:7" x14ac:dyDescent="0.2">
      <c r="A30" s="243" t="s">
        <v>153</v>
      </c>
      <c r="B30" s="236">
        <v>348473</v>
      </c>
      <c r="C30" s="235">
        <v>334074</v>
      </c>
      <c r="D30" s="237">
        <f t="shared" si="2"/>
        <v>-4.1320274454548847E-2</v>
      </c>
    </row>
    <row r="31" spans="1:7" x14ac:dyDescent="0.2">
      <c r="A31" s="243" t="s">
        <v>154</v>
      </c>
      <c r="B31" s="236">
        <v>457209</v>
      </c>
      <c r="C31" s="235">
        <v>464192</v>
      </c>
      <c r="D31" s="237">
        <f t="shared" si="2"/>
        <v>1.5273102672957006E-2</v>
      </c>
    </row>
    <row r="32" spans="1:7" x14ac:dyDescent="0.2">
      <c r="A32" s="243" t="s">
        <v>155</v>
      </c>
      <c r="B32" s="236">
        <v>20752</v>
      </c>
      <c r="C32" s="235">
        <v>21326</v>
      </c>
      <c r="D32" s="237">
        <f t="shared" si="2"/>
        <v>2.7659984579799537E-2</v>
      </c>
    </row>
    <row r="33" spans="1:6" x14ac:dyDescent="0.2">
      <c r="A33" s="238" t="s">
        <v>33</v>
      </c>
      <c r="B33" s="240">
        <f>SUM(B27:B32)</f>
        <v>3765146</v>
      </c>
      <c r="C33" s="239">
        <f t="shared" ref="C33" si="3">SUM(C27:C32)</f>
        <v>4820582</v>
      </c>
      <c r="D33" s="241">
        <f t="shared" si="2"/>
        <v>0.28031741664201071</v>
      </c>
    </row>
    <row r="34" spans="1:6" x14ac:dyDescent="0.2">
      <c r="A34" s="232" t="s">
        <v>34</v>
      </c>
      <c r="B34" s="232"/>
      <c r="C34" s="242"/>
      <c r="D34" s="233"/>
    </row>
    <row r="35" spans="1:6" x14ac:dyDescent="0.2">
      <c r="A35" s="244" t="s">
        <v>156</v>
      </c>
      <c r="B35" s="246">
        <v>8045860</v>
      </c>
      <c r="C35" s="245">
        <v>7390769</v>
      </c>
      <c r="D35" s="247">
        <f>(C35-B35)/B35</f>
        <v>-8.1419636931291367E-2</v>
      </c>
    </row>
    <row r="36" spans="1:6" x14ac:dyDescent="0.2">
      <c r="A36" s="248" t="s">
        <v>157</v>
      </c>
      <c r="B36" s="236">
        <v>28737</v>
      </c>
      <c r="C36" s="235">
        <v>28948</v>
      </c>
      <c r="D36" s="237">
        <f>(C36-B36)/B36</f>
        <v>7.3424504993562303E-3</v>
      </c>
    </row>
    <row r="37" spans="1:6" x14ac:dyDescent="0.2">
      <c r="A37" s="249" t="s">
        <v>158</v>
      </c>
      <c r="B37" s="240">
        <f>SUM(B35:B36)</f>
        <v>8074597</v>
      </c>
      <c r="C37" s="239">
        <f>SUM(C35:C36)</f>
        <v>7419717</v>
      </c>
      <c r="D37" s="241">
        <f>(C37-B37)/B37</f>
        <v>-8.1103738056524682E-2</v>
      </c>
    </row>
    <row r="38" spans="1:6" x14ac:dyDescent="0.2">
      <c r="A38" s="249" t="s">
        <v>159</v>
      </c>
      <c r="B38" s="240">
        <f>+B37+B33</f>
        <v>11839743</v>
      </c>
      <c r="C38" s="239">
        <f t="shared" ref="C38" si="4">+C37+C33</f>
        <v>12240299</v>
      </c>
      <c r="D38" s="241">
        <f>(C38-B38)/B38</f>
        <v>3.3831477592038951E-2</v>
      </c>
    </row>
    <row r="41" spans="1:6" ht="21" x14ac:dyDescent="0.35">
      <c r="A41" s="116" t="s">
        <v>91</v>
      </c>
    </row>
    <row r="42" spans="1:6" ht="15" x14ac:dyDescent="0.25">
      <c r="A42" s="78" t="s">
        <v>137</v>
      </c>
    </row>
    <row r="43" spans="1:6" x14ac:dyDescent="0.2">
      <c r="A43" s="79" t="s">
        <v>88</v>
      </c>
    </row>
    <row r="48" spans="1:6" x14ac:dyDescent="0.2">
      <c r="B48" s="252" t="s">
        <v>124</v>
      </c>
      <c r="C48" s="252" t="s">
        <v>55</v>
      </c>
      <c r="D48" s="229" t="s">
        <v>161</v>
      </c>
      <c r="E48" s="252" t="s">
        <v>55</v>
      </c>
      <c r="F48" s="252" t="s">
        <v>46</v>
      </c>
    </row>
    <row r="49" spans="1:7" s="253" customFormat="1" x14ac:dyDescent="0.2">
      <c r="B49" s="254"/>
      <c r="C49" s="254"/>
      <c r="D49" s="232"/>
      <c r="E49" s="254"/>
      <c r="F49" s="254"/>
    </row>
    <row r="50" spans="1:7" x14ac:dyDescent="0.2">
      <c r="A50" s="267" t="s">
        <v>4</v>
      </c>
      <c r="B50" s="259">
        <v>1523205</v>
      </c>
      <c r="C50" s="260">
        <f>+B50/$B$50</f>
        <v>1</v>
      </c>
      <c r="D50" s="235">
        <v>1717458</v>
      </c>
      <c r="E50" s="260">
        <f>+D50/$D$50</f>
        <v>1</v>
      </c>
      <c r="F50" s="260">
        <f>+(D50-B50)/B50</f>
        <v>0.12752912444483835</v>
      </c>
      <c r="G50" s="250"/>
    </row>
    <row r="51" spans="1:7" x14ac:dyDescent="0.2">
      <c r="A51" s="255" t="s">
        <v>50</v>
      </c>
      <c r="B51" s="261">
        <v>-842135</v>
      </c>
      <c r="C51" s="262">
        <f t="shared" ref="C51:C71" si="5">+B51/$B$50</f>
        <v>-0.5528704278150347</v>
      </c>
      <c r="D51" s="235">
        <v>-976867</v>
      </c>
      <c r="E51" s="262">
        <f t="shared" ref="E51:E71" si="6">+D51/$D$50</f>
        <v>-0.56878654383396854</v>
      </c>
      <c r="F51" s="262">
        <f t="shared" ref="F51:F71" si="7">+(D51-B51)/B51</f>
        <v>0.15998860040254828</v>
      </c>
    </row>
    <row r="52" spans="1:7" x14ac:dyDescent="0.2">
      <c r="A52" s="268" t="s">
        <v>6</v>
      </c>
      <c r="B52" s="269">
        <f>SUM(B50:B51)</f>
        <v>681070</v>
      </c>
      <c r="C52" s="270">
        <f t="shared" si="5"/>
        <v>0.44712957218496524</v>
      </c>
      <c r="D52" s="271">
        <f>SUM(D50:D51)</f>
        <v>740591</v>
      </c>
      <c r="E52" s="270">
        <f t="shared" si="6"/>
        <v>0.43121345616603141</v>
      </c>
      <c r="F52" s="270">
        <f t="shared" si="7"/>
        <v>8.7393366320642513E-2</v>
      </c>
    </row>
    <row r="53" spans="1:7" x14ac:dyDescent="0.2">
      <c r="A53" s="255" t="s">
        <v>7</v>
      </c>
      <c r="B53" s="261">
        <v>-84773</v>
      </c>
      <c r="C53" s="262">
        <f t="shared" si="5"/>
        <v>-5.5654360378281323E-2</v>
      </c>
      <c r="D53" s="235">
        <v>-93780</v>
      </c>
      <c r="E53" s="262">
        <f t="shared" si="6"/>
        <v>-5.460395538056826E-2</v>
      </c>
      <c r="F53" s="262">
        <f t="shared" si="7"/>
        <v>0.10624845174760832</v>
      </c>
    </row>
    <row r="54" spans="1:7" x14ac:dyDescent="0.2">
      <c r="A54" s="255" t="s">
        <v>8</v>
      </c>
      <c r="B54" s="261">
        <v>-376002</v>
      </c>
      <c r="C54" s="262">
        <f t="shared" si="5"/>
        <v>-0.24684924222281307</v>
      </c>
      <c r="D54" s="235">
        <v>-427282</v>
      </c>
      <c r="E54" s="262">
        <f t="shared" si="6"/>
        <v>-0.24878745215312398</v>
      </c>
      <c r="F54" s="262">
        <f t="shared" si="7"/>
        <v>0.13638225328588677</v>
      </c>
    </row>
    <row r="55" spans="1:7" x14ac:dyDescent="0.2">
      <c r="A55" s="255" t="s">
        <v>84</v>
      </c>
      <c r="B55" s="261">
        <v>-29293</v>
      </c>
      <c r="C55" s="262">
        <f t="shared" si="5"/>
        <v>-1.9231160611999042E-2</v>
      </c>
      <c r="D55" s="235">
        <v>-32038</v>
      </c>
      <c r="E55" s="262">
        <f t="shared" si="6"/>
        <v>-1.8654313526153186E-2</v>
      </c>
      <c r="F55" s="262">
        <f t="shared" si="7"/>
        <v>9.3708394496978806E-2</v>
      </c>
    </row>
    <row r="56" spans="1:7" x14ac:dyDescent="0.2">
      <c r="A56" s="263" t="s">
        <v>162</v>
      </c>
      <c r="B56" s="261">
        <v>1062</v>
      </c>
      <c r="C56" s="262">
        <f t="shared" si="5"/>
        <v>6.9721409790540344E-4</v>
      </c>
      <c r="D56" s="235">
        <v>8021</v>
      </c>
      <c r="E56" s="262">
        <f t="shared" si="6"/>
        <v>4.6702743240300488E-3</v>
      </c>
      <c r="F56" s="262">
        <f t="shared" si="7"/>
        <v>6.5527306967984931</v>
      </c>
    </row>
    <row r="57" spans="1:7" x14ac:dyDescent="0.2">
      <c r="A57" s="263" t="s">
        <v>160</v>
      </c>
      <c r="B57" s="261">
        <v>3618</v>
      </c>
      <c r="C57" s="262">
        <f t="shared" si="5"/>
        <v>2.3752548081184084E-3</v>
      </c>
      <c r="D57" s="235">
        <v>3024</v>
      </c>
      <c r="E57" s="262">
        <f t="shared" si="6"/>
        <v>1.7607417473964428E-3</v>
      </c>
      <c r="F57" s="262">
        <f t="shared" si="7"/>
        <v>-0.16417910447761194</v>
      </c>
    </row>
    <row r="58" spans="1:7" x14ac:dyDescent="0.2">
      <c r="A58" s="256" t="s">
        <v>9</v>
      </c>
      <c r="B58" s="257">
        <f>SUM(B53:B57)</f>
        <v>-485388</v>
      </c>
      <c r="C58" s="264">
        <f t="shared" si="5"/>
        <v>-0.31866229430706966</v>
      </c>
      <c r="D58" s="245">
        <f>SUM(D53:D57)</f>
        <v>-542055</v>
      </c>
      <c r="E58" s="264">
        <f t="shared" si="6"/>
        <v>-0.31561470498841893</v>
      </c>
      <c r="F58" s="264">
        <f t="shared" si="7"/>
        <v>0.1167457786348241</v>
      </c>
    </row>
    <row r="59" spans="1:7" x14ac:dyDescent="0.2">
      <c r="A59" s="268" t="s">
        <v>1</v>
      </c>
      <c r="B59" s="269">
        <f>+B52+B58</f>
        <v>195682</v>
      </c>
      <c r="C59" s="270">
        <f t="shared" si="5"/>
        <v>0.12846727787789561</v>
      </c>
      <c r="D59" s="271">
        <f>+D52+D58</f>
        <v>198536</v>
      </c>
      <c r="E59" s="270">
        <f t="shared" si="6"/>
        <v>0.11559875117761249</v>
      </c>
      <c r="F59" s="270">
        <f t="shared" si="7"/>
        <v>1.4584887726004437E-2</v>
      </c>
    </row>
    <row r="60" spans="1:7" x14ac:dyDescent="0.2">
      <c r="A60" s="255" t="s">
        <v>51</v>
      </c>
      <c r="B60" s="261">
        <v>3334</v>
      </c>
      <c r="C60" s="265">
        <f t="shared" si="5"/>
        <v>2.1888058403169634E-3</v>
      </c>
      <c r="D60" s="235">
        <v>3133</v>
      </c>
      <c r="E60" s="265">
        <f t="shared" si="6"/>
        <v>1.8242076371008781E-3</v>
      </c>
      <c r="F60" s="262">
        <f t="shared" si="7"/>
        <v>-6.0287942411517699E-2</v>
      </c>
    </row>
    <row r="61" spans="1:7" x14ac:dyDescent="0.2">
      <c r="A61" s="255" t="s">
        <v>11</v>
      </c>
      <c r="B61" s="261">
        <v>-40751</v>
      </c>
      <c r="C61" s="265">
        <f t="shared" si="5"/>
        <v>-2.6753457348157338E-2</v>
      </c>
      <c r="D61" s="235">
        <v>-50910</v>
      </c>
      <c r="E61" s="265">
        <f t="shared" si="6"/>
        <v>-2.9642646283053211E-2</v>
      </c>
      <c r="F61" s="262">
        <f t="shared" si="7"/>
        <v>0.24929449584059288</v>
      </c>
    </row>
    <row r="62" spans="1:7" x14ac:dyDescent="0.2">
      <c r="A62" s="255" t="s">
        <v>12</v>
      </c>
      <c r="B62" s="261">
        <v>6073</v>
      </c>
      <c r="C62" s="265">
        <f t="shared" si="5"/>
        <v>3.9869879628808991E-3</v>
      </c>
      <c r="D62" s="235">
        <v>6095</v>
      </c>
      <c r="E62" s="265">
        <f t="shared" si="6"/>
        <v>3.548849520628743E-3</v>
      </c>
      <c r="F62" s="262">
        <f t="shared" si="7"/>
        <v>3.6225917997694712E-3</v>
      </c>
    </row>
    <row r="63" spans="1:7" x14ac:dyDescent="0.2">
      <c r="A63" s="255" t="s">
        <v>52</v>
      </c>
      <c r="B63" s="266">
        <f>1468-6192+3153</f>
        <v>-1571</v>
      </c>
      <c r="C63" s="265">
        <f t="shared" si="5"/>
        <v>-1.0313779169579932E-3</v>
      </c>
      <c r="D63" s="235">
        <f>-4194+390</f>
        <v>-3804</v>
      </c>
      <c r="E63" s="265">
        <f t="shared" si="6"/>
        <v>-2.2149013250979065E-3</v>
      </c>
      <c r="F63" s="262">
        <f t="shared" si="7"/>
        <v>1.4213876511775938</v>
      </c>
    </row>
    <row r="64" spans="1:7" x14ac:dyDescent="0.2">
      <c r="A64" s="255" t="s">
        <v>14</v>
      </c>
      <c r="B64" s="261">
        <v>43363</v>
      </c>
      <c r="C64" s="265">
        <f t="shared" si="5"/>
        <v>2.8468262643570628E-2</v>
      </c>
      <c r="D64" s="235">
        <v>46468</v>
      </c>
      <c r="E64" s="265">
        <f t="shared" si="6"/>
        <v>2.7056265713630262E-2</v>
      </c>
      <c r="F64" s="262">
        <f t="shared" si="7"/>
        <v>7.1604824389456451E-2</v>
      </c>
    </row>
    <row r="65" spans="1:6" x14ac:dyDescent="0.2">
      <c r="A65" s="263" t="s">
        <v>163</v>
      </c>
      <c r="B65" s="261">
        <v>254</v>
      </c>
      <c r="C65" s="265">
        <f t="shared" si="5"/>
        <v>1.6675365430129235E-4</v>
      </c>
      <c r="D65" s="235">
        <v>-304</v>
      </c>
      <c r="E65" s="265">
        <f t="shared" si="6"/>
        <v>-1.7700578412980115E-4</v>
      </c>
      <c r="F65" s="262">
        <f t="shared" si="7"/>
        <v>-2.1968503937007875</v>
      </c>
    </row>
    <row r="66" spans="1:6" x14ac:dyDescent="0.2">
      <c r="A66" s="256" t="s">
        <v>2</v>
      </c>
      <c r="B66" s="257">
        <f>SUM(B60:B65)</f>
        <v>10702</v>
      </c>
      <c r="C66" s="264">
        <f t="shared" si="5"/>
        <v>7.0259748359544514E-3</v>
      </c>
      <c r="D66" s="245">
        <f>SUM(D60:D65)</f>
        <v>678</v>
      </c>
      <c r="E66" s="264">
        <f t="shared" si="6"/>
        <v>3.9476947907896438E-4</v>
      </c>
      <c r="F66" s="264">
        <f t="shared" si="7"/>
        <v>-0.93664735563446089</v>
      </c>
    </row>
    <row r="67" spans="1:6" x14ac:dyDescent="0.2">
      <c r="A67" s="268" t="s">
        <v>41</v>
      </c>
      <c r="B67" s="269">
        <f>+B59+B66</f>
        <v>206384</v>
      </c>
      <c r="C67" s="270">
        <f t="shared" si="5"/>
        <v>0.13549325271385007</v>
      </c>
      <c r="D67" s="271">
        <f>+D59+D66</f>
        <v>199214</v>
      </c>
      <c r="E67" s="270">
        <f t="shared" si="6"/>
        <v>0.11599352065669145</v>
      </c>
      <c r="F67" s="270">
        <f t="shared" si="7"/>
        <v>-3.4741065198852623E-2</v>
      </c>
    </row>
    <row r="68" spans="1:6" x14ac:dyDescent="0.2">
      <c r="A68" s="255" t="s">
        <v>15</v>
      </c>
      <c r="B68" s="261">
        <v>-46784</v>
      </c>
      <c r="C68" s="265">
        <f t="shared" si="5"/>
        <v>-3.0714184893038034E-2</v>
      </c>
      <c r="D68" s="245">
        <v>-48030</v>
      </c>
      <c r="E68" s="265">
        <f t="shared" si="6"/>
        <v>-2.7965749380770885E-2</v>
      </c>
      <c r="F68" s="262">
        <f t="shared" si="7"/>
        <v>2.6633036935704513E-2</v>
      </c>
    </row>
    <row r="69" spans="1:6" x14ac:dyDescent="0.2">
      <c r="A69" s="255" t="s">
        <v>18</v>
      </c>
      <c r="B69" s="261">
        <v>-1257</v>
      </c>
      <c r="C69" s="265">
        <f t="shared" si="5"/>
        <v>-8.2523363565639555E-4</v>
      </c>
      <c r="D69" s="235">
        <v>-150</v>
      </c>
      <c r="E69" s="265">
        <f t="shared" si="6"/>
        <v>-8.7338380327204514E-5</v>
      </c>
      <c r="F69" s="262">
        <f t="shared" si="7"/>
        <v>-0.88066825775656321</v>
      </c>
    </row>
    <row r="70" spans="1:6" x14ac:dyDescent="0.2">
      <c r="A70" s="268" t="s">
        <v>17</v>
      </c>
      <c r="B70" s="269">
        <f>+B67+B68+B69</f>
        <v>158343</v>
      </c>
      <c r="C70" s="270">
        <f t="shared" si="5"/>
        <v>0.10395383418515564</v>
      </c>
      <c r="D70" s="271">
        <f>+D67+D68+D69</f>
        <v>151034</v>
      </c>
      <c r="E70" s="270">
        <f t="shared" si="6"/>
        <v>8.7940432895593376E-2</v>
      </c>
      <c r="F70" s="270">
        <f t="shared" si="7"/>
        <v>-4.6159287117207584E-2</v>
      </c>
    </row>
    <row r="71" spans="1:6" x14ac:dyDescent="0.2">
      <c r="A71" s="256" t="s">
        <v>19</v>
      </c>
      <c r="B71" s="258">
        <v>237005</v>
      </c>
      <c r="C71" s="264">
        <f t="shared" si="5"/>
        <v>0.15559625920345588</v>
      </c>
      <c r="D71" s="245">
        <v>234673</v>
      </c>
      <c r="E71" s="264">
        <f t="shared" si="6"/>
        <v>0.13663973151017375</v>
      </c>
      <c r="F71" s="264">
        <f t="shared" si="7"/>
        <v>-9.8394548638214389E-3</v>
      </c>
    </row>
    <row r="72" spans="1:6" x14ac:dyDescent="0.2">
      <c r="A72" s="255"/>
      <c r="B72" s="255"/>
      <c r="C72" s="255"/>
      <c r="D72" s="255"/>
      <c r="E72" s="255"/>
      <c r="F72" s="255"/>
    </row>
    <row r="73" spans="1:6" x14ac:dyDescent="0.2">
      <c r="A73" s="251"/>
      <c r="B73" s="251"/>
      <c r="D73" s="251"/>
    </row>
    <row r="74" spans="1:6" x14ac:dyDescent="0.2">
      <c r="A74" s="251"/>
      <c r="B74" s="251"/>
      <c r="D74" s="251"/>
    </row>
    <row r="77" spans="1:6" x14ac:dyDescent="0.2"/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/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5" width="10.5703125" style="4" customWidth="1"/>
    <col min="6" max="7" width="11.42578125" style="5"/>
    <col min="8" max="8" width="11.5703125" style="11" bestFit="1" customWidth="1"/>
    <col min="9" max="9" width="11.5703125" style="5" bestFit="1" customWidth="1"/>
    <col min="10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61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7" t="s">
        <v>20</v>
      </c>
      <c r="B6" s="6">
        <v>2006</v>
      </c>
      <c r="C6" s="6">
        <v>2007</v>
      </c>
      <c r="D6" s="7" t="s">
        <v>46</v>
      </c>
    </row>
    <row r="7" spans="1:4" x14ac:dyDescent="0.3">
      <c r="A7" s="18" t="s">
        <v>21</v>
      </c>
      <c r="B7" s="14">
        <v>3712</v>
      </c>
      <c r="C7" s="14">
        <v>3823</v>
      </c>
      <c r="D7" s="17">
        <f t="shared" ref="D7:D12" si="0">IF(B7&lt;&gt;0,(C7-B7)/B7,0)</f>
        <v>2.9903017241379309E-2</v>
      </c>
    </row>
    <row r="8" spans="1:4" x14ac:dyDescent="0.3">
      <c r="A8" s="18" t="s">
        <v>22</v>
      </c>
      <c r="B8" s="14">
        <v>2529066</v>
      </c>
      <c r="C8" s="14">
        <v>2725536</v>
      </c>
      <c r="D8" s="17">
        <f t="shared" si="0"/>
        <v>7.7684805378744559E-2</v>
      </c>
    </row>
    <row r="9" spans="1:4" x14ac:dyDescent="0.3">
      <c r="A9" s="18" t="s">
        <v>23</v>
      </c>
      <c r="B9" s="14">
        <v>19152</v>
      </c>
      <c r="C9" s="14">
        <v>12573</v>
      </c>
      <c r="D9" s="17">
        <f t="shared" si="0"/>
        <v>-0.34351503759398494</v>
      </c>
    </row>
    <row r="10" spans="1:4" x14ac:dyDescent="0.3">
      <c r="A10" s="18" t="s">
        <v>59</v>
      </c>
      <c r="B10" s="14">
        <v>8543</v>
      </c>
      <c r="C10" s="14">
        <v>569</v>
      </c>
      <c r="D10" s="17">
        <f t="shared" si="0"/>
        <v>-0.93339576261266533</v>
      </c>
    </row>
    <row r="11" spans="1:4" x14ac:dyDescent="0.3">
      <c r="A11" s="18" t="s">
        <v>26</v>
      </c>
      <c r="B11" s="14">
        <v>1024192</v>
      </c>
      <c r="C11" s="14">
        <v>1219700</v>
      </c>
      <c r="D11" s="17">
        <f t="shared" si="0"/>
        <v>0.19088998937699181</v>
      </c>
    </row>
    <row r="12" spans="1:4" ht="15.75" thickBot="1" x14ac:dyDescent="0.35">
      <c r="A12" s="26" t="s">
        <v>27</v>
      </c>
      <c r="B12" s="27">
        <f>SUM(B7:B11)</f>
        <v>3584665</v>
      </c>
      <c r="C12" s="27">
        <f>SUM(C7:C11)</f>
        <v>3962201</v>
      </c>
      <c r="D12" s="46">
        <f t="shared" si="0"/>
        <v>0.10531974396491722</v>
      </c>
    </row>
    <row r="14" spans="1:4" x14ac:dyDescent="0.3">
      <c r="A14" s="7" t="s">
        <v>48</v>
      </c>
      <c r="B14" s="6">
        <v>2006</v>
      </c>
      <c r="C14" s="6">
        <v>2007</v>
      </c>
      <c r="D14" s="7" t="s">
        <v>46</v>
      </c>
    </row>
    <row r="15" spans="1:4" x14ac:dyDescent="0.3">
      <c r="A15" s="18" t="s">
        <v>28</v>
      </c>
      <c r="B15" s="14"/>
      <c r="C15" s="14">
        <v>7000</v>
      </c>
      <c r="D15" s="52" t="str">
        <f>IF(B15&lt;&gt;0,(C15-B15)/B15,"N.A.")</f>
        <v>N.A.</v>
      </c>
    </row>
    <row r="16" spans="1:4" x14ac:dyDescent="0.3">
      <c r="A16" s="18" t="s">
        <v>29</v>
      </c>
      <c r="B16" s="14">
        <v>83368</v>
      </c>
      <c r="C16" s="14">
        <v>87943</v>
      </c>
      <c r="D16" s="17">
        <f t="shared" ref="D16:D21" si="1">IF(B16&lt;&gt;0,(C16-B16)/B16,0)</f>
        <v>5.4877171096823718E-2</v>
      </c>
    </row>
    <row r="17" spans="1:9" x14ac:dyDescent="0.3">
      <c r="A17" s="18" t="s">
        <v>30</v>
      </c>
      <c r="B17" s="14">
        <v>609</v>
      </c>
      <c r="C17" s="14">
        <v>174</v>
      </c>
      <c r="D17" s="17">
        <f t="shared" si="1"/>
        <v>-0.7142857142857143</v>
      </c>
    </row>
    <row r="18" spans="1:9" x14ac:dyDescent="0.3">
      <c r="A18" s="18" t="s">
        <v>31</v>
      </c>
      <c r="B18" s="14">
        <v>13</v>
      </c>
      <c r="C18" s="14">
        <v>176</v>
      </c>
      <c r="D18" s="17">
        <f t="shared" si="1"/>
        <v>12.538461538461538</v>
      </c>
    </row>
    <row r="19" spans="1:9" x14ac:dyDescent="0.3">
      <c r="A19" s="18" t="s">
        <v>32</v>
      </c>
      <c r="B19" s="14">
        <v>589</v>
      </c>
      <c r="C19" s="14">
        <v>947</v>
      </c>
      <c r="D19" s="17">
        <f t="shared" si="1"/>
        <v>0.60780984719864173</v>
      </c>
    </row>
    <row r="20" spans="1:9" x14ac:dyDescent="0.3">
      <c r="A20" s="18" t="s">
        <v>24</v>
      </c>
      <c r="B20" s="14">
        <v>5019</v>
      </c>
      <c r="C20" s="14">
        <v>5414</v>
      </c>
      <c r="D20" s="17">
        <f t="shared" si="1"/>
        <v>7.8700936441522221E-2</v>
      </c>
    </row>
    <row r="21" spans="1:9" s="9" customFormat="1" x14ac:dyDescent="0.3">
      <c r="A21" s="29" t="s">
        <v>33</v>
      </c>
      <c r="B21" s="30">
        <f>SUM(B15:B20)</f>
        <v>89598</v>
      </c>
      <c r="C21" s="30">
        <f>SUM(C15:C20)</f>
        <v>101654</v>
      </c>
      <c r="D21" s="42">
        <f t="shared" si="1"/>
        <v>0.13455657492354739</v>
      </c>
      <c r="E21" s="8"/>
      <c r="H21" s="12"/>
    </row>
    <row r="22" spans="1:9" s="9" customFormat="1" x14ac:dyDescent="0.3">
      <c r="A22" s="31" t="s">
        <v>34</v>
      </c>
      <c r="B22" s="32">
        <v>3495067</v>
      </c>
      <c r="C22" s="32">
        <v>3860547</v>
      </c>
      <c r="D22" s="47">
        <f>IF(B22&lt;&gt;0,(C22-B22)/B22,0)</f>
        <v>0.10457024142884815</v>
      </c>
      <c r="E22" s="8"/>
      <c r="H22" s="12"/>
      <c r="I22" s="12"/>
    </row>
    <row r="23" spans="1:9" s="9" customFormat="1" ht="15.75" thickBot="1" x14ac:dyDescent="0.35">
      <c r="A23" s="26" t="s">
        <v>35</v>
      </c>
      <c r="B23" s="27">
        <f>+B21+B22</f>
        <v>3584665</v>
      </c>
      <c r="C23" s="27">
        <f>+C21+C22</f>
        <v>3962201</v>
      </c>
      <c r="D23" s="45">
        <f>IF(B23&lt;&gt;0,(C23-B23)/B23,0)</f>
        <v>0.10531974396491722</v>
      </c>
      <c r="E23" s="8"/>
      <c r="H23" s="12"/>
      <c r="I23" s="12"/>
    </row>
    <row r="24" spans="1:9" x14ac:dyDescent="0.3">
      <c r="A24" s="18" t="s">
        <v>54</v>
      </c>
      <c r="B24" s="14">
        <v>435123458</v>
      </c>
      <c r="C24" s="14">
        <v>435123458</v>
      </c>
      <c r="D24" s="17"/>
      <c r="I24" s="11"/>
    </row>
    <row r="25" spans="1:9" x14ac:dyDescent="0.3">
      <c r="A25" s="18" t="s">
        <v>71</v>
      </c>
      <c r="B25" s="33">
        <f>+B22/+(B24/1000000)</f>
        <v>8032.3571063364725</v>
      </c>
      <c r="C25" s="33">
        <f>+C22/+(C24/1000000)</f>
        <v>8872.3026281888015</v>
      </c>
      <c r="D25" s="17"/>
      <c r="I25" s="11"/>
    </row>
    <row r="26" spans="1:9" x14ac:dyDescent="0.3">
      <c r="H26" s="13"/>
      <c r="I26" s="13"/>
    </row>
    <row r="27" spans="1:9" x14ac:dyDescent="0.3">
      <c r="A27" s="7" t="s">
        <v>70</v>
      </c>
      <c r="B27" s="6">
        <v>2006</v>
      </c>
      <c r="C27" s="6">
        <v>2007</v>
      </c>
      <c r="D27" s="7" t="s">
        <v>46</v>
      </c>
      <c r="E27" s="5"/>
      <c r="I27" s="13"/>
    </row>
    <row r="28" spans="1:9" x14ac:dyDescent="0.3">
      <c r="A28" s="19" t="s">
        <v>62</v>
      </c>
      <c r="B28" s="14"/>
      <c r="C28" s="17"/>
      <c r="D28" s="34"/>
      <c r="E28" s="5"/>
    </row>
    <row r="29" spans="1:9" x14ac:dyDescent="0.3">
      <c r="A29" s="19" t="s">
        <v>44</v>
      </c>
      <c r="B29" s="14"/>
      <c r="C29" s="17"/>
      <c r="D29" s="34"/>
      <c r="E29" s="5"/>
    </row>
    <row r="30" spans="1:9" x14ac:dyDescent="0.3">
      <c r="A30" s="19" t="s">
        <v>45</v>
      </c>
      <c r="B30" s="14"/>
      <c r="C30" s="17"/>
      <c r="D30" s="34"/>
      <c r="E30" s="5"/>
    </row>
    <row r="31" spans="1:9" s="9" customFormat="1" x14ac:dyDescent="0.3">
      <c r="A31" s="19" t="s">
        <v>72</v>
      </c>
      <c r="B31" s="30">
        <v>117120</v>
      </c>
      <c r="C31" s="30">
        <v>114689</v>
      </c>
      <c r="D31" s="25">
        <f>IF(C31&lt;&gt;0,(C31-B31)/B31,0)</f>
        <v>-2.0756489071038251E-2</v>
      </c>
      <c r="H31" s="12"/>
    </row>
    <row r="32" spans="1:9" s="9" customFormat="1" x14ac:dyDescent="0.3">
      <c r="A32" s="19" t="s">
        <v>5</v>
      </c>
      <c r="B32" s="14">
        <v>53203</v>
      </c>
      <c r="C32" s="14">
        <v>2701</v>
      </c>
      <c r="D32" s="25">
        <f t="shared" ref="D32:D42" si="2">IF(C32&lt;&gt;0,(C32-B32)/B32,0)</f>
        <v>-0.94923218615491611</v>
      </c>
      <c r="H32" s="12"/>
    </row>
    <row r="33" spans="1:8" s="9" customFormat="1" x14ac:dyDescent="0.3">
      <c r="A33" s="19" t="s">
        <v>57</v>
      </c>
      <c r="B33" s="14">
        <v>14175</v>
      </c>
      <c r="C33" s="14">
        <v>8944</v>
      </c>
      <c r="D33" s="25">
        <f t="shared" si="2"/>
        <v>-0.36902998236331569</v>
      </c>
      <c r="H33" s="12"/>
    </row>
    <row r="34" spans="1:8" s="9" customFormat="1" x14ac:dyDescent="0.3">
      <c r="A34" s="19" t="s">
        <v>56</v>
      </c>
      <c r="B34" s="14">
        <v>5229</v>
      </c>
      <c r="C34" s="14">
        <v>3141</v>
      </c>
      <c r="D34" s="25">
        <f t="shared" si="2"/>
        <v>-0.3993115318416523</v>
      </c>
      <c r="H34" s="12"/>
    </row>
    <row r="35" spans="1:8" s="9" customFormat="1" x14ac:dyDescent="0.3">
      <c r="A35" s="35" t="s">
        <v>4</v>
      </c>
      <c r="B35" s="30">
        <f>SUM(B31:B34)</f>
        <v>189727</v>
      </c>
      <c r="C35" s="30">
        <f>SUM(C31:C34)</f>
        <v>129475</v>
      </c>
      <c r="D35" s="25">
        <f t="shared" si="2"/>
        <v>-0.31757209042466278</v>
      </c>
      <c r="H35" s="12"/>
    </row>
    <row r="36" spans="1:8" x14ac:dyDescent="0.3">
      <c r="A36" s="19" t="s">
        <v>58</v>
      </c>
      <c r="B36" s="14">
        <v>-4336</v>
      </c>
      <c r="C36" s="14">
        <v>-4655</v>
      </c>
      <c r="D36" s="25">
        <f t="shared" si="2"/>
        <v>7.3570110701107014E-2</v>
      </c>
      <c r="E36" s="5"/>
    </row>
    <row r="37" spans="1:8" s="9" customFormat="1" x14ac:dyDescent="0.3">
      <c r="A37" s="35" t="s">
        <v>42</v>
      </c>
      <c r="B37" s="30">
        <f>SUM(B35:B36)</f>
        <v>185391</v>
      </c>
      <c r="C37" s="30">
        <f>SUM(C35:C36)</f>
        <v>124820</v>
      </c>
      <c r="D37" s="25">
        <f t="shared" si="2"/>
        <v>-0.32672028307738782</v>
      </c>
      <c r="H37" s="12"/>
    </row>
    <row r="38" spans="1:8" x14ac:dyDescent="0.3">
      <c r="A38" s="19" t="s">
        <v>10</v>
      </c>
      <c r="B38" s="14">
        <f>3589+4234</f>
        <v>7823</v>
      </c>
      <c r="C38" s="14">
        <v>102</v>
      </c>
      <c r="D38" s="25">
        <f t="shared" si="2"/>
        <v>-0.98696152371213086</v>
      </c>
      <c r="E38" s="5"/>
    </row>
    <row r="39" spans="1:8" s="9" customFormat="1" x14ac:dyDescent="0.3">
      <c r="A39" s="19" t="s">
        <v>13</v>
      </c>
      <c r="B39" s="14">
        <v>-15953</v>
      </c>
      <c r="C39" s="14">
        <v>-923</v>
      </c>
      <c r="D39" s="25">
        <f t="shared" si="2"/>
        <v>-0.94214254372218387</v>
      </c>
      <c r="H39" s="12"/>
    </row>
    <row r="40" spans="1:8" s="9" customFormat="1" x14ac:dyDescent="0.3">
      <c r="A40" s="35" t="s">
        <v>43</v>
      </c>
      <c r="B40" s="30">
        <f>SUM(B37:B39)</f>
        <v>177261</v>
      </c>
      <c r="C40" s="30">
        <f>SUM(C37:C39)</f>
        <v>123999</v>
      </c>
      <c r="D40" s="25">
        <f t="shared" si="2"/>
        <v>-0.30047218508301321</v>
      </c>
      <c r="H40" s="12"/>
    </row>
    <row r="41" spans="1:8" x14ac:dyDescent="0.3">
      <c r="A41" s="19" t="s">
        <v>15</v>
      </c>
      <c r="B41" s="14">
        <v>-163</v>
      </c>
      <c r="C41" s="14">
        <v>-162</v>
      </c>
      <c r="D41" s="25">
        <f t="shared" si="2"/>
        <v>-6.1349693251533744E-3</v>
      </c>
      <c r="E41" s="5"/>
    </row>
    <row r="42" spans="1:8" ht="15.75" thickBot="1" x14ac:dyDescent="0.35">
      <c r="A42" s="36" t="s">
        <v>17</v>
      </c>
      <c r="B42" s="37">
        <f>SUM(B40:B41)</f>
        <v>177098</v>
      </c>
      <c r="C42" s="37">
        <f>SUM(C40:C41)</f>
        <v>123837</v>
      </c>
      <c r="D42" s="28">
        <f t="shared" si="2"/>
        <v>-0.30074309139572442</v>
      </c>
      <c r="E42" s="5"/>
    </row>
    <row r="44" spans="1:8" x14ac:dyDescent="0.3">
      <c r="A44" s="19" t="s">
        <v>53</v>
      </c>
      <c r="B44" s="14"/>
      <c r="C44" s="14"/>
      <c r="D44" s="17"/>
    </row>
  </sheetData>
  <phoneticPr fontId="0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zoomScale="84" zoomScaleNormal="84" workbookViewId="0"/>
  </sheetViews>
  <sheetFormatPr baseColWidth="10" defaultRowHeight="15" x14ac:dyDescent="0.3"/>
  <cols>
    <col min="1" max="1" width="43.42578125" style="5" customWidth="1"/>
    <col min="2" max="3" width="11.7109375" style="2" bestFit="1" customWidth="1"/>
    <col min="4" max="4" width="13.28515625" style="3" bestFit="1" customWidth="1"/>
    <col min="5" max="5" width="11.42578125" style="3"/>
    <col min="6" max="6" width="9.28515625" style="4" bestFit="1" customWidth="1"/>
    <col min="7" max="7" width="3.42578125" style="4" customWidth="1"/>
    <col min="8" max="16384" width="11.42578125" style="5"/>
  </cols>
  <sheetData>
    <row r="1" spans="1:5" x14ac:dyDescent="0.3">
      <c r="A1" s="38" t="s">
        <v>40</v>
      </c>
    </row>
    <row r="2" spans="1:5" x14ac:dyDescent="0.3">
      <c r="A2" s="38" t="s">
        <v>61</v>
      </c>
    </row>
    <row r="3" spans="1:5" x14ac:dyDescent="0.3">
      <c r="A3" s="38" t="s">
        <v>44</v>
      </c>
    </row>
    <row r="4" spans="1:5" x14ac:dyDescent="0.3">
      <c r="A4" s="24" t="s">
        <v>45</v>
      </c>
    </row>
    <row r="6" spans="1:5" x14ac:dyDescent="0.3">
      <c r="A6" s="6" t="s">
        <v>20</v>
      </c>
      <c r="B6" s="6">
        <v>2006</v>
      </c>
      <c r="C6" s="6">
        <v>2007</v>
      </c>
      <c r="D6" s="6" t="s">
        <v>46</v>
      </c>
      <c r="E6" s="20"/>
    </row>
    <row r="7" spans="1:5" x14ac:dyDescent="0.3">
      <c r="A7" s="18" t="s">
        <v>21</v>
      </c>
      <c r="B7" s="14">
        <v>137397</v>
      </c>
      <c r="C7" s="14">
        <v>130538</v>
      </c>
      <c r="D7" s="17">
        <f>+(C7-B7)/B7</f>
        <v>-4.9921031754696248E-2</v>
      </c>
      <c r="E7" s="21"/>
    </row>
    <row r="8" spans="1:5" x14ac:dyDescent="0.3">
      <c r="A8" s="18" t="s">
        <v>22</v>
      </c>
      <c r="B8" s="14">
        <v>345770</v>
      </c>
      <c r="C8" s="14">
        <v>333803</v>
      </c>
      <c r="D8" s="17">
        <f t="shared" ref="D8:D16" si="0">+(C8-B8)/B8</f>
        <v>-3.4609711658038583E-2</v>
      </c>
      <c r="E8" s="21"/>
    </row>
    <row r="9" spans="1:5" x14ac:dyDescent="0.3">
      <c r="A9" s="18" t="s">
        <v>23</v>
      </c>
      <c r="B9" s="14">
        <v>391549</v>
      </c>
      <c r="C9" s="14">
        <v>431472</v>
      </c>
      <c r="D9" s="17">
        <f t="shared" si="0"/>
        <v>0.1019616957264608</v>
      </c>
      <c r="E9" s="21"/>
    </row>
    <row r="10" spans="1:5" x14ac:dyDescent="0.3">
      <c r="A10" s="18" t="s">
        <v>36</v>
      </c>
      <c r="B10" s="14">
        <v>366380</v>
      </c>
      <c r="C10" s="14">
        <v>440200</v>
      </c>
      <c r="D10" s="17">
        <f t="shared" si="0"/>
        <v>0.20148479720508761</v>
      </c>
      <c r="E10" s="21"/>
    </row>
    <row r="11" spans="1:5" x14ac:dyDescent="0.3">
      <c r="A11" s="18" t="s">
        <v>60</v>
      </c>
      <c r="B11" s="14">
        <v>599417</v>
      </c>
      <c r="C11" s="14">
        <v>630109</v>
      </c>
      <c r="D11" s="17">
        <f t="shared" si="0"/>
        <v>5.1203085664904398E-2</v>
      </c>
      <c r="E11" s="21"/>
    </row>
    <row r="12" spans="1:5" x14ac:dyDescent="0.3">
      <c r="A12" s="18" t="s">
        <v>47</v>
      </c>
      <c r="B12" s="14">
        <v>687410</v>
      </c>
      <c r="C12" s="14">
        <v>568376</v>
      </c>
      <c r="D12" s="17">
        <f t="shared" si="0"/>
        <v>-0.17316303225149474</v>
      </c>
      <c r="E12" s="21"/>
    </row>
    <row r="13" spans="1:5" x14ac:dyDescent="0.3">
      <c r="A13" s="18" t="s">
        <v>24</v>
      </c>
      <c r="B13" s="14">
        <v>23053</v>
      </c>
      <c r="C13" s="14">
        <v>47440</v>
      </c>
      <c r="D13" s="17">
        <f t="shared" si="0"/>
        <v>1.0578666550991194</v>
      </c>
      <c r="E13" s="21"/>
    </row>
    <row r="14" spans="1:5" x14ac:dyDescent="0.3">
      <c r="A14" s="18" t="s">
        <v>25</v>
      </c>
      <c r="B14" s="14">
        <v>13698</v>
      </c>
      <c r="C14" s="14">
        <v>12269</v>
      </c>
      <c r="D14" s="17">
        <f t="shared" si="0"/>
        <v>-0.10432179880274492</v>
      </c>
      <c r="E14" s="21"/>
    </row>
    <row r="15" spans="1:5" x14ac:dyDescent="0.3">
      <c r="A15" s="18" t="s">
        <v>26</v>
      </c>
      <c r="B15" s="14">
        <v>2133290</v>
      </c>
      <c r="C15" s="14">
        <v>2466765</v>
      </c>
      <c r="D15" s="17">
        <f t="shared" si="0"/>
        <v>0.15631958149149905</v>
      </c>
      <c r="E15" s="21"/>
    </row>
    <row r="16" spans="1:5" ht="15.75" thickBot="1" x14ac:dyDescent="0.35">
      <c r="A16" s="26" t="s">
        <v>27</v>
      </c>
      <c r="B16" s="27">
        <f>SUM(B7:B15)</f>
        <v>4697964</v>
      </c>
      <c r="C16" s="27">
        <f>SUM(C7:C15)</f>
        <v>5060972</v>
      </c>
      <c r="D16" s="45">
        <f t="shared" si="0"/>
        <v>7.7269217048065927E-2</v>
      </c>
      <c r="E16" s="22"/>
    </row>
    <row r="17" spans="1:5" x14ac:dyDescent="0.3">
      <c r="A17" s="1"/>
      <c r="E17" s="21"/>
    </row>
    <row r="18" spans="1:5" x14ac:dyDescent="0.3">
      <c r="A18" s="6" t="s">
        <v>48</v>
      </c>
      <c r="B18" s="6">
        <v>2006</v>
      </c>
      <c r="C18" s="6">
        <v>2007</v>
      </c>
      <c r="D18" s="7" t="s">
        <v>46</v>
      </c>
      <c r="E18" s="20"/>
    </row>
    <row r="19" spans="1:5" x14ac:dyDescent="0.3">
      <c r="A19" s="18" t="s">
        <v>28</v>
      </c>
      <c r="B19" s="14">
        <v>729637</v>
      </c>
      <c r="C19" s="14">
        <v>703403</v>
      </c>
      <c r="D19" s="17">
        <f t="shared" ref="D19:D30" si="1">+(C19-B19)/B19</f>
        <v>-3.5954865227503539E-2</v>
      </c>
      <c r="E19" s="21"/>
    </row>
    <row r="20" spans="1:5" x14ac:dyDescent="0.3">
      <c r="A20" s="18" t="s">
        <v>49</v>
      </c>
      <c r="B20" s="14">
        <v>134925</v>
      </c>
      <c r="C20" s="14">
        <v>141667</v>
      </c>
      <c r="D20" s="17">
        <f t="shared" si="1"/>
        <v>4.9968501019084677E-2</v>
      </c>
      <c r="E20" s="21"/>
    </row>
    <row r="21" spans="1:5" x14ac:dyDescent="0.3">
      <c r="A21" s="18" t="s">
        <v>38</v>
      </c>
      <c r="B21" s="14">
        <v>127180</v>
      </c>
      <c r="C21" s="14">
        <v>148629</v>
      </c>
      <c r="D21" s="17">
        <f t="shared" si="1"/>
        <v>0.16865073124705143</v>
      </c>
      <c r="E21" s="21"/>
    </row>
    <row r="22" spans="1:5" x14ac:dyDescent="0.3">
      <c r="A22" s="18" t="s">
        <v>30</v>
      </c>
      <c r="B22" s="14">
        <v>26338</v>
      </c>
      <c r="C22" s="14">
        <v>27130</v>
      </c>
      <c r="D22" s="17">
        <f t="shared" si="1"/>
        <v>3.0070620396385452E-2</v>
      </c>
      <c r="E22" s="21"/>
    </row>
    <row r="23" spans="1:5" x14ac:dyDescent="0.3">
      <c r="A23" s="18" t="s">
        <v>31</v>
      </c>
      <c r="B23" s="14">
        <v>29521</v>
      </c>
      <c r="C23" s="14">
        <v>31757</v>
      </c>
      <c r="D23" s="17">
        <f t="shared" si="1"/>
        <v>7.574269164323702E-2</v>
      </c>
      <c r="E23" s="21"/>
    </row>
    <row r="24" spans="1:5" x14ac:dyDescent="0.3">
      <c r="A24" s="18" t="s">
        <v>32</v>
      </c>
      <c r="B24" s="14">
        <v>151007</v>
      </c>
      <c r="C24" s="14">
        <v>159844</v>
      </c>
      <c r="D24" s="17">
        <f t="shared" si="1"/>
        <v>5.8520465938665098E-2</v>
      </c>
      <c r="E24" s="21"/>
    </row>
    <row r="25" spans="1:5" x14ac:dyDescent="0.3">
      <c r="A25" s="18" t="s">
        <v>24</v>
      </c>
      <c r="B25" s="14">
        <v>10779</v>
      </c>
      <c r="C25" s="14">
        <v>10895</v>
      </c>
      <c r="D25" s="17">
        <f t="shared" si="1"/>
        <v>1.0761666202801744E-2</v>
      </c>
      <c r="E25" s="21"/>
    </row>
    <row r="26" spans="1:5" x14ac:dyDescent="0.3">
      <c r="A26" s="18" t="s">
        <v>0</v>
      </c>
      <c r="B26" s="14">
        <v>1725</v>
      </c>
      <c r="C26" s="14">
        <v>461</v>
      </c>
      <c r="D26" s="17">
        <f t="shared" si="1"/>
        <v>-0.73275362318840576</v>
      </c>
      <c r="E26" s="21"/>
    </row>
    <row r="27" spans="1:5" x14ac:dyDescent="0.3">
      <c r="A27" s="18" t="s">
        <v>33</v>
      </c>
      <c r="B27" s="14">
        <f>SUM(B19:B26)</f>
        <v>1211112</v>
      </c>
      <c r="C27" s="14">
        <f>SUM(C19:C26)</f>
        <v>1223786</v>
      </c>
      <c r="D27" s="17">
        <f t="shared" si="1"/>
        <v>1.0464762961641862E-2</v>
      </c>
      <c r="E27" s="21"/>
    </row>
    <row r="28" spans="1:5" x14ac:dyDescent="0.3">
      <c r="A28" s="18" t="s">
        <v>39</v>
      </c>
      <c r="B28" s="14">
        <v>1733</v>
      </c>
      <c r="C28" s="14">
        <v>2891</v>
      </c>
      <c r="D28" s="17">
        <f t="shared" si="1"/>
        <v>0.66820542412002304</v>
      </c>
      <c r="E28" s="21"/>
    </row>
    <row r="29" spans="1:5" ht="15.75" thickBot="1" x14ac:dyDescent="0.35">
      <c r="A29" s="26" t="s">
        <v>34</v>
      </c>
      <c r="B29" s="27">
        <v>3485119</v>
      </c>
      <c r="C29" s="27">
        <v>3834295</v>
      </c>
      <c r="D29" s="45">
        <f t="shared" si="1"/>
        <v>0.10019055303420056</v>
      </c>
      <c r="E29" s="22"/>
    </row>
    <row r="30" spans="1:5" ht="15.75" thickBot="1" x14ac:dyDescent="0.35">
      <c r="A30" s="26" t="s">
        <v>35</v>
      </c>
      <c r="B30" s="27">
        <f>+B27+B28+B29</f>
        <v>4697964</v>
      </c>
      <c r="C30" s="27">
        <f>+C27+C28+C29</f>
        <v>5060972</v>
      </c>
      <c r="D30" s="45">
        <f t="shared" si="1"/>
        <v>7.7269217048065927E-2</v>
      </c>
      <c r="E30" s="22"/>
    </row>
    <row r="31" spans="1:5" x14ac:dyDescent="0.3">
      <c r="A31" s="19"/>
      <c r="B31" s="14"/>
      <c r="C31" s="14"/>
      <c r="D31" s="17"/>
      <c r="E31" s="21"/>
    </row>
    <row r="32" spans="1:5" x14ac:dyDescent="0.3">
      <c r="A32" s="41" t="s">
        <v>3</v>
      </c>
      <c r="B32" s="14"/>
      <c r="C32" s="14"/>
      <c r="D32" s="17"/>
      <c r="E32" s="21"/>
    </row>
    <row r="33" spans="1:7" x14ac:dyDescent="0.3">
      <c r="A33" s="41" t="s">
        <v>62</v>
      </c>
      <c r="B33" s="14"/>
      <c r="C33" s="14"/>
      <c r="D33" s="17"/>
      <c r="E33" s="21"/>
    </row>
    <row r="34" spans="1:7" x14ac:dyDescent="0.3">
      <c r="A34" s="41" t="s">
        <v>44</v>
      </c>
      <c r="B34" s="14"/>
      <c r="C34" s="14"/>
      <c r="D34" s="17"/>
    </row>
    <row r="35" spans="1:7" x14ac:dyDescent="0.3">
      <c r="A35" s="41" t="s">
        <v>45</v>
      </c>
      <c r="B35" s="14"/>
      <c r="C35" s="14"/>
      <c r="D35" s="17"/>
    </row>
    <row r="36" spans="1:7" x14ac:dyDescent="0.3">
      <c r="A36" s="6"/>
      <c r="B36" s="6">
        <v>2006</v>
      </c>
      <c r="C36" s="6" t="s">
        <v>55</v>
      </c>
      <c r="D36" s="6">
        <v>2007</v>
      </c>
      <c r="E36" s="6" t="s">
        <v>55</v>
      </c>
      <c r="F36" s="6" t="s">
        <v>46</v>
      </c>
    </row>
    <row r="37" spans="1:7" s="9" customFormat="1" x14ac:dyDescent="0.3">
      <c r="A37" s="30" t="s">
        <v>4</v>
      </c>
      <c r="B37" s="30">
        <v>2026232</v>
      </c>
      <c r="C37" s="42">
        <v>1</v>
      </c>
      <c r="D37" s="50">
        <v>2462153</v>
      </c>
      <c r="E37" s="42">
        <v>1</v>
      </c>
      <c r="F37" s="42">
        <f>+(D37-B37)/B37</f>
        <v>0.2151387402824553</v>
      </c>
      <c r="G37" s="8"/>
    </row>
    <row r="38" spans="1:7" x14ac:dyDescent="0.3">
      <c r="A38" s="14" t="s">
        <v>50</v>
      </c>
      <c r="B38" s="14">
        <v>-1245932</v>
      </c>
      <c r="C38" s="17">
        <f t="shared" ref="C38:C55" si="2">+B38/$B$37</f>
        <v>-0.61490095902147435</v>
      </c>
      <c r="D38" s="51">
        <v>-1458664</v>
      </c>
      <c r="E38" s="17">
        <f>+D38/$D$37</f>
        <v>-0.59243434506304038</v>
      </c>
      <c r="F38" s="17">
        <f t="shared" ref="F38:F55" si="3">+(D38-B38)/B38</f>
        <v>0.17074126035770812</v>
      </c>
    </row>
    <row r="39" spans="1:7" s="9" customFormat="1" x14ac:dyDescent="0.3">
      <c r="A39" s="30" t="s">
        <v>6</v>
      </c>
      <c r="B39" s="30">
        <f>SUM(B37:B38)</f>
        <v>780300</v>
      </c>
      <c r="C39" s="42">
        <f t="shared" si="2"/>
        <v>0.38509904097852565</v>
      </c>
      <c r="D39" s="30">
        <f>SUM(D37:D38)</f>
        <v>1003489</v>
      </c>
      <c r="E39" s="42">
        <f t="shared" ref="E39:E55" si="4">+D39/$D$37</f>
        <v>0.40756565493695962</v>
      </c>
      <c r="F39" s="42">
        <f t="shared" si="3"/>
        <v>0.28602973215429961</v>
      </c>
      <c r="G39" s="8"/>
    </row>
    <row r="40" spans="1:7" x14ac:dyDescent="0.3">
      <c r="A40" s="14" t="s">
        <v>7</v>
      </c>
      <c r="B40" s="14">
        <v>-89083</v>
      </c>
      <c r="C40" s="17">
        <f t="shared" si="2"/>
        <v>-4.3964856936421888E-2</v>
      </c>
      <c r="D40" s="14">
        <v>-117207</v>
      </c>
      <c r="E40" s="17">
        <f t="shared" si="4"/>
        <v>-4.7603459248876899E-2</v>
      </c>
      <c r="F40" s="17">
        <f t="shared" si="3"/>
        <v>0.31570557794416443</v>
      </c>
    </row>
    <row r="41" spans="1:7" x14ac:dyDescent="0.3">
      <c r="A41" s="14" t="s">
        <v>8</v>
      </c>
      <c r="B41" s="14">
        <v>-489305</v>
      </c>
      <c r="C41" s="17">
        <f t="shared" si="2"/>
        <v>-0.24148518037421185</v>
      </c>
      <c r="D41" s="14">
        <v>-597743</v>
      </c>
      <c r="E41" s="17">
        <f t="shared" si="4"/>
        <v>-0.2427724840820209</v>
      </c>
      <c r="F41" s="17">
        <f t="shared" si="3"/>
        <v>0.22161637424510275</v>
      </c>
    </row>
    <row r="42" spans="1:7" s="9" customFormat="1" x14ac:dyDescent="0.3">
      <c r="A42" s="30" t="s">
        <v>9</v>
      </c>
      <c r="B42" s="30">
        <f>SUM(B40:B41)</f>
        <v>-578388</v>
      </c>
      <c r="C42" s="42">
        <f t="shared" si="2"/>
        <v>-0.28545003731063373</v>
      </c>
      <c r="D42" s="30">
        <f>SUM(D40:D41)</f>
        <v>-714950</v>
      </c>
      <c r="E42" s="42">
        <f t="shared" si="4"/>
        <v>-0.29037594333089778</v>
      </c>
      <c r="F42" s="42">
        <f t="shared" si="3"/>
        <v>0.23610794138190971</v>
      </c>
      <c r="G42" s="8"/>
    </row>
    <row r="43" spans="1:7" s="9" customFormat="1" x14ac:dyDescent="0.3">
      <c r="A43" s="30" t="s">
        <v>1</v>
      </c>
      <c r="B43" s="30">
        <f>+B39+B42</f>
        <v>201912</v>
      </c>
      <c r="C43" s="42">
        <f t="shared" si="2"/>
        <v>9.9649003667891936E-2</v>
      </c>
      <c r="D43" s="30">
        <f>+D39+D42</f>
        <v>288539</v>
      </c>
      <c r="E43" s="42">
        <f t="shared" si="4"/>
        <v>0.11718971160606186</v>
      </c>
      <c r="F43" s="42">
        <f t="shared" si="3"/>
        <v>0.4290334403106304</v>
      </c>
      <c r="G43" s="8"/>
    </row>
    <row r="44" spans="1:7" x14ac:dyDescent="0.3">
      <c r="A44" s="14" t="s">
        <v>51</v>
      </c>
      <c r="B44" s="14">
        <v>9510</v>
      </c>
      <c r="C44" s="17">
        <f t="shared" si="2"/>
        <v>4.6934408300727658E-3</v>
      </c>
      <c r="D44" s="14">
        <v>7971</v>
      </c>
      <c r="E44" s="17">
        <f t="shared" si="4"/>
        <v>3.2374105102323048E-3</v>
      </c>
      <c r="F44" s="17">
        <f t="shared" si="3"/>
        <v>-0.16182965299684543</v>
      </c>
    </row>
    <row r="45" spans="1:7" x14ac:dyDescent="0.3">
      <c r="A45" s="14" t="s">
        <v>11</v>
      </c>
      <c r="B45" s="14">
        <v>-41408</v>
      </c>
      <c r="C45" s="17">
        <f t="shared" si="2"/>
        <v>-2.0435961923412523E-2</v>
      </c>
      <c r="D45" s="14">
        <v>-87746</v>
      </c>
      <c r="E45" s="17">
        <f t="shared" si="4"/>
        <v>-3.5637915271715448E-2</v>
      </c>
      <c r="F45" s="17">
        <f t="shared" si="3"/>
        <v>1.1190591190108192</v>
      </c>
    </row>
    <row r="46" spans="1:7" x14ac:dyDescent="0.3">
      <c r="A46" s="14" t="s">
        <v>12</v>
      </c>
      <c r="B46" s="14">
        <v>-8533</v>
      </c>
      <c r="C46" s="17">
        <f t="shared" si="2"/>
        <v>-4.2112650476352166E-3</v>
      </c>
      <c r="D46" s="14">
        <v>-35289</v>
      </c>
      <c r="E46" s="17">
        <f t="shared" si="4"/>
        <v>-1.4332578032315619E-2</v>
      </c>
      <c r="F46" s="17">
        <f t="shared" si="3"/>
        <v>3.1355912340325793</v>
      </c>
    </row>
    <row r="47" spans="1:7" x14ac:dyDescent="0.3">
      <c r="A47" s="14" t="s">
        <v>52</v>
      </c>
      <c r="B47" s="14">
        <f>-60348+5528</f>
        <v>-54820</v>
      </c>
      <c r="C47" s="17">
        <f t="shared" si="2"/>
        <v>-2.7055144721828496E-2</v>
      </c>
      <c r="D47" s="14">
        <v>-23025</v>
      </c>
      <c r="E47" s="17">
        <f t="shared" si="4"/>
        <v>-9.3515715717098005E-3</v>
      </c>
      <c r="F47" s="17">
        <f t="shared" si="3"/>
        <v>-0.57998905508938348</v>
      </c>
    </row>
    <row r="48" spans="1:7" x14ac:dyDescent="0.3">
      <c r="A48" s="14" t="s">
        <v>14</v>
      </c>
      <c r="B48" s="14">
        <v>23659</v>
      </c>
      <c r="C48" s="17">
        <f t="shared" si="2"/>
        <v>1.1676352954646852E-2</v>
      </c>
      <c r="D48" s="14">
        <v>20010</v>
      </c>
      <c r="E48" s="17">
        <f t="shared" si="4"/>
        <v>8.1270335352839566E-3</v>
      </c>
      <c r="F48" s="17">
        <f t="shared" si="3"/>
        <v>-0.15423306141426096</v>
      </c>
    </row>
    <row r="49" spans="1:7" x14ac:dyDescent="0.3">
      <c r="A49" s="14" t="s">
        <v>16</v>
      </c>
      <c r="B49" s="14">
        <v>67913</v>
      </c>
      <c r="C49" s="17">
        <f t="shared" si="2"/>
        <v>3.3516892438773052E-2</v>
      </c>
      <c r="D49" s="14">
        <v>6542</v>
      </c>
      <c r="E49" s="17">
        <f t="shared" si="4"/>
        <v>2.6570241573127258E-3</v>
      </c>
      <c r="F49" s="17">
        <f t="shared" si="3"/>
        <v>-0.90367087302872795</v>
      </c>
    </row>
    <row r="50" spans="1:7" s="9" customFormat="1" x14ac:dyDescent="0.3">
      <c r="A50" s="30" t="s">
        <v>2</v>
      </c>
      <c r="B50" s="30">
        <f>SUM(B44:B49)</f>
        <v>-3679</v>
      </c>
      <c r="C50" s="42">
        <f t="shared" si="2"/>
        <v>-1.8156854693835653E-3</v>
      </c>
      <c r="D50" s="30">
        <f>SUM(D44:D49)</f>
        <v>-111537</v>
      </c>
      <c r="E50" s="42">
        <f t="shared" si="4"/>
        <v>-4.5300596672911878E-2</v>
      </c>
      <c r="F50" s="42">
        <f t="shared" si="3"/>
        <v>29.317205762435446</v>
      </c>
      <c r="G50" s="8"/>
    </row>
    <row r="51" spans="1:7" s="9" customFormat="1" x14ac:dyDescent="0.3">
      <c r="A51" s="30" t="s">
        <v>41</v>
      </c>
      <c r="B51" s="30">
        <f>+B43+B50</f>
        <v>198233</v>
      </c>
      <c r="C51" s="42">
        <f t="shared" si="2"/>
        <v>9.7833318198508365E-2</v>
      </c>
      <c r="D51" s="30">
        <f>+D43+D50</f>
        <v>177002</v>
      </c>
      <c r="E51" s="42">
        <f t="shared" si="4"/>
        <v>7.1889114933149964E-2</v>
      </c>
      <c r="F51" s="42">
        <f t="shared" si="3"/>
        <v>-0.10710123945054557</v>
      </c>
      <c r="G51" s="8"/>
    </row>
    <row r="52" spans="1:7" x14ac:dyDescent="0.3">
      <c r="A52" s="14" t="s">
        <v>15</v>
      </c>
      <c r="B52" s="14">
        <v>-57085</v>
      </c>
      <c r="C52" s="17">
        <f t="shared" si="2"/>
        <v>-2.8172983152965701E-2</v>
      </c>
      <c r="D52" s="14">
        <v>-53359</v>
      </c>
      <c r="E52" s="17">
        <f t="shared" si="4"/>
        <v>-2.1671683278821421E-2</v>
      </c>
      <c r="F52" s="17">
        <f t="shared" si="3"/>
        <v>-6.5271086975562762E-2</v>
      </c>
    </row>
    <row r="53" spans="1:7" x14ac:dyDescent="0.3">
      <c r="A53" s="14" t="s">
        <v>18</v>
      </c>
      <c r="B53" s="14">
        <v>-262</v>
      </c>
      <c r="C53" s="17">
        <f t="shared" si="2"/>
        <v>-1.293040481050541E-4</v>
      </c>
      <c r="D53" s="14">
        <v>-299</v>
      </c>
      <c r="E53" s="17">
        <f t="shared" si="4"/>
        <v>-1.2143843213642694E-4</v>
      </c>
      <c r="F53" s="17">
        <f t="shared" si="3"/>
        <v>0.14122137404580154</v>
      </c>
    </row>
    <row r="54" spans="1:7" s="9" customFormat="1" x14ac:dyDescent="0.3">
      <c r="A54" s="43" t="s">
        <v>17</v>
      </c>
      <c r="B54" s="43">
        <f>+B51+B52+B53</f>
        <v>140886</v>
      </c>
      <c r="C54" s="44">
        <f t="shared" si="2"/>
        <v>6.9531030997437612E-2</v>
      </c>
      <c r="D54" s="43">
        <f>+D51+D52+D53</f>
        <v>123344</v>
      </c>
      <c r="E54" s="44">
        <f t="shared" si="4"/>
        <v>5.0095993222192124E-2</v>
      </c>
      <c r="F54" s="44">
        <f t="shared" si="3"/>
        <v>-0.12451201680791563</v>
      </c>
      <c r="G54" s="8"/>
    </row>
    <row r="55" spans="1:7" s="9" customFormat="1" ht="15.75" thickBot="1" x14ac:dyDescent="0.35">
      <c r="A55" s="27" t="s">
        <v>19</v>
      </c>
      <c r="B55" s="27">
        <v>267224</v>
      </c>
      <c r="C55" s="45">
        <f t="shared" si="2"/>
        <v>0.13188223263673657</v>
      </c>
      <c r="D55" s="27">
        <v>359195</v>
      </c>
      <c r="E55" s="45">
        <f t="shared" si="4"/>
        <v>0.14588654726168521</v>
      </c>
      <c r="F55" s="45">
        <f t="shared" si="3"/>
        <v>0.34417193066491036</v>
      </c>
      <c r="G55" s="8"/>
    </row>
    <row r="56" spans="1:7" x14ac:dyDescent="0.3">
      <c r="A56" s="2"/>
      <c r="C56" s="3"/>
      <c r="D56" s="10"/>
    </row>
    <row r="57" spans="1:7" x14ac:dyDescent="0.3">
      <c r="A57" s="19" t="s">
        <v>53</v>
      </c>
      <c r="B57" s="14"/>
      <c r="C57" s="14"/>
      <c r="D57" s="17"/>
    </row>
    <row r="58" spans="1:7" x14ac:dyDescent="0.3">
      <c r="D58" s="10"/>
    </row>
  </sheetData>
  <phoneticPr fontId="0" type="noConversion"/>
  <pageMargins left="0.70866141732283472" right="0.43307086614173229" top="0.43307086614173229" bottom="0.51181102362204722" header="0.31496062992125984" footer="0.31496062992125984"/>
  <pageSetup scale="87" orientation="portrait" r:id="rId1"/>
  <headerFooter>
    <oddFooter>&amp;C&amp;A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22" zoomScale="86" zoomScaleNormal="86" workbookViewId="0">
      <selection activeCell="G32" sqref="G32"/>
    </sheetView>
  </sheetViews>
  <sheetFormatPr baseColWidth="10" defaultRowHeight="15" x14ac:dyDescent="0.3"/>
  <cols>
    <col min="1" max="1" width="43.7109375" style="5" customWidth="1"/>
    <col min="2" max="3" width="11.7109375" style="2" bestFit="1" customWidth="1"/>
    <col min="4" max="4" width="13.28515625" style="3" bestFit="1" customWidth="1"/>
    <col min="5" max="5" width="11.42578125" style="5"/>
    <col min="6" max="6" width="11.5703125" style="11" bestFit="1" customWidth="1"/>
    <col min="7" max="7" width="11.5703125" style="5" bestFit="1" customWidth="1"/>
    <col min="8" max="16384" width="11.42578125" style="5"/>
  </cols>
  <sheetData>
    <row r="1" spans="1:4" x14ac:dyDescent="0.3">
      <c r="A1" s="24" t="s">
        <v>69</v>
      </c>
    </row>
    <row r="2" spans="1:4" x14ac:dyDescent="0.3">
      <c r="A2" s="24" t="s">
        <v>67</v>
      </c>
    </row>
    <row r="3" spans="1:4" x14ac:dyDescent="0.3">
      <c r="A3" s="24" t="s">
        <v>44</v>
      </c>
    </row>
    <row r="4" spans="1:4" x14ac:dyDescent="0.3">
      <c r="A4" s="24" t="s">
        <v>45</v>
      </c>
    </row>
    <row r="5" spans="1:4" ht="12" customHeight="1" x14ac:dyDescent="0.3"/>
    <row r="6" spans="1:4" x14ac:dyDescent="0.3">
      <c r="A6" s="6" t="s">
        <v>20</v>
      </c>
      <c r="B6" s="6">
        <v>2006</v>
      </c>
      <c r="C6" s="6">
        <v>2007</v>
      </c>
      <c r="D6" s="7" t="s">
        <v>46</v>
      </c>
    </row>
    <row r="7" spans="1:4" x14ac:dyDescent="0.3">
      <c r="A7" s="18" t="s">
        <v>21</v>
      </c>
      <c r="B7" s="14">
        <v>915</v>
      </c>
      <c r="C7" s="14">
        <v>1835</v>
      </c>
      <c r="D7" s="17">
        <f t="shared" ref="D7:D13" si="0">IF(B7&lt;&gt;0,(C7-B7)/B7,0)</f>
        <v>1.0054644808743169</v>
      </c>
    </row>
    <row r="8" spans="1:4" x14ac:dyDescent="0.3">
      <c r="A8" s="18" t="s">
        <v>22</v>
      </c>
      <c r="B8" s="14">
        <v>2658218</v>
      </c>
      <c r="C8" s="14">
        <v>2904738</v>
      </c>
      <c r="D8" s="17">
        <f t="shared" si="0"/>
        <v>9.2738819765722749E-2</v>
      </c>
    </row>
    <row r="9" spans="1:4" x14ac:dyDescent="0.3">
      <c r="A9" s="18" t="s">
        <v>23</v>
      </c>
      <c r="B9" s="14">
        <f>20208+899</f>
        <v>21107</v>
      </c>
      <c r="C9" s="14">
        <f>9715+472</f>
        <v>10187</v>
      </c>
      <c r="D9" s="17">
        <f t="shared" si="0"/>
        <v>-0.51736390770834317</v>
      </c>
    </row>
    <row r="10" spans="1:4" x14ac:dyDescent="0.3">
      <c r="A10" s="18" t="s">
        <v>47</v>
      </c>
      <c r="B10" s="14">
        <f>941</f>
        <v>941</v>
      </c>
      <c r="C10" s="14">
        <f>54</f>
        <v>54</v>
      </c>
      <c r="D10" s="17">
        <f t="shared" si="0"/>
        <v>-0.94261424017003193</v>
      </c>
    </row>
    <row r="11" spans="1:4" x14ac:dyDescent="0.3">
      <c r="A11" s="18" t="s">
        <v>25</v>
      </c>
      <c r="B11" s="14">
        <f>154</f>
        <v>154</v>
      </c>
      <c r="C11" s="14">
        <f>155</f>
        <v>155</v>
      </c>
      <c r="D11" s="17">
        <f t="shared" si="0"/>
        <v>6.4935064935064939E-3</v>
      </c>
    </row>
    <row r="12" spans="1:4" x14ac:dyDescent="0.3">
      <c r="A12" s="18" t="s">
        <v>26</v>
      </c>
      <c r="B12" s="14">
        <v>1347305</v>
      </c>
      <c r="C12" s="14">
        <v>1324771</v>
      </c>
      <c r="D12" s="17">
        <f t="shared" si="0"/>
        <v>-1.6725240387291666E-2</v>
      </c>
    </row>
    <row r="13" spans="1:4" ht="15.75" thickBot="1" x14ac:dyDescent="0.35">
      <c r="A13" s="26" t="s">
        <v>27</v>
      </c>
      <c r="B13" s="27">
        <f>SUM(B7:B12)</f>
        <v>4028640</v>
      </c>
      <c r="C13" s="27">
        <f>SUM(C7:C12)</f>
        <v>4241740</v>
      </c>
      <c r="D13" s="46">
        <f t="shared" si="0"/>
        <v>5.2896262758648081E-2</v>
      </c>
    </row>
    <row r="15" spans="1:4" x14ac:dyDescent="0.3">
      <c r="A15" s="6" t="s">
        <v>48</v>
      </c>
      <c r="B15" s="6">
        <v>2006</v>
      </c>
      <c r="C15" s="6">
        <v>2007</v>
      </c>
      <c r="D15" s="7" t="s">
        <v>46</v>
      </c>
    </row>
    <row r="16" spans="1:4" x14ac:dyDescent="0.3">
      <c r="A16" s="18" t="s">
        <v>28</v>
      </c>
      <c r="B16" s="14">
        <v>0</v>
      </c>
      <c r="C16" s="14">
        <v>7000</v>
      </c>
      <c r="D16" s="52" t="str">
        <f>IF(B16&lt;&gt;0,(C16-B16)/B16,"N.A.")</f>
        <v>N.A.</v>
      </c>
    </row>
    <row r="17" spans="1:7" x14ac:dyDescent="0.3">
      <c r="A17" s="18" t="s">
        <v>29</v>
      </c>
      <c r="B17" s="14">
        <f>37190+22937</f>
        <v>60127</v>
      </c>
      <c r="C17" s="14">
        <f>28798+33773</f>
        <v>62571</v>
      </c>
      <c r="D17" s="17">
        <f t="shared" ref="D17:D23" si="1">IF(B17&lt;&gt;0,(C17-B17)/B17,0)</f>
        <v>4.0647296555623928E-2</v>
      </c>
    </row>
    <row r="18" spans="1:7" x14ac:dyDescent="0.3">
      <c r="A18" s="18" t="s">
        <v>30</v>
      </c>
      <c r="B18" s="14">
        <v>98</v>
      </c>
      <c r="C18" s="14">
        <v>645</v>
      </c>
      <c r="D18" s="17">
        <f t="shared" si="1"/>
        <v>5.5816326530612246</v>
      </c>
    </row>
    <row r="19" spans="1:7" x14ac:dyDescent="0.3">
      <c r="A19" s="18" t="s">
        <v>31</v>
      </c>
      <c r="B19" s="14">
        <v>501</v>
      </c>
      <c r="C19" s="14">
        <v>686</v>
      </c>
      <c r="D19" s="17">
        <f t="shared" si="1"/>
        <v>0.36926147704590817</v>
      </c>
    </row>
    <row r="20" spans="1:7" x14ac:dyDescent="0.3">
      <c r="A20" s="18" t="s">
        <v>24</v>
      </c>
      <c r="B20" s="14">
        <v>2509</v>
      </c>
      <c r="C20" s="14">
        <v>2679</v>
      </c>
      <c r="D20" s="17">
        <f t="shared" si="1"/>
        <v>6.775607811877242E-2</v>
      </c>
    </row>
    <row r="21" spans="1:7" s="9" customFormat="1" x14ac:dyDescent="0.3">
      <c r="A21" s="29" t="s">
        <v>33</v>
      </c>
      <c r="B21" s="30">
        <f>SUM(B16:B20)</f>
        <v>63235</v>
      </c>
      <c r="C21" s="30">
        <f>SUM(C16:C20)</f>
        <v>73581</v>
      </c>
      <c r="D21" s="42">
        <f t="shared" si="1"/>
        <v>0.16361192377638967</v>
      </c>
      <c r="F21" s="12"/>
    </row>
    <row r="22" spans="1:7" s="9" customFormat="1" x14ac:dyDescent="0.3">
      <c r="A22" s="31" t="s">
        <v>34</v>
      </c>
      <c r="B22" s="32">
        <v>3965405</v>
      </c>
      <c r="C22" s="32">
        <v>4168159</v>
      </c>
      <c r="D22" s="47">
        <f t="shared" si="1"/>
        <v>5.1130716786809922E-2</v>
      </c>
      <c r="F22" s="12"/>
      <c r="G22" s="12"/>
    </row>
    <row r="23" spans="1:7" s="9" customFormat="1" ht="15.75" thickBot="1" x14ac:dyDescent="0.35">
      <c r="A23" s="26" t="s">
        <v>35</v>
      </c>
      <c r="B23" s="27">
        <f>+B21+B22</f>
        <v>4028640</v>
      </c>
      <c r="C23" s="27">
        <f>+C21+C22</f>
        <v>4241740</v>
      </c>
      <c r="D23" s="45">
        <f t="shared" si="1"/>
        <v>5.2896262758648081E-2</v>
      </c>
      <c r="F23" s="12"/>
      <c r="G23" s="12"/>
    </row>
    <row r="24" spans="1:7" x14ac:dyDescent="0.3">
      <c r="A24" s="18" t="s">
        <v>54</v>
      </c>
      <c r="B24" s="14">
        <v>435123458</v>
      </c>
      <c r="C24" s="14">
        <v>435123458</v>
      </c>
      <c r="D24" s="17"/>
      <c r="G24" s="11"/>
    </row>
    <row r="25" spans="1:7" x14ac:dyDescent="0.3">
      <c r="A25" s="18" t="s">
        <v>71</v>
      </c>
      <c r="B25" s="33">
        <f>+B22/+(B24/1000000)</f>
        <v>9113.2871075868297</v>
      </c>
      <c r="C25" s="33">
        <f>+C22/+(C24/1000000)</f>
        <v>9579.2560096817397</v>
      </c>
      <c r="D25" s="17"/>
      <c r="G25" s="11"/>
    </row>
    <row r="26" spans="1:7" x14ac:dyDescent="0.3">
      <c r="F26" s="13"/>
      <c r="G26" s="13"/>
    </row>
    <row r="27" spans="1:7" x14ac:dyDescent="0.3">
      <c r="A27" s="6" t="s">
        <v>70</v>
      </c>
      <c r="B27" s="6">
        <v>2006</v>
      </c>
      <c r="C27" s="6">
        <v>2007</v>
      </c>
      <c r="D27" s="7" t="s">
        <v>46</v>
      </c>
      <c r="G27" s="13"/>
    </row>
    <row r="28" spans="1:7" x14ac:dyDescent="0.3">
      <c r="A28" s="19" t="s">
        <v>68</v>
      </c>
      <c r="B28" s="14"/>
      <c r="C28" s="17"/>
      <c r="D28" s="34"/>
    </row>
    <row r="29" spans="1:7" x14ac:dyDescent="0.3">
      <c r="A29" s="19" t="s">
        <v>44</v>
      </c>
      <c r="B29" s="14"/>
      <c r="C29" s="17"/>
      <c r="D29" s="34"/>
    </row>
    <row r="30" spans="1:7" x14ac:dyDescent="0.3">
      <c r="A30" s="19" t="s">
        <v>45</v>
      </c>
      <c r="B30" s="14"/>
      <c r="C30" s="17"/>
      <c r="D30" s="34"/>
    </row>
    <row r="31" spans="1:7" s="9" customFormat="1" x14ac:dyDescent="0.3">
      <c r="A31" s="19" t="s">
        <v>72</v>
      </c>
      <c r="B31" s="30">
        <v>163042</v>
      </c>
      <c r="C31" s="30">
        <v>231987</v>
      </c>
      <c r="D31" s="17">
        <f t="shared" ref="D31:D42" si="2">IF(C31&lt;&gt;0,(C31-B31)/B31,0)</f>
        <v>0.42286650065627263</v>
      </c>
      <c r="F31" s="12"/>
    </row>
    <row r="32" spans="1:7" s="9" customFormat="1" x14ac:dyDescent="0.3">
      <c r="A32" s="19" t="s">
        <v>5</v>
      </c>
      <c r="B32" s="14">
        <v>56828</v>
      </c>
      <c r="C32" s="14">
        <v>2685</v>
      </c>
      <c r="D32" s="17">
        <f t="shared" si="2"/>
        <v>-0.9527521644259872</v>
      </c>
      <c r="F32" s="12"/>
    </row>
    <row r="33" spans="1:6" s="9" customFormat="1" x14ac:dyDescent="0.3">
      <c r="A33" s="19" t="s">
        <v>57</v>
      </c>
      <c r="B33" s="14">
        <v>16684</v>
      </c>
      <c r="C33" s="14">
        <v>11678</v>
      </c>
      <c r="D33" s="17">
        <f t="shared" si="2"/>
        <v>-0.30004795013186286</v>
      </c>
      <c r="F33" s="12"/>
    </row>
    <row r="34" spans="1:6" s="9" customFormat="1" x14ac:dyDescent="0.3">
      <c r="A34" s="19" t="s">
        <v>56</v>
      </c>
      <c r="B34" s="14">
        <f>2360+5087</f>
        <v>7447</v>
      </c>
      <c r="C34" s="14">
        <f>478+5041</f>
        <v>5519</v>
      </c>
      <c r="D34" s="17">
        <f t="shared" si="2"/>
        <v>-0.25889619981200485</v>
      </c>
      <c r="F34" s="12"/>
    </row>
    <row r="35" spans="1:6" s="9" customFormat="1" x14ac:dyDescent="0.3">
      <c r="A35" s="35" t="s">
        <v>4</v>
      </c>
      <c r="B35" s="14">
        <f>SUM(B31:B34)</f>
        <v>244001</v>
      </c>
      <c r="C35" s="30">
        <f>SUM(C31:C34)</f>
        <v>251869</v>
      </c>
      <c r="D35" s="17">
        <f t="shared" si="2"/>
        <v>3.2245769484551295E-2</v>
      </c>
      <c r="F35" s="12"/>
    </row>
    <row r="36" spans="1:6" x14ac:dyDescent="0.3">
      <c r="A36" s="19" t="s">
        <v>58</v>
      </c>
      <c r="B36" s="14">
        <v>-41421</v>
      </c>
      <c r="C36" s="14">
        <v>-7188</v>
      </c>
      <c r="D36" s="17">
        <f t="shared" si="2"/>
        <v>-0.82646483667704784</v>
      </c>
    </row>
    <row r="37" spans="1:6" s="9" customFormat="1" x14ac:dyDescent="0.3">
      <c r="A37" s="35" t="s">
        <v>42</v>
      </c>
      <c r="B37" s="30">
        <f>SUM(B35:B36)</f>
        <v>202580</v>
      </c>
      <c r="C37" s="30">
        <f>SUM(C35:C36)</f>
        <v>244681</v>
      </c>
      <c r="D37" s="17">
        <f t="shared" si="2"/>
        <v>0.20782406950340607</v>
      </c>
      <c r="F37" s="12"/>
    </row>
    <row r="38" spans="1:6" x14ac:dyDescent="0.3">
      <c r="A38" s="19" t="s">
        <v>10</v>
      </c>
      <c r="B38" s="14">
        <v>8391</v>
      </c>
      <c r="C38" s="14">
        <v>80</v>
      </c>
      <c r="D38" s="17">
        <f t="shared" si="2"/>
        <v>-0.99046597544988679</v>
      </c>
    </row>
    <row r="39" spans="1:6" s="9" customFormat="1" x14ac:dyDescent="0.3">
      <c r="A39" s="19" t="s">
        <v>13</v>
      </c>
      <c r="B39" s="14">
        <v>-60</v>
      </c>
      <c r="C39" s="14">
        <v>-279</v>
      </c>
      <c r="D39" s="17">
        <f t="shared" si="2"/>
        <v>3.65</v>
      </c>
      <c r="F39" s="12"/>
    </row>
    <row r="40" spans="1:6" s="9" customFormat="1" x14ac:dyDescent="0.3">
      <c r="A40" s="35" t="s">
        <v>43</v>
      </c>
      <c r="B40" s="30">
        <f>SUM(B37:B39)</f>
        <v>210911</v>
      </c>
      <c r="C40" s="30">
        <f>SUM(C37:C39)</f>
        <v>244482</v>
      </c>
      <c r="D40" s="17">
        <f t="shared" si="2"/>
        <v>0.15917140405194607</v>
      </c>
      <c r="F40" s="12"/>
    </row>
    <row r="41" spans="1:6" x14ac:dyDescent="0.3">
      <c r="A41" s="19" t="s">
        <v>15</v>
      </c>
      <c r="B41" s="14">
        <v>-214</v>
      </c>
      <c r="C41" s="14">
        <v>-190</v>
      </c>
      <c r="D41" s="17">
        <f t="shared" si="2"/>
        <v>-0.11214953271028037</v>
      </c>
    </row>
    <row r="42" spans="1:6" ht="15.75" thickBot="1" x14ac:dyDescent="0.35">
      <c r="A42" s="36" t="s">
        <v>17</v>
      </c>
      <c r="B42" s="37">
        <f>SUM(B40:B41)</f>
        <v>210697</v>
      </c>
      <c r="C42" s="37">
        <f>SUM(C40:C41)</f>
        <v>244292</v>
      </c>
      <c r="D42" s="28">
        <f t="shared" si="2"/>
        <v>0.15944697836229277</v>
      </c>
    </row>
    <row r="43" spans="1:6" x14ac:dyDescent="0.3">
      <c r="A43" s="19"/>
      <c r="B43" s="19"/>
      <c r="C43" s="17"/>
      <c r="D43" s="19"/>
    </row>
    <row r="44" spans="1:6" x14ac:dyDescent="0.3">
      <c r="A44" s="19" t="s">
        <v>75</v>
      </c>
      <c r="B44" s="53">
        <f>+B42/(B24/1000000)</f>
        <v>484.22349134759816</v>
      </c>
      <c r="C44" s="53">
        <f>+C42/(C24/1000000)</f>
        <v>561.43146389501248</v>
      </c>
      <c r="D44" s="19"/>
    </row>
  </sheetData>
  <phoneticPr fontId="0" type="noConversion"/>
  <pageMargins left="0.70866141732283472" right="0.43307086614173229" top="0.47244094488188981" bottom="0.39370078740157483" header="0.31496062992125984" footer="0.18"/>
  <pageSetup orientation="portrait" r:id="rId1"/>
  <headerFoot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67</vt:i4>
      </vt:variant>
      <vt:variant>
        <vt:lpstr>Rangos con nombre</vt:lpstr>
      </vt:variant>
      <vt:variant>
        <vt:i4>34</vt:i4>
      </vt:variant>
    </vt:vector>
  </HeadingPairs>
  <TitlesOfParts>
    <vt:vector size="101" baseType="lpstr">
      <vt:lpstr>BASICO 2006-trim 04</vt:lpstr>
      <vt:lpstr>Consolidado 2006-trim 04</vt:lpstr>
      <vt:lpstr>BASICO 2007-trim 1</vt:lpstr>
      <vt:lpstr>Consolidado 2007-trim 1</vt:lpstr>
      <vt:lpstr>BASICO 2007-trim 2</vt:lpstr>
      <vt:lpstr>Consolidado 2007-trim 2</vt:lpstr>
      <vt:lpstr>BASICO 2007-trim 3</vt:lpstr>
      <vt:lpstr>Consolidado 2007-trim 3</vt:lpstr>
      <vt:lpstr>BASICO 2007-trim 4</vt:lpstr>
      <vt:lpstr>Consolidado 2007-trim 4</vt:lpstr>
      <vt:lpstr>BASICO 2008-trim 1</vt:lpstr>
      <vt:lpstr>Consolidado 2008-trim 1</vt:lpstr>
      <vt:lpstr>BASICO 2008-trim 2</vt:lpstr>
      <vt:lpstr>Consolidado 2008-trim 2</vt:lpstr>
      <vt:lpstr>BASICO 2008-trim 3</vt:lpstr>
      <vt:lpstr>Consolidado 2008-trim 3</vt:lpstr>
      <vt:lpstr>BASICO 2008-trim 4</vt:lpstr>
      <vt:lpstr>Consolidado 2008-trim 4</vt:lpstr>
      <vt:lpstr>BASICO 2009-trim 1</vt:lpstr>
      <vt:lpstr>Consolidado 2009-trim 1 </vt:lpstr>
      <vt:lpstr>BASICO 2009-trim 2</vt:lpstr>
      <vt:lpstr>Consolidado 2009-trim 2</vt:lpstr>
      <vt:lpstr>BASICO 2009-trim 3</vt:lpstr>
      <vt:lpstr>Consolidado 2009-trim 3</vt:lpstr>
      <vt:lpstr>BASICO 2009-trim 4</vt:lpstr>
      <vt:lpstr>Consolidado 2009 trim 4</vt:lpstr>
      <vt:lpstr>BASICO 2010-trim 1 </vt:lpstr>
      <vt:lpstr>Consolidado 2010-trim 1</vt:lpstr>
      <vt:lpstr>BASICO 2010-trim 2 </vt:lpstr>
      <vt:lpstr>Consolidado 2010-trim 2</vt:lpstr>
      <vt:lpstr>BASICO 2010-trim 3 </vt:lpstr>
      <vt:lpstr>Consolidado 2010-trim 3</vt:lpstr>
      <vt:lpstr>BASICO 2010-trim 4</vt:lpstr>
      <vt:lpstr>Consolidado 2010 trim 4 </vt:lpstr>
      <vt:lpstr>BASICO 2011-trim 1</vt:lpstr>
      <vt:lpstr>Consolidado 2011-trim 1</vt:lpstr>
      <vt:lpstr>BASICO 2011-trim 2</vt:lpstr>
      <vt:lpstr>Consolidado 2011-trim 2</vt:lpstr>
      <vt:lpstr>BASICO 2011-trim 3</vt:lpstr>
      <vt:lpstr>Consolidado 2011-trim 3</vt:lpstr>
      <vt:lpstr>BASICO 2011-TRIM 4</vt:lpstr>
      <vt:lpstr>Consolidado 2011-trim 4</vt:lpstr>
      <vt:lpstr>BASICO 2012-trim 1</vt:lpstr>
      <vt:lpstr>Consolidado 2012-trim 1 </vt:lpstr>
      <vt:lpstr>BASICO 2012- trim 2</vt:lpstr>
      <vt:lpstr>Consolidado 2012-trim 2</vt:lpstr>
      <vt:lpstr>BASICO 2012- trim 3</vt:lpstr>
      <vt:lpstr>Consolidado 2012-trim 3</vt:lpstr>
      <vt:lpstr>BASICO 2012-trim 4</vt:lpstr>
      <vt:lpstr>consolidado 2012-trim 4</vt:lpstr>
      <vt:lpstr>BASICO 2013-TRIM 1</vt:lpstr>
      <vt:lpstr>CONSOLIDADO 2013-TRIM 1</vt:lpstr>
      <vt:lpstr>BASICO 2013-TRIM 2</vt:lpstr>
      <vt:lpstr>CONSOLIDADO 2013-TRIM 2</vt:lpstr>
      <vt:lpstr>BASICO 2013-TRIM 3</vt:lpstr>
      <vt:lpstr>CONSOLIDADO 2013-TRIM 3</vt:lpstr>
      <vt:lpstr>BASICO 2013-TRIM 4</vt:lpstr>
      <vt:lpstr>CONSOLIDADO 2013-TRIM 4</vt:lpstr>
      <vt:lpstr>BASICO 2014-TRIM 1 </vt:lpstr>
      <vt:lpstr>CONSOLIDADO 2014-TRIM 1</vt:lpstr>
      <vt:lpstr>BASICO 2014-TRIM 2</vt:lpstr>
      <vt:lpstr>CONSOLIDADO 2014-TRIM 2</vt:lpstr>
      <vt:lpstr>BASICO 2014-TRIM 3</vt:lpstr>
      <vt:lpstr>CONSOLIDADO 2014-TRIM 3</vt:lpstr>
      <vt:lpstr>BASICO 2014-TRIM 4</vt:lpstr>
      <vt:lpstr>CONSOLIDADO 2014-TRIM 4</vt:lpstr>
      <vt:lpstr>CONSOLIDADO 2015- TRIM 1 NIIF</vt:lpstr>
      <vt:lpstr>'BASICO 2007-trim 4'!Área_de_impresión</vt:lpstr>
      <vt:lpstr>'BASICO 2008-trim 1'!Área_de_impresión</vt:lpstr>
      <vt:lpstr>'BASICO 2008-trim 2'!Área_de_impresión</vt:lpstr>
      <vt:lpstr>'BASICO 2008-trim 3'!Área_de_impresión</vt:lpstr>
      <vt:lpstr>'BASICO 2008-trim 4'!Área_de_impresión</vt:lpstr>
      <vt:lpstr>'BASICO 2009-trim 1'!Área_de_impresión</vt:lpstr>
      <vt:lpstr>'BASICO 2009-trim 2'!Área_de_impresión</vt:lpstr>
      <vt:lpstr>'BASICO 2009-trim 3'!Área_de_impresión</vt:lpstr>
      <vt:lpstr>'BASICO 2009-trim 4'!Área_de_impresión</vt:lpstr>
      <vt:lpstr>'BASICO 2010-trim 1 '!Área_de_impresión</vt:lpstr>
      <vt:lpstr>'BASICO 2010-trim 2 '!Área_de_impresión</vt:lpstr>
      <vt:lpstr>'BASICO 2010-trim 3 '!Área_de_impresión</vt:lpstr>
      <vt:lpstr>'BASICO 2010-trim 4'!Área_de_impresión</vt:lpstr>
      <vt:lpstr>'BASICO 2011-trim 1'!Área_de_impresión</vt:lpstr>
      <vt:lpstr>'BASICO 2011-trim 2'!Área_de_impresión</vt:lpstr>
      <vt:lpstr>'BASICO 2011-trim 3'!Área_de_impresión</vt:lpstr>
      <vt:lpstr>'BASICO 2012- trim 3'!Área_de_impresión</vt:lpstr>
      <vt:lpstr>'Consolidado 2007-trim 3'!Área_de_impresión</vt:lpstr>
      <vt:lpstr>'Consolidado 2007-trim 4'!Área_de_impresión</vt:lpstr>
      <vt:lpstr>'Consolidado 2008-trim 1'!Área_de_impresión</vt:lpstr>
      <vt:lpstr>'Consolidado 2008-trim 2'!Área_de_impresión</vt:lpstr>
      <vt:lpstr>'Consolidado 2008-trim 3'!Área_de_impresión</vt:lpstr>
      <vt:lpstr>'Consolidado 2008-trim 4'!Área_de_impresión</vt:lpstr>
      <vt:lpstr>'Consolidado 2009-trim 1 '!Área_de_impresión</vt:lpstr>
      <vt:lpstr>'Consolidado 2009-trim 2'!Área_de_impresión</vt:lpstr>
      <vt:lpstr>'Consolidado 2009-trim 3'!Área_de_impresión</vt:lpstr>
      <vt:lpstr>'Consolidado 2010-trim 1'!Área_de_impresión</vt:lpstr>
      <vt:lpstr>'Consolidado 2010-trim 2'!Área_de_impresión</vt:lpstr>
      <vt:lpstr>'Consolidado 2010-trim 3'!Área_de_impresión</vt:lpstr>
      <vt:lpstr>'Consolidado 2011-trim 1'!Área_de_impresión</vt:lpstr>
      <vt:lpstr>'Consolidado 2011-trim 2'!Área_de_impresión</vt:lpstr>
      <vt:lpstr>'Consolidado 2011-trim 3'!Área_de_impresión</vt:lpstr>
      <vt:lpstr>'Consolidado 2012-trim 1 '!Área_de_impresión</vt:lpstr>
      <vt:lpstr>'Consolidado 2012-trim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Janette Sosa Gonzalez</dc:creator>
  <cp:lastModifiedBy>Alejandro Jimenez Moreno</cp:lastModifiedBy>
  <cp:lastPrinted>2014-07-30T18:57:45Z</cp:lastPrinted>
  <dcterms:created xsi:type="dcterms:W3CDTF">2007-10-29T15:05:45Z</dcterms:created>
  <dcterms:modified xsi:type="dcterms:W3CDTF">2015-05-29T18:42:26Z</dcterms:modified>
</cp:coreProperties>
</file>