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omments1.xml" ContentType="application/vnd.openxmlformats-officedocument.spreadsheetml.comments+xml"/>
  <Override PartName="/xl/customProperty4.bin" ContentType="application/vnd.openxmlformats-officedocument.spreadsheetml.customProperty"/>
  <Override PartName="/xl/comments2.xml" ContentType="application/vnd.openxmlformats-officedocument.spreadsheetml.comments+xml"/>
  <Override PartName="/xl/customProperty5.bin" ContentType="application/vnd.openxmlformats-officedocument.spreadsheetml.customProperty"/>
  <Override PartName="/xl/comments3.xml" ContentType="application/vnd.openxmlformats-officedocument.spreadsheetml.comments+xml"/>
  <Override PartName="/xl/customProperty6.bin" ContentType="application/vnd.openxmlformats-officedocument.spreadsheetml.customProperty"/>
  <Override PartName="/xl/comments4.xml" ContentType="application/vnd.openxmlformats-officedocument.spreadsheetml.comments+xml"/>
  <Override PartName="/xl/customProperty7.bin" ContentType="application/vnd.openxmlformats-officedocument.spreadsheetml.customProperty"/>
  <Override PartName="/xl/comments5.xml" ContentType="application/vnd.openxmlformats-officedocument.spreadsheetml.comments+xml"/>
  <Override PartName="/xl/customProperty8.bin" ContentType="application/vnd.openxmlformats-officedocument.spreadsheetml.customProperty"/>
  <Override PartName="/xl/comments6.xml" ContentType="application/vnd.openxmlformats-officedocument.spreadsheetml.comments+xml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customProperty37.bin" ContentType="application/vnd.openxmlformats-officedocument.spreadsheetml.customProperty"/>
  <Override PartName="/xl/customProperty38.bin" ContentType="application/vnd.openxmlformats-officedocument.spreadsheetml.customProperty"/>
  <Override PartName="/xl/customProperty39.bin" ContentType="application/vnd.openxmlformats-officedocument.spreadsheetml.customProperty"/>
  <Override PartName="/xl/customProperty40.bin" ContentType="application/vnd.openxmlformats-officedocument.spreadsheetml.customProperty"/>
  <Override PartName="/xl/customProperty41.bin" ContentType="application/vnd.openxmlformats-officedocument.spreadsheetml.customProperty"/>
  <Override PartName="/xl/customProperty42.bin" ContentType="application/vnd.openxmlformats-officedocument.spreadsheetml.customProperty"/>
  <Override PartName="/xl/customProperty43.bin" ContentType="application/vnd.openxmlformats-officedocument.spreadsheetml.customProperty"/>
  <Override PartName="/xl/customProperty44.bin" ContentType="application/vnd.openxmlformats-officedocument.spreadsheetml.customProperty"/>
  <Override PartName="/xl/customProperty45.bin" ContentType="application/vnd.openxmlformats-officedocument.spreadsheetml.customProperty"/>
  <Override PartName="/xl/customProperty46.bin" ContentType="application/vnd.openxmlformats-officedocument.spreadsheetml.customProperty"/>
  <Override PartName="/xl/customProperty47.bin" ContentType="application/vnd.openxmlformats-officedocument.spreadsheetml.customProperty"/>
  <Override PartName="/xl/drawings/drawing1.xml" ContentType="application/vnd.openxmlformats-officedocument.drawing+xml"/>
  <Override PartName="/xl/customProperty48.bin" ContentType="application/vnd.openxmlformats-officedocument.spreadsheetml.customProperty"/>
  <Override PartName="/xl/drawings/drawing2.xml" ContentType="application/vnd.openxmlformats-officedocument.drawing+xml"/>
  <Override PartName="/xl/customProperty49.bin" ContentType="application/vnd.openxmlformats-officedocument.spreadsheetml.customProperty"/>
  <Override PartName="/xl/drawings/drawing3.xml" ContentType="application/vnd.openxmlformats-officedocument.drawing+xml"/>
  <Override PartName="/xl/customProperty50.bin" ContentType="application/vnd.openxmlformats-officedocument.spreadsheetml.customProperty"/>
  <Override PartName="/xl/drawings/drawing4.xml" ContentType="application/vnd.openxmlformats-officedocument.drawing+xml"/>
  <Override PartName="/xl/customProperty51.bin" ContentType="application/vnd.openxmlformats-officedocument.spreadsheetml.customProperty"/>
  <Override PartName="/xl/drawings/drawing5.xml" ContentType="application/vnd.openxmlformats-officedocument.drawing+xml"/>
  <Override PartName="/xl/customProperty52.bin" ContentType="application/vnd.openxmlformats-officedocument.spreadsheetml.customProperty"/>
  <Override PartName="/xl/drawings/drawing6.xml" ContentType="application/vnd.openxmlformats-officedocument.drawing+xml"/>
  <Override PartName="/xl/customProperty53.bin" ContentType="application/vnd.openxmlformats-officedocument.spreadsheetml.customProperty"/>
  <Override PartName="/xl/drawings/drawing7.xml" ContentType="application/vnd.openxmlformats-officedocument.drawing+xml"/>
  <Override PartName="/xl/customProperty54.bin" ContentType="application/vnd.openxmlformats-officedocument.spreadsheetml.customProperty"/>
  <Override PartName="/xl/drawings/drawing8.xml" ContentType="application/vnd.openxmlformats-officedocument.drawing+xml"/>
  <Override PartName="/xl/customProperty55.bin" ContentType="application/vnd.openxmlformats-officedocument.spreadsheetml.customProperty"/>
  <Override PartName="/xl/drawings/drawing9.xml" ContentType="application/vnd.openxmlformats-officedocument.drawing+xml"/>
  <Override PartName="/xl/customProperty56.bin" ContentType="application/vnd.openxmlformats-officedocument.spreadsheetml.customProperty"/>
  <Override PartName="/xl/drawings/drawing10.xml" ContentType="application/vnd.openxmlformats-officedocument.drawing+xml"/>
  <Override PartName="/xl/customProperty57.bin" ContentType="application/vnd.openxmlformats-officedocument.spreadsheetml.customProperty"/>
  <Override PartName="/xl/drawings/drawing11.xml" ContentType="application/vnd.openxmlformats-officedocument.drawing+xml"/>
  <Override PartName="/xl/customProperty58.bin" ContentType="application/vnd.openxmlformats-officedocument.spreadsheetml.customProperty"/>
  <Override PartName="/xl/drawings/drawing12.xml" ContentType="application/vnd.openxmlformats-officedocument.drawing+xml"/>
  <Override PartName="/xl/customProperty59.bin" ContentType="application/vnd.openxmlformats-officedocument.spreadsheetml.customProperty"/>
  <Override PartName="/xl/drawings/drawing13.xml" ContentType="application/vnd.openxmlformats-officedocument.drawing+xml"/>
  <Override PartName="/xl/customProperty60.bin" ContentType="application/vnd.openxmlformats-officedocument.spreadsheetml.customProperty"/>
  <Override PartName="/xl/drawings/drawing14.xml" ContentType="application/vnd.openxmlformats-officedocument.drawing+xml"/>
  <Override PartName="/xl/customProperty61.bin" ContentType="application/vnd.openxmlformats-officedocument.spreadsheetml.customProperty"/>
  <Override PartName="/xl/drawings/drawing15.xml" ContentType="application/vnd.openxmlformats-officedocument.drawing+xml"/>
  <Override PartName="/xl/customProperty62.bin" ContentType="application/vnd.openxmlformats-officedocument.spreadsheetml.customProperty"/>
  <Override PartName="/xl/drawings/drawing16.xml" ContentType="application/vnd.openxmlformats-officedocument.drawing+xml"/>
  <Override PartName="/xl/customProperty63.bin" ContentType="application/vnd.openxmlformats-officedocument.spreadsheetml.customProperty"/>
  <Override PartName="/xl/drawings/drawing17.xml" ContentType="application/vnd.openxmlformats-officedocument.drawing+xml"/>
  <Override PartName="/xl/customProperty64.bin" ContentType="application/vnd.openxmlformats-officedocument.spreadsheetml.customProperty"/>
  <Override PartName="/xl/drawings/drawing18.xml" ContentType="application/vnd.openxmlformats-officedocument.drawing+xml"/>
  <Override PartName="/xl/customProperty65.bin" ContentType="application/vnd.openxmlformats-officedocument.spreadsheetml.customProperty"/>
  <Override PartName="/xl/drawings/drawing19.xml" ContentType="application/vnd.openxmlformats-officedocument.drawing+xml"/>
  <Override PartName="/xl/customProperty66.bin" ContentType="application/vnd.openxmlformats-officedocument.spreadsheetml.customProperty"/>
  <Override PartName="/xl/drawings/drawing20.xml" ContentType="application/vnd.openxmlformats-officedocument.drawing+xml"/>
  <Override PartName="/xl/customProperty67.bin" ContentType="application/vnd.openxmlformats-officedocument.spreadsheetml.customProperty"/>
  <Override PartName="/xl/drawings/drawing21.xml" ContentType="application/vnd.openxmlformats-officedocument.drawing+xml"/>
  <Override PartName="/xl/customProperty68.bin" ContentType="application/vnd.openxmlformats-officedocument.spreadsheetml.customProperty"/>
  <Override PartName="/xl/drawings/drawing22.xml" ContentType="application/vnd.openxmlformats-officedocument.drawing+xml"/>
  <Override PartName="/xl/customProperty69.bin" ContentType="application/vnd.openxmlformats-officedocument.spreadsheetml.customProperty"/>
  <Override PartName="/xl/drawings/drawing23.xml" ContentType="application/vnd.openxmlformats-officedocument.drawing+xml"/>
  <Override PartName="/xl/customProperty70.bin" ContentType="application/vnd.openxmlformats-officedocument.spreadsheetml.customProperty"/>
  <Override PartName="/xl/drawings/drawing24.xml" ContentType="application/vnd.openxmlformats-officedocument.drawing+xml"/>
  <Override PartName="/xl/customProperty71.bin" ContentType="application/vnd.openxmlformats-officedocument.spreadsheetml.customProperty"/>
  <Override PartName="/xl/drawings/drawing25.xml" ContentType="application/vnd.openxmlformats-officedocument.drawing+xml"/>
  <Override PartName="/xl/customProperty72.bin" ContentType="application/vnd.openxmlformats-officedocument.spreadsheetml.customProperty"/>
  <Override PartName="/xl/drawings/drawing26.xml" ContentType="application/vnd.openxmlformats-officedocument.drawing+xml"/>
  <Override PartName="/xl/customProperty73.bin" ContentType="application/vnd.openxmlformats-officedocument.spreadsheetml.customProperty"/>
  <Override PartName="/xl/drawings/drawing27.xml" ContentType="application/vnd.openxmlformats-officedocument.drawing+xml"/>
  <Override PartName="/xl/customProperty74.bin" ContentType="application/vnd.openxmlformats-officedocument.spreadsheetml.customProperty"/>
  <Override PartName="/xl/drawings/drawing28.xml" ContentType="application/vnd.openxmlformats-officedocument.drawing+xml"/>
  <Override PartName="/xl/customProperty75.bin" ContentType="application/vnd.openxmlformats-officedocument.spreadsheetml.customProperty"/>
  <Override PartName="/xl/drawings/drawing29.xml" ContentType="application/vnd.openxmlformats-officedocument.drawing+xml"/>
  <Override PartName="/xl/customProperty76.bin" ContentType="application/vnd.openxmlformats-officedocument.spreadsheetml.customProperty"/>
  <Override PartName="/xl/drawings/drawing30.xml" ContentType="application/vnd.openxmlformats-officedocument.drawing+xml"/>
  <Override PartName="/xl/customProperty77.bin" ContentType="application/vnd.openxmlformats-officedocument.spreadsheetml.customProperty"/>
  <Override PartName="/xl/drawings/drawing31.xml" ContentType="application/vnd.openxmlformats-officedocument.drawing+xml"/>
  <Override PartName="/xl/customProperty78.bin" ContentType="application/vnd.openxmlformats-officedocument.spreadsheetml.customProperty"/>
  <Override PartName="/xl/drawings/drawing32.xml" ContentType="application/vnd.openxmlformats-officedocument.drawing+xml"/>
  <Override PartName="/xl/customProperty79.bin" ContentType="application/vnd.openxmlformats-officedocument.spreadsheetml.customProperty"/>
  <Override PartName="/xl/drawings/drawing33.xml" ContentType="application/vnd.openxmlformats-officedocument.drawing+xml"/>
  <Override PartName="/xl/customProperty80.bin" ContentType="application/vnd.openxmlformats-officedocument.spreadsheetml.customProperty"/>
  <Override PartName="/xl/drawings/drawing34.xml" ContentType="application/vnd.openxmlformats-officedocument.drawing+xml"/>
  <Override PartName="/xl/customProperty81.bin" ContentType="application/vnd.openxmlformats-officedocument.spreadsheetml.customProperty"/>
  <Override PartName="/xl/drawings/drawing35.xml" ContentType="application/vnd.openxmlformats-officedocument.drawing+xml"/>
  <Override PartName="/xl/customProperty82.bin" ContentType="application/vnd.openxmlformats-officedocument.spreadsheetml.customProperty"/>
  <Override PartName="/xl/drawings/drawing36.xml" ContentType="application/vnd.openxmlformats-officedocument.drawing+xml"/>
  <Override PartName="/xl/customProperty83.bin" ContentType="application/vnd.openxmlformats-officedocument.spreadsheetml.customProperty"/>
  <Override PartName="/xl/drawings/drawing37.xml" ContentType="application/vnd.openxmlformats-officedocument.drawing+xml"/>
  <Override PartName="/xl/customProperty84.bin" ContentType="application/vnd.openxmlformats-officedocument.spreadsheetml.customProperty"/>
  <Override PartName="/xl/drawings/drawing38.xml" ContentType="application/vnd.openxmlformats-officedocument.drawing+xml"/>
  <Override PartName="/xl/customProperty85.bin" ContentType="application/vnd.openxmlformats-officedocument.spreadsheetml.customProperty"/>
  <Override PartName="/xl/drawings/drawing39.xml" ContentType="application/vnd.openxmlformats-officedocument.drawing+xml"/>
  <Override PartName="/xl/customProperty86.bin" ContentType="application/vnd.openxmlformats-officedocument.spreadsheetml.customProperty"/>
  <Override PartName="/xl/drawings/drawing40.xml" ContentType="application/vnd.openxmlformats-officedocument.drawing+xml"/>
  <Override PartName="/xl/customProperty87.bin" ContentType="application/vnd.openxmlformats-officedocument.spreadsheetml.customProperty"/>
  <Override PartName="/xl/drawings/drawing41.xml" ContentType="application/vnd.openxmlformats-officedocument.drawing+xml"/>
  <Override PartName="/xl/customProperty88.bin" ContentType="application/vnd.openxmlformats-officedocument.spreadsheetml.customProperty"/>
  <Override PartName="/xl/drawings/drawing42.xml" ContentType="application/vnd.openxmlformats-officedocument.drawing+xml"/>
  <Override PartName="/xl/customProperty89.bin" ContentType="application/vnd.openxmlformats-officedocument.spreadsheetml.customProperty"/>
  <Override PartName="/xl/drawings/drawing43.xml" ContentType="application/vnd.openxmlformats-officedocument.drawing+xml"/>
  <Override PartName="/xl/customProperty90.bin" ContentType="application/vnd.openxmlformats-officedocument.spreadsheetml.customProperty"/>
  <Override PartName="/xl/drawings/drawing4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ropbox\Informes administrativos GN\2020\202012 Diciembre 2020\Pagina Web\"/>
    </mc:Choice>
  </mc:AlternateContent>
  <bookViews>
    <workbookView xWindow="0" yWindow="0" windowWidth="20490" windowHeight="8235" tabRatio="910" firstSheet="84" activeTab="89"/>
  </bookViews>
  <sheets>
    <sheet name="BASICO 2006-trim 04" sheetId="58" r:id="rId1"/>
    <sheet name="Consolidado 2006-trim 04" sheetId="59" r:id="rId2"/>
    <sheet name="BASICO 2007-trim 1" sheetId="56" r:id="rId3"/>
    <sheet name="Consolidado 2007-trim 1" sheetId="57" r:id="rId4"/>
    <sheet name="BASICO 2007-trim 2" sheetId="54" r:id="rId5"/>
    <sheet name="Consolidado 2007-trim 2" sheetId="55" r:id="rId6"/>
    <sheet name="BASICO 2007-trim 3" sheetId="53" r:id="rId7"/>
    <sheet name="Consolidado 2007-trim 3" sheetId="48" r:id="rId8"/>
    <sheet name="BASICO 2007-trim 4" sheetId="52" r:id="rId9"/>
    <sheet name="Consolidado 2007-trim 4" sheetId="47" r:id="rId10"/>
    <sheet name="BASICO 2008-trim 1" sheetId="51" r:id="rId11"/>
    <sheet name="Consolidado 2008-trim 1" sheetId="45" r:id="rId12"/>
    <sheet name="BASICO 2008-trim 2" sheetId="49" r:id="rId13"/>
    <sheet name="Consolidado 2008-trim 2" sheetId="43" r:id="rId14"/>
    <sheet name="BASICO 2008-trim 3" sheetId="50" r:id="rId15"/>
    <sheet name="Consolidado 2008-trim 3" sheetId="46" r:id="rId16"/>
    <sheet name="BASICO 2008-trim 4" sheetId="61" r:id="rId17"/>
    <sheet name="Consolidado 2008-trim 4" sheetId="60" r:id="rId18"/>
    <sheet name="BASICO 2009-trim 1" sheetId="63" r:id="rId19"/>
    <sheet name="Consolidado 2009-trim 1 " sheetId="64" r:id="rId20"/>
    <sheet name="BASICO 2009-trim 2" sheetId="66" r:id="rId21"/>
    <sheet name="Consolidado 2009-trim 2" sheetId="67" r:id="rId22"/>
    <sheet name="BASICO 2009-trim 3" sheetId="68" r:id="rId23"/>
    <sheet name="Consolidado 2009-trim 3" sheetId="70" r:id="rId24"/>
    <sheet name="BASICO 2009-trim 4" sheetId="71" r:id="rId25"/>
    <sheet name="Consolidado 2009 trim 4" sheetId="65" r:id="rId26"/>
    <sheet name="BASICO 2010-trim 1 " sheetId="72" r:id="rId27"/>
    <sheet name="Consolidado 2010-trim 1" sheetId="73" r:id="rId28"/>
    <sheet name="BASICO 2010-trim 2 " sheetId="74" r:id="rId29"/>
    <sheet name="Consolidado 2010-trim 2" sheetId="75" r:id="rId30"/>
    <sheet name="BASICO 2010-trim 3 " sheetId="76" r:id="rId31"/>
    <sheet name="Consolidado 2010-trim 3" sheetId="77" r:id="rId32"/>
    <sheet name="BASICO 2010-trim 4" sheetId="78" r:id="rId33"/>
    <sheet name="Consolidado 2010 trim 4 " sheetId="79" r:id="rId34"/>
    <sheet name="BASICO 2011-trim 1" sheetId="83" r:id="rId35"/>
    <sheet name="Consolidado 2011-trim 1" sheetId="84" r:id="rId36"/>
    <sheet name="BASICO 2011-trim 2" sheetId="85" r:id="rId37"/>
    <sheet name="Consolidado 2011-trim 2" sheetId="86" r:id="rId38"/>
    <sheet name="BASICO 2011-trim 3" sheetId="88" r:id="rId39"/>
    <sheet name="Consolidado 2011-trim 3" sheetId="87" r:id="rId40"/>
    <sheet name="BASICO 2011-TRIM 4" sheetId="69" r:id="rId41"/>
    <sheet name="Consolidado 2011-trim 4" sheetId="80" r:id="rId42"/>
    <sheet name="BASICO 2012-trim 1" sheetId="90" r:id="rId43"/>
    <sheet name="Consolidado 2012-trim 1 " sheetId="89" r:id="rId44"/>
    <sheet name="BASICO 2012- trim 2" sheetId="82" r:id="rId45"/>
    <sheet name="Consolidado 2012-trim 2" sheetId="91" r:id="rId46"/>
    <sheet name="BASICO 2012- trim 3" sheetId="92" r:id="rId47"/>
    <sheet name="Consolidado 2012-trim 3" sheetId="93" r:id="rId48"/>
    <sheet name="BASICO 2012-trim 4" sheetId="94" r:id="rId49"/>
    <sheet name="consolidado 2012-trim 4" sheetId="95" r:id="rId50"/>
    <sheet name="BASICO 2013-TRIM 1" sheetId="96" r:id="rId51"/>
    <sheet name="CONSOLIDADO 2013-TRIM 1" sheetId="97" r:id="rId52"/>
    <sheet name="BASICO 2013-TRIM 2" sheetId="100" r:id="rId53"/>
    <sheet name="CONSOLIDADO 2013-TRIM 2" sheetId="99" r:id="rId54"/>
    <sheet name="BASICO 2013-TRIM 3" sheetId="98" r:id="rId55"/>
    <sheet name="CONSOLIDADO 2013-TRIM 3" sheetId="101" r:id="rId56"/>
    <sheet name="BASICO 2013-TRIM 4" sheetId="102" r:id="rId57"/>
    <sheet name="CONSOLIDADO 2013-TRIM 4" sheetId="103" r:id="rId58"/>
    <sheet name="BASICO 2014-TRIM 1 " sheetId="105" r:id="rId59"/>
    <sheet name="CONSOLIDADO 2014-TRIM 1" sheetId="104" r:id="rId60"/>
    <sheet name="BASICO 2014-TRIM 2" sheetId="106" r:id="rId61"/>
    <sheet name="CONSOLIDADO 2014-TRIM 2" sheetId="107" r:id="rId62"/>
    <sheet name="BASICO 2014-TRIM 3" sheetId="108" r:id="rId63"/>
    <sheet name="CONSOLIDADO 2014-TRIM 3" sheetId="109" r:id="rId64"/>
    <sheet name="BASICO 2014-TRIM 4" sheetId="110" r:id="rId65"/>
    <sheet name="CONSOLIDADO 2014-TRIM 4" sheetId="111" r:id="rId66"/>
    <sheet name="consolidado 2015- trim 1" sheetId="120" r:id="rId67"/>
    <sheet name="consolidado 2015- trim 2" sheetId="121" r:id="rId68"/>
    <sheet name="consolidado 2015- trim 3" sheetId="122" r:id="rId69"/>
    <sheet name="consolidado 2015- trim 4" sheetId="123" r:id="rId70"/>
    <sheet name="consolidado 2016- trim 1" sheetId="124" r:id="rId71"/>
    <sheet name="consolidado 2016- trim 2" sheetId="125" r:id="rId72"/>
    <sheet name="consolidado 2016- trim 3" sheetId="126" r:id="rId73"/>
    <sheet name="consolidado 2016- trim 4" sheetId="127" r:id="rId74"/>
    <sheet name="consolidado 2017- trim 1" sheetId="128" r:id="rId75"/>
    <sheet name="consolidado 2017- trim 2" sheetId="129" r:id="rId76"/>
    <sheet name="consolidado 2017- trim 3" sheetId="130" r:id="rId77"/>
    <sheet name="consolidado 2017- trim 4" sheetId="131" r:id="rId78"/>
    <sheet name="consolidado 2018- trim 1 " sheetId="132" r:id="rId79"/>
    <sheet name="consolidado 2018- trim 2" sheetId="133" r:id="rId80"/>
    <sheet name="consolidado 2018- trim 3" sheetId="134" r:id="rId81"/>
    <sheet name="consolidado 2018- trim 4" sheetId="135" r:id="rId82"/>
    <sheet name="consolidado 2019- trim 1" sheetId="136" r:id="rId83"/>
    <sheet name="consolidado 2019- trim 2" sheetId="137" r:id="rId84"/>
    <sheet name="consolidado 2019- trim3" sheetId="138" r:id="rId85"/>
    <sheet name="consolidado 2019- trim4" sheetId="139" r:id="rId86"/>
    <sheet name="consolidado 2020- trim 1" sheetId="140" r:id="rId87"/>
    <sheet name="consolidado 2020- trim 2" sheetId="141" r:id="rId88"/>
    <sheet name="consolidado 2020- trim 3" sheetId="142" r:id="rId89"/>
    <sheet name="consolidado 2020- trim 4" sheetId="143" r:id="rId90"/>
  </sheets>
  <externalReferences>
    <externalReference r:id="rId91"/>
  </externalReferences>
  <definedNames>
    <definedName name="_ac93" localSheetId="8">#REF!</definedName>
    <definedName name="_ac93" localSheetId="10">#REF!</definedName>
    <definedName name="_ac93" localSheetId="12">#REF!</definedName>
    <definedName name="_ac93" localSheetId="14">#REF!</definedName>
    <definedName name="_ac93" localSheetId="16">#REF!</definedName>
    <definedName name="_ac93" localSheetId="18">#REF!</definedName>
    <definedName name="_ac93" localSheetId="20">#REF!</definedName>
    <definedName name="_ac93" localSheetId="22">#REF!</definedName>
    <definedName name="_ac93" localSheetId="24">#REF!</definedName>
    <definedName name="_ac93" localSheetId="26">#REF!</definedName>
    <definedName name="_ac93" localSheetId="28">#REF!</definedName>
    <definedName name="_ac93" localSheetId="30">#REF!</definedName>
    <definedName name="_ac93" localSheetId="32">#REF!</definedName>
    <definedName name="_ac93" localSheetId="34">#REF!</definedName>
    <definedName name="_ac93" localSheetId="36">#REF!</definedName>
    <definedName name="_ac93" localSheetId="38">#REF!</definedName>
    <definedName name="_ac93" localSheetId="54">#REF!</definedName>
    <definedName name="_ac93" localSheetId="56">#REF!</definedName>
    <definedName name="_ac93" localSheetId="58">#REF!</definedName>
    <definedName name="_ac93" localSheetId="60">#REF!</definedName>
    <definedName name="_ac93" localSheetId="62">#REF!</definedName>
    <definedName name="_ac93" localSheetId="64">#REF!</definedName>
    <definedName name="_ac93" localSheetId="7">#REF!</definedName>
    <definedName name="_ac93" localSheetId="9">#REF!</definedName>
    <definedName name="_ac93" localSheetId="11">#REF!</definedName>
    <definedName name="_ac93" localSheetId="15">#REF!</definedName>
    <definedName name="_ac93" localSheetId="17">#REF!</definedName>
    <definedName name="_ac93" localSheetId="19">#REF!</definedName>
    <definedName name="_ac93" localSheetId="21">#REF!</definedName>
    <definedName name="_ac93" localSheetId="23">#REF!</definedName>
    <definedName name="_ac93" localSheetId="27">#REF!</definedName>
    <definedName name="_ac93" localSheetId="29">#REF!</definedName>
    <definedName name="_ac93" localSheetId="31">#REF!</definedName>
    <definedName name="_ac93" localSheetId="35">#REF!</definedName>
    <definedName name="_ac93" localSheetId="37">#REF!</definedName>
    <definedName name="_ac93" localSheetId="39">#REF!</definedName>
    <definedName name="_ac93" localSheetId="43">#REF!</definedName>
    <definedName name="_ac93" localSheetId="53">#REF!</definedName>
    <definedName name="_ac93" localSheetId="55">#REF!</definedName>
    <definedName name="_ac93" localSheetId="57">#REF!</definedName>
    <definedName name="_ac93" localSheetId="59">#REF!</definedName>
    <definedName name="_ac93" localSheetId="61">#REF!</definedName>
    <definedName name="_ac93" localSheetId="63">#REF!</definedName>
    <definedName name="_ac93" localSheetId="65">#REF!</definedName>
    <definedName name="_ac93" localSheetId="71">#REF!</definedName>
    <definedName name="_ac93" localSheetId="72">#REF!</definedName>
    <definedName name="_ac93" localSheetId="73">#REF!</definedName>
    <definedName name="_ac93" localSheetId="74">#REF!</definedName>
    <definedName name="_ac93" localSheetId="75">#REF!</definedName>
    <definedName name="_ac93" localSheetId="76">#REF!</definedName>
    <definedName name="_ac93" localSheetId="77">#REF!</definedName>
    <definedName name="_ac93" localSheetId="78">#REF!</definedName>
    <definedName name="_ac93" localSheetId="79">#REF!</definedName>
    <definedName name="_ac93" localSheetId="80">#REF!</definedName>
    <definedName name="_ac93" localSheetId="81">#REF!</definedName>
    <definedName name="_ac93" localSheetId="82">#REF!</definedName>
    <definedName name="_ac93" localSheetId="83">#REF!</definedName>
    <definedName name="_ac93" localSheetId="84">#REF!</definedName>
    <definedName name="_ac93" localSheetId="85">#REF!</definedName>
    <definedName name="_ac93" localSheetId="86">#REF!</definedName>
    <definedName name="_ac93" localSheetId="87">#REF!</definedName>
    <definedName name="_ac93" localSheetId="88">#REF!</definedName>
    <definedName name="_ac93" localSheetId="89">#REF!</definedName>
    <definedName name="_ac93">#REF!</definedName>
    <definedName name="_ac94" localSheetId="8">#REF!</definedName>
    <definedName name="_ac94" localSheetId="10">#REF!</definedName>
    <definedName name="_ac94" localSheetId="12">#REF!</definedName>
    <definedName name="_ac94" localSheetId="14">#REF!</definedName>
    <definedName name="_ac94" localSheetId="16">#REF!</definedName>
    <definedName name="_ac94" localSheetId="18">#REF!</definedName>
    <definedName name="_ac94" localSheetId="20">#REF!</definedName>
    <definedName name="_ac94" localSheetId="22">#REF!</definedName>
    <definedName name="_ac94" localSheetId="24">#REF!</definedName>
    <definedName name="_ac94" localSheetId="26">#REF!</definedName>
    <definedName name="_ac94" localSheetId="28">#REF!</definedName>
    <definedName name="_ac94" localSheetId="30">#REF!</definedName>
    <definedName name="_ac94" localSheetId="32">#REF!</definedName>
    <definedName name="_ac94" localSheetId="34">#REF!</definedName>
    <definedName name="_ac94" localSheetId="36">#REF!</definedName>
    <definedName name="_ac94" localSheetId="38">#REF!</definedName>
    <definedName name="_ac94" localSheetId="54">#REF!</definedName>
    <definedName name="_ac94" localSheetId="56">#REF!</definedName>
    <definedName name="_ac94" localSheetId="58">#REF!</definedName>
    <definedName name="_ac94" localSheetId="60">#REF!</definedName>
    <definedName name="_ac94" localSheetId="62">#REF!</definedName>
    <definedName name="_ac94" localSheetId="64">#REF!</definedName>
    <definedName name="_ac94" localSheetId="7">#REF!</definedName>
    <definedName name="_ac94" localSheetId="9">#REF!</definedName>
    <definedName name="_ac94" localSheetId="11">#REF!</definedName>
    <definedName name="_ac94" localSheetId="15">#REF!</definedName>
    <definedName name="_ac94" localSheetId="17">#REF!</definedName>
    <definedName name="_ac94" localSheetId="19">#REF!</definedName>
    <definedName name="_ac94" localSheetId="21">#REF!</definedName>
    <definedName name="_ac94" localSheetId="23">#REF!</definedName>
    <definedName name="_ac94" localSheetId="27">#REF!</definedName>
    <definedName name="_ac94" localSheetId="29">#REF!</definedName>
    <definedName name="_ac94" localSheetId="31">#REF!</definedName>
    <definedName name="_ac94" localSheetId="35">#REF!</definedName>
    <definedName name="_ac94" localSheetId="37">#REF!</definedName>
    <definedName name="_ac94" localSheetId="39">#REF!</definedName>
    <definedName name="_ac94" localSheetId="43">#REF!</definedName>
    <definedName name="_ac94" localSheetId="53">#REF!</definedName>
    <definedName name="_ac94" localSheetId="55">#REF!</definedName>
    <definedName name="_ac94" localSheetId="57">#REF!</definedName>
    <definedName name="_ac94" localSheetId="59">#REF!</definedName>
    <definedName name="_ac94" localSheetId="61">#REF!</definedName>
    <definedName name="_ac94" localSheetId="63">#REF!</definedName>
    <definedName name="_ac94" localSheetId="65">#REF!</definedName>
    <definedName name="_ac94" localSheetId="71">#REF!</definedName>
    <definedName name="_ac94" localSheetId="72">#REF!</definedName>
    <definedName name="_ac94" localSheetId="73">#REF!</definedName>
    <definedName name="_ac94" localSheetId="74">#REF!</definedName>
    <definedName name="_ac94" localSheetId="75">#REF!</definedName>
    <definedName name="_ac94" localSheetId="76">#REF!</definedName>
    <definedName name="_ac94" localSheetId="77">#REF!</definedName>
    <definedName name="_ac94" localSheetId="78">#REF!</definedName>
    <definedName name="_ac94" localSheetId="79">#REF!</definedName>
    <definedName name="_ac94" localSheetId="80">#REF!</definedName>
    <definedName name="_ac94" localSheetId="81">#REF!</definedName>
    <definedName name="_ac94" localSheetId="82">#REF!</definedName>
    <definedName name="_ac94" localSheetId="83">#REF!</definedName>
    <definedName name="_ac94" localSheetId="84">#REF!</definedName>
    <definedName name="_ac94" localSheetId="85">#REF!</definedName>
    <definedName name="_ac94" localSheetId="86">#REF!</definedName>
    <definedName name="_ac94" localSheetId="87">#REF!</definedName>
    <definedName name="_ac94" localSheetId="88">#REF!</definedName>
    <definedName name="_ac94" localSheetId="89">#REF!</definedName>
    <definedName name="_ac94">#REF!</definedName>
    <definedName name="_GoBack" localSheetId="66">'consolidado 2015- trim 1'!#REF!</definedName>
    <definedName name="_GoBack" localSheetId="67">'consolidado 2015- trim 2'!#REF!</definedName>
    <definedName name="_GoBack" localSheetId="68">'consolidado 2015- trim 3'!#REF!</definedName>
    <definedName name="_GoBack" localSheetId="69">'consolidado 2015- trim 4'!$A$1</definedName>
    <definedName name="_GoBack" localSheetId="70">'consolidado 2016- trim 1'!#REF!</definedName>
    <definedName name="_GoBack" localSheetId="71">'consolidado 2016- trim 2'!#REF!</definedName>
    <definedName name="_GoBack" localSheetId="72">'consolidado 2016- trim 3'!#REF!</definedName>
    <definedName name="_GoBack" localSheetId="73">'consolidado 2016- trim 4'!#REF!</definedName>
    <definedName name="_GoBack" localSheetId="74">'consolidado 2017- trim 1'!#REF!</definedName>
    <definedName name="_GoBack" localSheetId="75">'consolidado 2017- trim 2'!#REF!</definedName>
    <definedName name="_GoBack" localSheetId="76">'consolidado 2017- trim 3'!#REF!</definedName>
    <definedName name="_GoBack" localSheetId="77">'consolidado 2017- trim 4'!#REF!</definedName>
    <definedName name="_GoBack" localSheetId="78">'consolidado 2018- trim 1 '!#REF!</definedName>
    <definedName name="_GoBack" localSheetId="79">'consolidado 2018- trim 2'!#REF!</definedName>
    <definedName name="_GoBack" localSheetId="80">'consolidado 2018- trim 3'!#REF!</definedName>
    <definedName name="_GoBack" localSheetId="81">'consolidado 2018- trim 4'!#REF!</definedName>
    <definedName name="_GoBack" localSheetId="82">'consolidado 2019- trim 1'!#REF!</definedName>
    <definedName name="_GoBack" localSheetId="83">'consolidado 2019- trim 2'!#REF!</definedName>
    <definedName name="_GoBack" localSheetId="84">'consolidado 2019- trim3'!#REF!</definedName>
    <definedName name="_GoBack" localSheetId="85">'consolidado 2019- trim4'!#REF!</definedName>
    <definedName name="_GoBack" localSheetId="86">'consolidado 2020- trim 1'!#REF!</definedName>
    <definedName name="_GoBack" localSheetId="87">'consolidado 2020- trim 2'!#REF!</definedName>
    <definedName name="_GoBack" localSheetId="88">'consolidado 2020- trim 3'!#REF!</definedName>
    <definedName name="_GoBack" localSheetId="89">'consolidado 2020- trim 4'!#REF!</definedName>
    <definedName name="_pat93" localSheetId="8">#REF!</definedName>
    <definedName name="_pat93" localSheetId="10">#REF!</definedName>
    <definedName name="_pat93" localSheetId="12">#REF!</definedName>
    <definedName name="_pat93" localSheetId="14">#REF!</definedName>
    <definedName name="_pat93" localSheetId="16">#REF!</definedName>
    <definedName name="_pat93" localSheetId="18">#REF!</definedName>
    <definedName name="_pat93" localSheetId="20">#REF!</definedName>
    <definedName name="_pat93" localSheetId="22">#REF!</definedName>
    <definedName name="_pat93" localSheetId="24">#REF!</definedName>
    <definedName name="_pat93" localSheetId="26">#REF!</definedName>
    <definedName name="_pat93" localSheetId="28">#REF!</definedName>
    <definedName name="_pat93" localSheetId="30">#REF!</definedName>
    <definedName name="_pat93" localSheetId="32">#REF!</definedName>
    <definedName name="_pat93" localSheetId="34">#REF!</definedName>
    <definedName name="_pat93" localSheetId="36">#REF!</definedName>
    <definedName name="_pat93" localSheetId="38">#REF!</definedName>
    <definedName name="_pat93" localSheetId="54">#REF!</definedName>
    <definedName name="_pat93" localSheetId="56">#REF!</definedName>
    <definedName name="_pat93" localSheetId="58">#REF!</definedName>
    <definedName name="_pat93" localSheetId="60">#REF!</definedName>
    <definedName name="_pat93" localSheetId="62">#REF!</definedName>
    <definedName name="_pat93" localSheetId="64">#REF!</definedName>
    <definedName name="_pat93" localSheetId="7">#REF!</definedName>
    <definedName name="_pat93" localSheetId="9">#REF!</definedName>
    <definedName name="_pat93" localSheetId="11">#REF!</definedName>
    <definedName name="_pat93" localSheetId="15">#REF!</definedName>
    <definedName name="_pat93" localSheetId="17">#REF!</definedName>
    <definedName name="_pat93" localSheetId="19">#REF!</definedName>
    <definedName name="_pat93" localSheetId="21">#REF!</definedName>
    <definedName name="_pat93" localSheetId="23">#REF!</definedName>
    <definedName name="_pat93" localSheetId="27">#REF!</definedName>
    <definedName name="_pat93" localSheetId="29">#REF!</definedName>
    <definedName name="_pat93" localSheetId="31">#REF!</definedName>
    <definedName name="_pat93" localSheetId="35">#REF!</definedName>
    <definedName name="_pat93" localSheetId="37">#REF!</definedName>
    <definedName name="_pat93" localSheetId="39">#REF!</definedName>
    <definedName name="_pat93" localSheetId="43">#REF!</definedName>
    <definedName name="_pat93" localSheetId="53">#REF!</definedName>
    <definedName name="_pat93" localSheetId="55">#REF!</definedName>
    <definedName name="_pat93" localSheetId="57">#REF!</definedName>
    <definedName name="_pat93" localSheetId="59">#REF!</definedName>
    <definedName name="_pat93" localSheetId="61">#REF!</definedName>
    <definedName name="_pat93" localSheetId="63">#REF!</definedName>
    <definedName name="_pat93" localSheetId="65">#REF!</definedName>
    <definedName name="_pat93" localSheetId="71">#REF!</definedName>
    <definedName name="_pat93" localSheetId="72">#REF!</definedName>
    <definedName name="_pat93" localSheetId="73">#REF!</definedName>
    <definedName name="_pat93" localSheetId="74">#REF!</definedName>
    <definedName name="_pat93" localSheetId="75">#REF!</definedName>
    <definedName name="_pat93" localSheetId="76">#REF!</definedName>
    <definedName name="_pat93" localSheetId="77">#REF!</definedName>
    <definedName name="_pat93" localSheetId="78">#REF!</definedName>
    <definedName name="_pat93" localSheetId="79">#REF!</definedName>
    <definedName name="_pat93" localSheetId="80">#REF!</definedName>
    <definedName name="_pat93" localSheetId="81">#REF!</definedName>
    <definedName name="_pat93" localSheetId="82">#REF!</definedName>
    <definedName name="_pat93" localSheetId="83">#REF!</definedName>
    <definedName name="_pat93" localSheetId="84">#REF!</definedName>
    <definedName name="_pat93" localSheetId="85">#REF!</definedName>
    <definedName name="_pat93" localSheetId="86">#REF!</definedName>
    <definedName name="_pat93" localSheetId="87">#REF!</definedName>
    <definedName name="_pat93" localSheetId="88">#REF!</definedName>
    <definedName name="_pat93" localSheetId="89">#REF!</definedName>
    <definedName name="_pat93">#REF!</definedName>
    <definedName name="_pat94" localSheetId="8">#REF!</definedName>
    <definedName name="_pat94" localSheetId="10">#REF!</definedName>
    <definedName name="_pat94" localSheetId="12">#REF!</definedName>
    <definedName name="_pat94" localSheetId="14">#REF!</definedName>
    <definedName name="_pat94" localSheetId="16">#REF!</definedName>
    <definedName name="_pat94" localSheetId="18">#REF!</definedName>
    <definedName name="_pat94" localSheetId="20">#REF!</definedName>
    <definedName name="_pat94" localSheetId="22">#REF!</definedName>
    <definedName name="_pat94" localSheetId="24">#REF!</definedName>
    <definedName name="_pat94" localSheetId="26">#REF!</definedName>
    <definedName name="_pat94" localSheetId="28">#REF!</definedName>
    <definedName name="_pat94" localSheetId="30">#REF!</definedName>
    <definedName name="_pat94" localSheetId="32">#REF!</definedName>
    <definedName name="_pat94" localSheetId="34">#REF!</definedName>
    <definedName name="_pat94" localSheetId="36">#REF!</definedName>
    <definedName name="_pat94" localSheetId="38">#REF!</definedName>
    <definedName name="_pat94" localSheetId="54">#REF!</definedName>
    <definedName name="_pat94" localSheetId="56">#REF!</definedName>
    <definedName name="_pat94" localSheetId="58">#REF!</definedName>
    <definedName name="_pat94" localSheetId="60">#REF!</definedName>
    <definedName name="_pat94" localSheetId="62">#REF!</definedName>
    <definedName name="_pat94" localSheetId="64">#REF!</definedName>
    <definedName name="_pat94" localSheetId="7">#REF!</definedName>
    <definedName name="_pat94" localSheetId="9">#REF!</definedName>
    <definedName name="_pat94" localSheetId="11">#REF!</definedName>
    <definedName name="_pat94" localSheetId="15">#REF!</definedName>
    <definedName name="_pat94" localSheetId="17">#REF!</definedName>
    <definedName name="_pat94" localSheetId="19">#REF!</definedName>
    <definedName name="_pat94" localSheetId="21">#REF!</definedName>
    <definedName name="_pat94" localSheetId="23">#REF!</definedName>
    <definedName name="_pat94" localSheetId="27">#REF!</definedName>
    <definedName name="_pat94" localSheetId="29">#REF!</definedName>
    <definedName name="_pat94" localSheetId="31">#REF!</definedName>
    <definedName name="_pat94" localSheetId="35">#REF!</definedName>
    <definedName name="_pat94" localSheetId="37">#REF!</definedName>
    <definedName name="_pat94" localSheetId="39">#REF!</definedName>
    <definedName name="_pat94" localSheetId="43">#REF!</definedName>
    <definedName name="_pat94" localSheetId="53">#REF!</definedName>
    <definedName name="_pat94" localSheetId="55">#REF!</definedName>
    <definedName name="_pat94" localSheetId="57">#REF!</definedName>
    <definedName name="_pat94" localSheetId="59">#REF!</definedName>
    <definedName name="_pat94" localSheetId="61">#REF!</definedName>
    <definedName name="_pat94" localSheetId="63">#REF!</definedName>
    <definedName name="_pat94" localSheetId="65">#REF!</definedName>
    <definedName name="_pat94" localSheetId="71">#REF!</definedName>
    <definedName name="_pat94" localSheetId="72">#REF!</definedName>
    <definedName name="_pat94" localSheetId="73">#REF!</definedName>
    <definedName name="_pat94" localSheetId="74">#REF!</definedName>
    <definedName name="_pat94" localSheetId="75">#REF!</definedName>
    <definedName name="_pat94" localSheetId="76">#REF!</definedName>
    <definedName name="_pat94" localSheetId="77">#REF!</definedName>
    <definedName name="_pat94" localSheetId="78">#REF!</definedName>
    <definedName name="_pat94" localSheetId="79">#REF!</definedName>
    <definedName name="_pat94" localSheetId="80">#REF!</definedName>
    <definedName name="_pat94" localSheetId="81">#REF!</definedName>
    <definedName name="_pat94" localSheetId="82">#REF!</definedName>
    <definedName name="_pat94" localSheetId="83">#REF!</definedName>
    <definedName name="_pat94" localSheetId="84">#REF!</definedName>
    <definedName name="_pat94" localSheetId="85">#REF!</definedName>
    <definedName name="_pat94" localSheetId="86">#REF!</definedName>
    <definedName name="_pat94" localSheetId="87">#REF!</definedName>
    <definedName name="_pat94" localSheetId="88">#REF!</definedName>
    <definedName name="_pat94" localSheetId="89">#REF!</definedName>
    <definedName name="_pat94">#REF!</definedName>
    <definedName name="A" localSheetId="24">#REF!</definedName>
    <definedName name="A" localSheetId="30">#REF!</definedName>
    <definedName name="A" localSheetId="32">#REF!</definedName>
    <definedName name="A" localSheetId="38">#REF!</definedName>
    <definedName name="A" localSheetId="54">#REF!</definedName>
    <definedName name="A" localSheetId="56">#REF!</definedName>
    <definedName name="A" localSheetId="58">#REF!</definedName>
    <definedName name="A" localSheetId="60">#REF!</definedName>
    <definedName name="A" localSheetId="62">#REF!</definedName>
    <definedName name="A" localSheetId="64">#REF!</definedName>
    <definedName name="A" localSheetId="23">#REF!</definedName>
    <definedName name="A" localSheetId="31">#REF!</definedName>
    <definedName name="A" localSheetId="39">#REF!</definedName>
    <definedName name="A" localSheetId="43">#REF!</definedName>
    <definedName name="A" localSheetId="53">#REF!</definedName>
    <definedName name="A" localSheetId="55">#REF!</definedName>
    <definedName name="A" localSheetId="57">#REF!</definedName>
    <definedName name="A" localSheetId="59">#REF!</definedName>
    <definedName name="A" localSheetId="61">#REF!</definedName>
    <definedName name="A" localSheetId="63">#REF!</definedName>
    <definedName name="A" localSheetId="65">#REF!</definedName>
    <definedName name="A" localSheetId="71">#REF!</definedName>
    <definedName name="A" localSheetId="72">#REF!</definedName>
    <definedName name="A" localSheetId="73">#REF!</definedName>
    <definedName name="A" localSheetId="74">#REF!</definedName>
    <definedName name="A" localSheetId="75">#REF!</definedName>
    <definedName name="A" localSheetId="76">#REF!</definedName>
    <definedName name="A" localSheetId="77">#REF!</definedName>
    <definedName name="A" localSheetId="78">#REF!</definedName>
    <definedName name="A" localSheetId="79">#REF!</definedName>
    <definedName name="A" localSheetId="80">#REF!</definedName>
    <definedName name="A" localSheetId="81">#REF!</definedName>
    <definedName name="A" localSheetId="82">#REF!</definedName>
    <definedName name="A" localSheetId="83">#REF!</definedName>
    <definedName name="A" localSheetId="84">#REF!</definedName>
    <definedName name="A" localSheetId="85">#REF!</definedName>
    <definedName name="A" localSheetId="86">#REF!</definedName>
    <definedName name="A" localSheetId="87">#REF!</definedName>
    <definedName name="A" localSheetId="88">#REF!</definedName>
    <definedName name="A" localSheetId="89">#REF!</definedName>
    <definedName name="A">#REF!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_xlnm.Print_Area" localSheetId="8">'BASICO 2007-trim 4'!$A$1:$D$42</definedName>
    <definedName name="_xlnm.Print_Area" localSheetId="10">'BASICO 2008-trim 1'!$A$1:$D$42</definedName>
    <definedName name="_xlnm.Print_Area" localSheetId="12">'BASICO 2008-trim 2'!$A$1:$D$43</definedName>
    <definedName name="_xlnm.Print_Area" localSheetId="14">'BASICO 2008-trim 3'!$A$1:$E$43</definedName>
    <definedName name="_xlnm.Print_Area" localSheetId="16">'BASICO 2008-trim 4'!$A$1:$E$42</definedName>
    <definedName name="_xlnm.Print_Area" localSheetId="18">'BASICO 2009-trim 1'!$A$1:$D$42</definedName>
    <definedName name="_xlnm.Print_Area" localSheetId="20">'BASICO 2009-trim 2'!$A$1:$D$43</definedName>
    <definedName name="_xlnm.Print_Area" localSheetId="22">'BASICO 2009-trim 3'!$A$1:$D$44</definedName>
    <definedName name="_xlnm.Print_Area" localSheetId="24">'BASICO 2009-trim 4'!$A$1:$D$44</definedName>
    <definedName name="_xlnm.Print_Area" localSheetId="26">'BASICO 2010-trim 1 '!$A$1:$D$42</definedName>
    <definedName name="_xlnm.Print_Area" localSheetId="28">'BASICO 2010-trim 2 '!$A$1:$D$43</definedName>
    <definedName name="_xlnm.Print_Area" localSheetId="30">'BASICO 2010-trim 3 '!$A$1:$D$44</definedName>
    <definedName name="_xlnm.Print_Area" localSheetId="32">'BASICO 2010-trim 4'!$A$1:$D$44</definedName>
    <definedName name="_xlnm.Print_Area" localSheetId="34">'BASICO 2011-trim 1'!$A$1:$D$42</definedName>
    <definedName name="_xlnm.Print_Area" localSheetId="36">'BASICO 2011-trim 2'!$A$1:$D$43</definedName>
    <definedName name="_xlnm.Print_Area" localSheetId="38">'BASICO 2011-trim 3'!$A$1:$D$43</definedName>
    <definedName name="_xlnm.Print_Area" localSheetId="46">'BASICO 2012- trim 3'!$A$1:$D$49</definedName>
    <definedName name="_xlnm.Print_Area" localSheetId="7">'Consolidado 2007-trim 3'!$A$1:$F$57</definedName>
    <definedName name="_xlnm.Print_Area" localSheetId="9">'Consolidado 2007-trim 4'!$A$44:$C$50</definedName>
    <definedName name="_xlnm.Print_Area" localSheetId="11">'Consolidado 2008-trim 1'!$A$1:$F$57</definedName>
    <definedName name="_xlnm.Print_Area" localSheetId="13">'Consolidado 2008-trim 2'!$A$1:$F$57</definedName>
    <definedName name="_xlnm.Print_Area" localSheetId="15">'Consolidado 2008-trim 3'!$A$1:$F$57</definedName>
    <definedName name="_xlnm.Print_Area" localSheetId="17">'Consolidado 2008-trim 4'!$A$1:$F$57</definedName>
    <definedName name="_xlnm.Print_Area" localSheetId="19">'Consolidado 2009-trim 1 '!$A$1:$F$57</definedName>
    <definedName name="_xlnm.Print_Area" localSheetId="21">'Consolidado 2009-trim 2'!$A$1:$F$57</definedName>
    <definedName name="_xlnm.Print_Area" localSheetId="23">'Consolidado 2009-trim 3'!$A$1:$F$57</definedName>
    <definedName name="_xlnm.Print_Area" localSheetId="27">'Consolidado 2010-trim 1'!$A$1:$F$57</definedName>
    <definedName name="_xlnm.Print_Area" localSheetId="29">'Consolidado 2010-trim 2'!$A$1:$F$57</definedName>
    <definedName name="_xlnm.Print_Area" localSheetId="31">'Consolidado 2010-trim 3'!$A$1:$F$57</definedName>
    <definedName name="_xlnm.Print_Area" localSheetId="35">'Consolidado 2011-trim 1'!$A$1:$F$58</definedName>
    <definedName name="_xlnm.Print_Area" localSheetId="37">'Consolidado 2011-trim 2'!$A$1:$F$58</definedName>
    <definedName name="_xlnm.Print_Area" localSheetId="39">'Consolidado 2011-trim 3'!$A$1:$F$58</definedName>
    <definedName name="_xlnm.Print_Area" localSheetId="43">'Consolidado 2012-trim 1 '!$A$1:$F$58</definedName>
    <definedName name="_xlnm.Print_Area" localSheetId="47">'Consolidado 2012-trim 3'!$A$1:$F$61</definedName>
    <definedName name="Historicos" localSheetId="22">#REF!</definedName>
    <definedName name="Historicos" localSheetId="24">#REF!</definedName>
    <definedName name="Historicos" localSheetId="30">#REF!</definedName>
    <definedName name="Historicos" localSheetId="32">#REF!</definedName>
    <definedName name="Historicos" localSheetId="38">#REF!</definedName>
    <definedName name="Historicos" localSheetId="54">#REF!</definedName>
    <definedName name="Historicos" localSheetId="56">#REF!</definedName>
    <definedName name="Historicos" localSheetId="58">#REF!</definedName>
    <definedName name="Historicos" localSheetId="60">#REF!</definedName>
    <definedName name="Historicos" localSheetId="62">#REF!</definedName>
    <definedName name="Historicos" localSheetId="64">#REF!</definedName>
    <definedName name="Historicos" localSheetId="23">#REF!</definedName>
    <definedName name="Historicos" localSheetId="31">#REF!</definedName>
    <definedName name="Historicos" localSheetId="39">#REF!</definedName>
    <definedName name="Historicos" localSheetId="43">#REF!</definedName>
    <definedName name="Historicos" localSheetId="53">#REF!</definedName>
    <definedName name="Historicos" localSheetId="55">#REF!</definedName>
    <definedName name="Historicos" localSheetId="57">#REF!</definedName>
    <definedName name="Historicos" localSheetId="59">#REF!</definedName>
    <definedName name="Historicos" localSheetId="61">#REF!</definedName>
    <definedName name="Historicos" localSheetId="63">#REF!</definedName>
    <definedName name="Historicos" localSheetId="65">#REF!</definedName>
    <definedName name="Historicos" localSheetId="71">#REF!</definedName>
    <definedName name="Historicos" localSheetId="72">#REF!</definedName>
    <definedName name="Historicos" localSheetId="73">#REF!</definedName>
    <definedName name="Historicos" localSheetId="74">#REF!</definedName>
    <definedName name="Historicos" localSheetId="75">#REF!</definedName>
    <definedName name="Historicos" localSheetId="76">#REF!</definedName>
    <definedName name="Historicos" localSheetId="77">#REF!</definedName>
    <definedName name="Historicos" localSheetId="78">#REF!</definedName>
    <definedName name="Historicos" localSheetId="79">#REF!</definedName>
    <definedName name="Historicos" localSheetId="80">#REF!</definedName>
    <definedName name="Historicos" localSheetId="81">#REF!</definedName>
    <definedName name="Historicos" localSheetId="82">#REF!</definedName>
    <definedName name="Historicos" localSheetId="83">#REF!</definedName>
    <definedName name="Historicos" localSheetId="84">#REF!</definedName>
    <definedName name="Historicos" localSheetId="85">#REF!</definedName>
    <definedName name="Historicos" localSheetId="86">#REF!</definedName>
    <definedName name="Historicos" localSheetId="87">#REF!</definedName>
    <definedName name="Historicos" localSheetId="88">#REF!</definedName>
    <definedName name="Historicos" localSheetId="89">#REF!</definedName>
    <definedName name="Historicos">#REF!</definedName>
    <definedName name="ingresosoperacionales2003">[1]pg032004!$C$16</definedName>
    <definedName name="n" localSheetId="22">#REF!</definedName>
    <definedName name="n" localSheetId="24">#REF!</definedName>
    <definedName name="n" localSheetId="30">#REF!</definedName>
    <definedName name="n" localSheetId="32">#REF!</definedName>
    <definedName name="n" localSheetId="38">#REF!</definedName>
    <definedName name="n" localSheetId="54">#REF!</definedName>
    <definedName name="n" localSheetId="56">#REF!</definedName>
    <definedName name="n" localSheetId="58">#REF!</definedName>
    <definedName name="n" localSheetId="60">#REF!</definedName>
    <definedName name="n" localSheetId="62">#REF!</definedName>
    <definedName name="n" localSheetId="64">#REF!</definedName>
    <definedName name="n" localSheetId="23">#REF!</definedName>
    <definedName name="n" localSheetId="31">#REF!</definedName>
    <definedName name="n" localSheetId="39">#REF!</definedName>
    <definedName name="n" localSheetId="43">#REF!</definedName>
    <definedName name="n" localSheetId="53">#REF!</definedName>
    <definedName name="n" localSheetId="55">#REF!</definedName>
    <definedName name="n" localSheetId="57">#REF!</definedName>
    <definedName name="n" localSheetId="59">#REF!</definedName>
    <definedName name="n" localSheetId="61">#REF!</definedName>
    <definedName name="n" localSheetId="63">#REF!</definedName>
    <definedName name="n" localSheetId="65">#REF!</definedName>
    <definedName name="n" localSheetId="71">#REF!</definedName>
    <definedName name="n" localSheetId="72">#REF!</definedName>
    <definedName name="n" localSheetId="73">#REF!</definedName>
    <definedName name="n" localSheetId="74">#REF!</definedName>
    <definedName name="n" localSheetId="75">#REF!</definedName>
    <definedName name="n" localSheetId="76">#REF!</definedName>
    <definedName name="n" localSheetId="77">#REF!</definedName>
    <definedName name="n" localSheetId="78">#REF!</definedName>
    <definedName name="n" localSheetId="79">#REF!</definedName>
    <definedName name="n" localSheetId="80">#REF!</definedName>
    <definedName name="n" localSheetId="81">#REF!</definedName>
    <definedName name="n" localSheetId="82">#REF!</definedName>
    <definedName name="n" localSheetId="83">#REF!</definedName>
    <definedName name="n" localSheetId="84">#REF!</definedName>
    <definedName name="n" localSheetId="85">#REF!</definedName>
    <definedName name="n" localSheetId="86">#REF!</definedName>
    <definedName name="n" localSheetId="87">#REF!</definedName>
    <definedName name="n" localSheetId="88">#REF!</definedName>
    <definedName name="n" localSheetId="89">#REF!</definedName>
    <definedName name="n">#REF!</definedName>
    <definedName name="P" localSheetId="8">#REF!</definedName>
    <definedName name="P" localSheetId="10">#REF!</definedName>
    <definedName name="P" localSheetId="12">#REF!</definedName>
    <definedName name="P" localSheetId="14">#REF!</definedName>
    <definedName name="P" localSheetId="16">#REF!</definedName>
    <definedName name="P" localSheetId="18">#REF!</definedName>
    <definedName name="P" localSheetId="20">#REF!</definedName>
    <definedName name="P" localSheetId="22">#REF!</definedName>
    <definedName name="P" localSheetId="24">#REF!</definedName>
    <definedName name="P" localSheetId="26">#REF!</definedName>
    <definedName name="P" localSheetId="28">#REF!</definedName>
    <definedName name="P" localSheetId="30">#REF!</definedName>
    <definedName name="P" localSheetId="32">#REF!</definedName>
    <definedName name="P" localSheetId="34">#REF!</definedName>
    <definedName name="P" localSheetId="36">#REF!</definedName>
    <definedName name="P" localSheetId="38">#REF!</definedName>
    <definedName name="P" localSheetId="54">#REF!</definedName>
    <definedName name="P" localSheetId="56">#REF!</definedName>
    <definedName name="P" localSheetId="58">#REF!</definedName>
    <definedName name="P" localSheetId="60">#REF!</definedName>
    <definedName name="P" localSheetId="62">#REF!</definedName>
    <definedName name="P" localSheetId="64">#REF!</definedName>
    <definedName name="P" localSheetId="7">#REF!</definedName>
    <definedName name="P" localSheetId="9">#REF!</definedName>
    <definedName name="P" localSheetId="17">#REF!</definedName>
    <definedName name="P" localSheetId="21">#REF!</definedName>
    <definedName name="P" localSheetId="23">#REF!</definedName>
    <definedName name="P" localSheetId="29">#REF!</definedName>
    <definedName name="P" localSheetId="31">#REF!</definedName>
    <definedName name="P" localSheetId="37">#REF!</definedName>
    <definedName name="P" localSheetId="39">#REF!</definedName>
    <definedName name="P" localSheetId="43">#REF!</definedName>
    <definedName name="P" localSheetId="53">#REF!</definedName>
    <definedName name="P" localSheetId="55">#REF!</definedName>
    <definedName name="P" localSheetId="57">#REF!</definedName>
    <definedName name="P" localSheetId="59">#REF!</definedName>
    <definedName name="P" localSheetId="61">#REF!</definedName>
    <definedName name="P" localSheetId="63">#REF!</definedName>
    <definedName name="P" localSheetId="65">#REF!</definedName>
    <definedName name="P" localSheetId="71">#REF!</definedName>
    <definedName name="P" localSheetId="72">#REF!</definedName>
    <definedName name="P" localSheetId="73">#REF!</definedName>
    <definedName name="P" localSheetId="74">#REF!</definedName>
    <definedName name="P" localSheetId="75">#REF!</definedName>
    <definedName name="P" localSheetId="76">#REF!</definedName>
    <definedName name="P" localSheetId="77">#REF!</definedName>
    <definedName name="P" localSheetId="78">#REF!</definedName>
    <definedName name="P" localSheetId="79">#REF!</definedName>
    <definedName name="P" localSheetId="80">#REF!</definedName>
    <definedName name="P" localSheetId="81">#REF!</definedName>
    <definedName name="P" localSheetId="82">#REF!</definedName>
    <definedName name="P" localSheetId="83">#REF!</definedName>
    <definedName name="P" localSheetId="84">#REF!</definedName>
    <definedName name="P" localSheetId="85">#REF!</definedName>
    <definedName name="P" localSheetId="86">#REF!</definedName>
    <definedName name="P" localSheetId="87">#REF!</definedName>
    <definedName name="P" localSheetId="88">#REF!</definedName>
    <definedName name="P" localSheetId="89">#REF!</definedName>
    <definedName name="P">#REF!</definedName>
    <definedName name="PresentationNormalA4" localSheetId="22">#REF!</definedName>
    <definedName name="PresentationNormalA4" localSheetId="24">#REF!</definedName>
    <definedName name="PresentationNormalA4" localSheetId="30">#REF!</definedName>
    <definedName name="PresentationNormalA4" localSheetId="32">#REF!</definedName>
    <definedName name="PresentationNormalA4" localSheetId="38">#REF!</definedName>
    <definedName name="PresentationNormalA4" localSheetId="54">#REF!</definedName>
    <definedName name="PresentationNormalA4" localSheetId="56">#REF!</definedName>
    <definedName name="PresentationNormalA4" localSheetId="58">#REF!</definedName>
    <definedName name="PresentationNormalA4" localSheetId="60">#REF!</definedName>
    <definedName name="PresentationNormalA4" localSheetId="62">#REF!</definedName>
    <definedName name="PresentationNormalA4" localSheetId="64">#REF!</definedName>
    <definedName name="PresentationNormalA4" localSheetId="23">#REF!</definedName>
    <definedName name="PresentationNormalA4" localSheetId="31">#REF!</definedName>
    <definedName name="PresentationNormalA4" localSheetId="39">#REF!</definedName>
    <definedName name="PresentationNormalA4" localSheetId="43">#REF!</definedName>
    <definedName name="PresentationNormalA4" localSheetId="53">#REF!</definedName>
    <definedName name="PresentationNormalA4" localSheetId="55">#REF!</definedName>
    <definedName name="PresentationNormalA4" localSheetId="57">#REF!</definedName>
    <definedName name="PresentationNormalA4" localSheetId="59">#REF!</definedName>
    <definedName name="PresentationNormalA4" localSheetId="61">#REF!</definedName>
    <definedName name="PresentationNormalA4" localSheetId="63">#REF!</definedName>
    <definedName name="PresentationNormalA4" localSheetId="65">#REF!</definedName>
    <definedName name="PresentationNormalA4" localSheetId="71">#REF!</definedName>
    <definedName name="PresentationNormalA4" localSheetId="72">#REF!</definedName>
    <definedName name="PresentationNormalA4" localSheetId="73">#REF!</definedName>
    <definedName name="PresentationNormalA4" localSheetId="74">#REF!</definedName>
    <definedName name="PresentationNormalA4" localSheetId="75">#REF!</definedName>
    <definedName name="PresentationNormalA4" localSheetId="76">#REF!</definedName>
    <definedName name="PresentationNormalA4" localSheetId="77">#REF!</definedName>
    <definedName name="PresentationNormalA4" localSheetId="78">#REF!</definedName>
    <definedName name="PresentationNormalA4" localSheetId="79">#REF!</definedName>
    <definedName name="PresentationNormalA4" localSheetId="80">#REF!</definedName>
    <definedName name="PresentationNormalA4" localSheetId="81">#REF!</definedName>
    <definedName name="PresentationNormalA4" localSheetId="82">#REF!</definedName>
    <definedName name="PresentationNormalA4" localSheetId="83">#REF!</definedName>
    <definedName name="PresentationNormalA4" localSheetId="84">#REF!</definedName>
    <definedName name="PresentationNormalA4" localSheetId="85">#REF!</definedName>
    <definedName name="PresentationNormalA4" localSheetId="86">#REF!</definedName>
    <definedName name="PresentationNormalA4" localSheetId="87">#REF!</definedName>
    <definedName name="PresentationNormalA4" localSheetId="88">#REF!</definedName>
    <definedName name="PresentationNormalA4" localSheetId="89">#REF!</definedName>
    <definedName name="PresentationNormalA4">#REF!</definedName>
    <definedName name="rate" localSheetId="22">#REF!</definedName>
    <definedName name="rate" localSheetId="24">#REF!</definedName>
    <definedName name="rate" localSheetId="30">#REF!</definedName>
    <definedName name="rate" localSheetId="32">#REF!</definedName>
    <definedName name="rate" localSheetId="38">#REF!</definedName>
    <definedName name="rate" localSheetId="54">#REF!</definedName>
    <definedName name="rate" localSheetId="56">#REF!</definedName>
    <definedName name="rate" localSheetId="58">#REF!</definedName>
    <definedName name="rate" localSheetId="60">#REF!</definedName>
    <definedName name="rate" localSheetId="62">#REF!</definedName>
    <definedName name="rate" localSheetId="64">#REF!</definedName>
    <definedName name="rate" localSheetId="23">#REF!</definedName>
    <definedName name="rate" localSheetId="31">#REF!</definedName>
    <definedName name="rate" localSheetId="39">#REF!</definedName>
    <definedName name="rate" localSheetId="43">#REF!</definedName>
    <definedName name="rate" localSheetId="53">#REF!</definedName>
    <definedName name="rate" localSheetId="55">#REF!</definedName>
    <definedName name="rate" localSheetId="57">#REF!</definedName>
    <definedName name="rate" localSheetId="59">#REF!</definedName>
    <definedName name="rate" localSheetId="61">#REF!</definedName>
    <definedName name="rate" localSheetId="63">#REF!</definedName>
    <definedName name="rate" localSheetId="65">#REF!</definedName>
    <definedName name="rate" localSheetId="71">#REF!</definedName>
    <definedName name="rate" localSheetId="72">#REF!</definedName>
    <definedName name="rate" localSheetId="73">#REF!</definedName>
    <definedName name="rate" localSheetId="74">#REF!</definedName>
    <definedName name="rate" localSheetId="75">#REF!</definedName>
    <definedName name="rate" localSheetId="76">#REF!</definedName>
    <definedName name="rate" localSheetId="77">#REF!</definedName>
    <definedName name="rate" localSheetId="78">#REF!</definedName>
    <definedName name="rate" localSheetId="79">#REF!</definedName>
    <definedName name="rate" localSheetId="80">#REF!</definedName>
    <definedName name="rate" localSheetId="81">#REF!</definedName>
    <definedName name="rate" localSheetId="82">#REF!</definedName>
    <definedName name="rate" localSheetId="83">#REF!</definedName>
    <definedName name="rate" localSheetId="84">#REF!</definedName>
    <definedName name="rate" localSheetId="85">#REF!</definedName>
    <definedName name="rate" localSheetId="86">#REF!</definedName>
    <definedName name="rate" localSheetId="87">#REF!</definedName>
    <definedName name="rate" localSheetId="88">#REF!</definedName>
    <definedName name="rate" localSheetId="89">#REF!</definedName>
    <definedName name="rate">#REF!</definedName>
    <definedName name="TestAdd">"Test RefersTo1"</definedName>
    <definedName name="totalactivo" localSheetId="22">#REF!</definedName>
    <definedName name="totalactivo" localSheetId="24">#REF!</definedName>
    <definedName name="totalactivo" localSheetId="30">#REF!</definedName>
    <definedName name="totalactivo" localSheetId="32">#REF!</definedName>
    <definedName name="totalactivo" localSheetId="38">#REF!</definedName>
    <definedName name="totalactivo" localSheetId="54">#REF!</definedName>
    <definedName name="totalactivo" localSheetId="56">#REF!</definedName>
    <definedName name="totalactivo" localSheetId="58">#REF!</definedName>
    <definedName name="totalactivo" localSheetId="60">#REF!</definedName>
    <definedName name="totalactivo" localSheetId="62">#REF!</definedName>
    <definedName name="totalactivo" localSheetId="64">#REF!</definedName>
    <definedName name="totalactivo" localSheetId="23">#REF!</definedName>
    <definedName name="totalactivo" localSheetId="31">#REF!</definedName>
    <definedName name="totalactivo" localSheetId="39">#REF!</definedName>
    <definedName name="totalactivo" localSheetId="43">#REF!</definedName>
    <definedName name="totalactivo" localSheetId="53">#REF!</definedName>
    <definedName name="totalactivo" localSheetId="55">#REF!</definedName>
    <definedName name="totalactivo" localSheetId="57">#REF!</definedName>
    <definedName name="totalactivo" localSheetId="59">#REF!</definedName>
    <definedName name="totalactivo" localSheetId="61">#REF!</definedName>
    <definedName name="totalactivo" localSheetId="63">#REF!</definedName>
    <definedName name="totalactivo" localSheetId="65">#REF!</definedName>
    <definedName name="totalactivo" localSheetId="71">#REF!</definedName>
    <definedName name="totalactivo" localSheetId="72">#REF!</definedName>
    <definedName name="totalactivo" localSheetId="73">#REF!</definedName>
    <definedName name="totalactivo" localSheetId="74">#REF!</definedName>
    <definedName name="totalactivo" localSheetId="75">#REF!</definedName>
    <definedName name="totalactivo" localSheetId="76">#REF!</definedName>
    <definedName name="totalactivo" localSheetId="77">#REF!</definedName>
    <definedName name="totalactivo" localSheetId="78">#REF!</definedName>
    <definedName name="totalactivo" localSheetId="79">#REF!</definedName>
    <definedName name="totalactivo" localSheetId="80">#REF!</definedName>
    <definedName name="totalactivo" localSheetId="81">#REF!</definedName>
    <definedName name="totalactivo" localSheetId="82">#REF!</definedName>
    <definedName name="totalactivo" localSheetId="83">#REF!</definedName>
    <definedName name="totalactivo" localSheetId="84">#REF!</definedName>
    <definedName name="totalactivo" localSheetId="85">#REF!</definedName>
    <definedName name="totalactivo" localSheetId="86">#REF!</definedName>
    <definedName name="totalactivo" localSheetId="87">#REF!</definedName>
    <definedName name="totalactivo" localSheetId="88">#REF!</definedName>
    <definedName name="totalactivo" localSheetId="89">#REF!</definedName>
    <definedName name="totalactivo">#REF!</definedName>
    <definedName name="Totalingresoso" localSheetId="22">#REF!</definedName>
    <definedName name="Totalingresoso" localSheetId="24">#REF!</definedName>
    <definedName name="Totalingresoso" localSheetId="30">#REF!</definedName>
    <definedName name="Totalingresoso" localSheetId="32">#REF!</definedName>
    <definedName name="Totalingresoso" localSheetId="38">#REF!</definedName>
    <definedName name="Totalingresoso" localSheetId="54">#REF!</definedName>
    <definedName name="Totalingresoso" localSheetId="56">#REF!</definedName>
    <definedName name="Totalingresoso" localSheetId="58">#REF!</definedName>
    <definedName name="Totalingresoso" localSheetId="60">#REF!</definedName>
    <definedName name="Totalingresoso" localSheetId="62">#REF!</definedName>
    <definedName name="Totalingresoso" localSheetId="64">#REF!</definedName>
    <definedName name="Totalingresoso" localSheetId="23">#REF!</definedName>
    <definedName name="Totalingresoso" localSheetId="31">#REF!</definedName>
    <definedName name="Totalingresoso" localSheetId="39">#REF!</definedName>
    <definedName name="Totalingresoso" localSheetId="43">#REF!</definedName>
    <definedName name="Totalingresoso" localSheetId="53">#REF!</definedName>
    <definedName name="Totalingresoso" localSheetId="55">#REF!</definedName>
    <definedName name="Totalingresoso" localSheetId="57">#REF!</definedName>
    <definedName name="Totalingresoso" localSheetId="59">#REF!</definedName>
    <definedName name="Totalingresoso" localSheetId="61">#REF!</definedName>
    <definedName name="Totalingresoso" localSheetId="63">#REF!</definedName>
    <definedName name="Totalingresoso" localSheetId="65">#REF!</definedName>
    <definedName name="Totalingresoso" localSheetId="71">#REF!</definedName>
    <definedName name="Totalingresoso" localSheetId="72">#REF!</definedName>
    <definedName name="Totalingresoso" localSheetId="73">#REF!</definedName>
    <definedName name="Totalingresoso" localSheetId="74">#REF!</definedName>
    <definedName name="Totalingresoso" localSheetId="75">#REF!</definedName>
    <definedName name="Totalingresoso" localSheetId="76">#REF!</definedName>
    <definedName name="Totalingresoso" localSheetId="77">#REF!</definedName>
    <definedName name="Totalingresoso" localSheetId="78">#REF!</definedName>
    <definedName name="Totalingresoso" localSheetId="79">#REF!</definedName>
    <definedName name="Totalingresoso" localSheetId="80">#REF!</definedName>
    <definedName name="Totalingresoso" localSheetId="81">#REF!</definedName>
    <definedName name="Totalingresoso" localSheetId="82">#REF!</definedName>
    <definedName name="Totalingresoso" localSheetId="83">#REF!</definedName>
    <definedName name="Totalingresoso" localSheetId="84">#REF!</definedName>
    <definedName name="Totalingresoso" localSheetId="85">#REF!</definedName>
    <definedName name="Totalingresoso" localSheetId="86">#REF!</definedName>
    <definedName name="Totalingresoso" localSheetId="87">#REF!</definedName>
    <definedName name="Totalingresoso" localSheetId="88">#REF!</definedName>
    <definedName name="Totalingresoso" localSheetId="89">#REF!</definedName>
    <definedName name="Totalingresoso">#REF!</definedName>
    <definedName name="totalingresosoperacionales">[1]pg032004!$B$16</definedName>
  </definedNames>
  <calcPr calcId="162913"/>
</workbook>
</file>

<file path=xl/calcChain.xml><?xml version="1.0" encoding="utf-8"?>
<calcChain xmlns="http://schemas.openxmlformats.org/spreadsheetml/2006/main">
  <c r="AA74" i="143" l="1"/>
  <c r="AA81" i="143"/>
  <c r="AA80" i="143"/>
  <c r="V93" i="143"/>
  <c r="V91" i="143"/>
  <c r="V90" i="143"/>
  <c r="V86" i="143"/>
  <c r="V84" i="143"/>
  <c r="V83" i="143"/>
  <c r="V81" i="143"/>
  <c r="V80" i="143"/>
  <c r="V79" i="143"/>
  <c r="V77" i="143"/>
  <c r="V76" i="143"/>
  <c r="V74" i="143"/>
  <c r="V73" i="143"/>
  <c r="V72" i="143"/>
  <c r="V71" i="143"/>
  <c r="V70" i="143"/>
  <c r="V68" i="143"/>
  <c r="V67" i="143"/>
  <c r="Y93" i="143"/>
  <c r="Y91" i="143"/>
  <c r="Y90" i="143"/>
  <c r="AA90" i="143"/>
  <c r="Y86" i="143"/>
  <c r="Y84" i="143"/>
  <c r="Y83" i="143"/>
  <c r="Y81" i="143"/>
  <c r="Y80" i="143"/>
  <c r="Y79" i="143"/>
  <c r="Y78" i="143"/>
  <c r="Y77" i="143"/>
  <c r="AA77" i="143"/>
  <c r="Y76" i="143"/>
  <c r="Y74" i="143"/>
  <c r="Y73" i="143"/>
  <c r="AA73" i="143"/>
  <c r="Y72" i="143"/>
  <c r="Y71" i="143"/>
  <c r="Y70" i="143"/>
  <c r="Y68" i="143"/>
  <c r="Y67" i="143"/>
  <c r="Z67" i="143"/>
  <c r="W67" i="143"/>
  <c r="W93" i="143"/>
  <c r="W91" i="143"/>
  <c r="AA91" i="143"/>
  <c r="W90" i="143"/>
  <c r="W86" i="143"/>
  <c r="W84" i="143"/>
  <c r="W83" i="143"/>
  <c r="W81" i="143"/>
  <c r="W80" i="143"/>
  <c r="W79" i="143"/>
  <c r="W78" i="143"/>
  <c r="W77" i="143"/>
  <c r="W76" i="143"/>
  <c r="W74" i="143"/>
  <c r="W73" i="143"/>
  <c r="W72" i="143"/>
  <c r="W71" i="143"/>
  <c r="W70" i="143"/>
  <c r="W68" i="143"/>
  <c r="U67" i="143"/>
  <c r="S93" i="143"/>
  <c r="S91" i="143"/>
  <c r="S90" i="143"/>
  <c r="S86" i="143"/>
  <c r="S84" i="143"/>
  <c r="S83" i="143"/>
  <c r="S81" i="143"/>
  <c r="S80" i="143"/>
  <c r="S79" i="143"/>
  <c r="S78" i="143"/>
  <c r="S77" i="143"/>
  <c r="S76" i="143"/>
  <c r="S74" i="143"/>
  <c r="S73" i="143"/>
  <c r="S72" i="143"/>
  <c r="S71" i="143"/>
  <c r="S70" i="143"/>
  <c r="S68" i="143"/>
  <c r="S67" i="143"/>
  <c r="R92" i="143"/>
  <c r="R69" i="143"/>
  <c r="Q92" i="143"/>
  <c r="Q69" i="143"/>
  <c r="Q75" i="143"/>
  <c r="Q82" i="143"/>
  <c r="Q85" i="143"/>
  <c r="Q87" i="143"/>
  <c r="K54" i="143"/>
  <c r="K49" i="143"/>
  <c r="K40" i="143"/>
  <c r="K29" i="143"/>
  <c r="M29" i="143"/>
  <c r="K17" i="143"/>
  <c r="H54" i="143"/>
  <c r="H49" i="143"/>
  <c r="H40" i="143"/>
  <c r="H29" i="143"/>
  <c r="H17" i="143"/>
  <c r="E54" i="143"/>
  <c r="E49" i="143"/>
  <c r="E40" i="143"/>
  <c r="E29" i="143"/>
  <c r="E17" i="143"/>
  <c r="L54" i="143"/>
  <c r="M53" i="143"/>
  <c r="M52" i="143"/>
  <c r="L49" i="143"/>
  <c r="M48" i="143"/>
  <c r="M47" i="143"/>
  <c r="M46" i="143"/>
  <c r="M45" i="143"/>
  <c r="M44" i="143"/>
  <c r="M43" i="143"/>
  <c r="M42" i="143"/>
  <c r="L40" i="143"/>
  <c r="L50" i="143"/>
  <c r="M39" i="143"/>
  <c r="M38" i="143"/>
  <c r="M37" i="143"/>
  <c r="M36" i="143"/>
  <c r="M35" i="143"/>
  <c r="M34" i="143"/>
  <c r="M33" i="143"/>
  <c r="L29" i="143"/>
  <c r="M28" i="143"/>
  <c r="M27" i="143"/>
  <c r="M26" i="143"/>
  <c r="M25" i="143"/>
  <c r="M24" i="143"/>
  <c r="M23" i="143"/>
  <c r="M22" i="143"/>
  <c r="M21" i="143"/>
  <c r="M20" i="143"/>
  <c r="M19" i="143"/>
  <c r="L17" i="143"/>
  <c r="L30" i="143"/>
  <c r="M16" i="143"/>
  <c r="M15" i="143"/>
  <c r="M14" i="143"/>
  <c r="M13" i="143"/>
  <c r="M12" i="143"/>
  <c r="M11" i="143"/>
  <c r="U93" i="143"/>
  <c r="K93" i="143"/>
  <c r="J93" i="143"/>
  <c r="H93" i="143"/>
  <c r="F93" i="143"/>
  <c r="E93" i="143"/>
  <c r="C93" i="143"/>
  <c r="T92" i="143"/>
  <c r="U92" i="143"/>
  <c r="P92" i="143"/>
  <c r="O92" i="143"/>
  <c r="N92" i="143"/>
  <c r="M92" i="143"/>
  <c r="L92" i="143"/>
  <c r="I92" i="143"/>
  <c r="J92" i="143"/>
  <c r="G92" i="143"/>
  <c r="H92" i="143"/>
  <c r="D92" i="143"/>
  <c r="B92" i="143"/>
  <c r="C92" i="143"/>
  <c r="U91" i="143"/>
  <c r="K91" i="143"/>
  <c r="J91" i="143"/>
  <c r="H91" i="143"/>
  <c r="F91" i="143"/>
  <c r="E91" i="143"/>
  <c r="C91" i="143"/>
  <c r="U90" i="143"/>
  <c r="K90" i="143"/>
  <c r="J90" i="143"/>
  <c r="H90" i="143"/>
  <c r="F90" i="143"/>
  <c r="E90" i="143"/>
  <c r="C90" i="143"/>
  <c r="U86" i="143"/>
  <c r="K86" i="143"/>
  <c r="J86" i="143"/>
  <c r="H86" i="143"/>
  <c r="F86" i="143"/>
  <c r="E86" i="143"/>
  <c r="C86" i="143"/>
  <c r="U84" i="143"/>
  <c r="J84" i="143"/>
  <c r="H84" i="143"/>
  <c r="E84" i="143"/>
  <c r="C84" i="143"/>
  <c r="U83" i="143"/>
  <c r="K83" i="143"/>
  <c r="J83" i="143"/>
  <c r="H83" i="143"/>
  <c r="F83" i="143"/>
  <c r="E83" i="143"/>
  <c r="C83" i="143"/>
  <c r="U81" i="143"/>
  <c r="J81" i="143"/>
  <c r="H81" i="143"/>
  <c r="E81" i="143"/>
  <c r="C81" i="143"/>
  <c r="U80" i="143"/>
  <c r="K80" i="143"/>
  <c r="J80" i="143"/>
  <c r="H80" i="143"/>
  <c r="E80" i="143"/>
  <c r="C80" i="143"/>
  <c r="U79" i="143"/>
  <c r="K79" i="143"/>
  <c r="J79" i="143"/>
  <c r="H79" i="143"/>
  <c r="E79" i="143"/>
  <c r="C79" i="143"/>
  <c r="U78" i="143"/>
  <c r="K78" i="143"/>
  <c r="J78" i="143"/>
  <c r="H78" i="143"/>
  <c r="F78" i="143"/>
  <c r="E78" i="143"/>
  <c r="C78" i="143"/>
  <c r="U77" i="143"/>
  <c r="K77" i="143"/>
  <c r="J77" i="143"/>
  <c r="H77" i="143"/>
  <c r="F77" i="143"/>
  <c r="E77" i="143"/>
  <c r="C77" i="143"/>
  <c r="U76" i="143"/>
  <c r="K76" i="143"/>
  <c r="J76" i="143"/>
  <c r="H76" i="143"/>
  <c r="F76" i="143"/>
  <c r="E76" i="143"/>
  <c r="C76" i="143"/>
  <c r="U74" i="143"/>
  <c r="J74" i="143"/>
  <c r="H74" i="143"/>
  <c r="F74" i="143"/>
  <c r="E74" i="143"/>
  <c r="C74" i="143"/>
  <c r="U73" i="143"/>
  <c r="K73" i="143"/>
  <c r="J73" i="143"/>
  <c r="H73" i="143"/>
  <c r="E73" i="143"/>
  <c r="C73" i="143"/>
  <c r="U72" i="143"/>
  <c r="K72" i="143"/>
  <c r="J72" i="143"/>
  <c r="H72" i="143"/>
  <c r="F72" i="143"/>
  <c r="E72" i="143"/>
  <c r="C72" i="143"/>
  <c r="AA71" i="143"/>
  <c r="U71" i="143"/>
  <c r="K71" i="143"/>
  <c r="J71" i="143"/>
  <c r="H71" i="143"/>
  <c r="F71" i="143"/>
  <c r="E71" i="143"/>
  <c r="C71" i="143"/>
  <c r="U70" i="143"/>
  <c r="K70" i="143"/>
  <c r="J70" i="143"/>
  <c r="H70" i="143"/>
  <c r="F70" i="143"/>
  <c r="E70" i="143"/>
  <c r="C70" i="143"/>
  <c r="T69" i="143"/>
  <c r="U69" i="143"/>
  <c r="P69" i="143"/>
  <c r="P75" i="143"/>
  <c r="P82" i="143"/>
  <c r="P85" i="143"/>
  <c r="P87" i="143"/>
  <c r="O69" i="143"/>
  <c r="O75" i="143"/>
  <c r="O82" i="143"/>
  <c r="N69" i="143"/>
  <c r="N75" i="143"/>
  <c r="N82" i="143"/>
  <c r="N85" i="143"/>
  <c r="N87" i="143"/>
  <c r="M69" i="143"/>
  <c r="L69" i="143"/>
  <c r="L75" i="143"/>
  <c r="I69" i="143"/>
  <c r="J69" i="143"/>
  <c r="G69" i="143"/>
  <c r="G75" i="143"/>
  <c r="H75" i="143"/>
  <c r="D69" i="143"/>
  <c r="E69" i="143"/>
  <c r="B69" i="143"/>
  <c r="C69" i="143"/>
  <c r="U68" i="143"/>
  <c r="K68" i="143"/>
  <c r="J68" i="143"/>
  <c r="H68" i="143"/>
  <c r="F68" i="143"/>
  <c r="E68" i="143"/>
  <c r="C68" i="143"/>
  <c r="K67" i="143"/>
  <c r="J67" i="143"/>
  <c r="H67" i="143"/>
  <c r="F67" i="143"/>
  <c r="E67" i="143"/>
  <c r="C67" i="143"/>
  <c r="I54" i="143"/>
  <c r="J54" i="143"/>
  <c r="F54" i="143"/>
  <c r="G54" i="143"/>
  <c r="C54" i="143"/>
  <c r="B54" i="143"/>
  <c r="J53" i="143"/>
  <c r="G53" i="143"/>
  <c r="D53" i="143"/>
  <c r="J52" i="143"/>
  <c r="G52" i="143"/>
  <c r="D52" i="143"/>
  <c r="I49" i="143"/>
  <c r="F49" i="143"/>
  <c r="C49" i="143"/>
  <c r="D49" i="143"/>
  <c r="B49" i="143"/>
  <c r="J48" i="143"/>
  <c r="G48" i="143"/>
  <c r="D48" i="143"/>
  <c r="J47" i="143"/>
  <c r="G47" i="143"/>
  <c r="D47" i="143"/>
  <c r="J46" i="143"/>
  <c r="G46" i="143"/>
  <c r="D46" i="143"/>
  <c r="J45" i="143"/>
  <c r="G45" i="143"/>
  <c r="D45" i="143"/>
  <c r="J44" i="143"/>
  <c r="G44" i="143"/>
  <c r="D44" i="143"/>
  <c r="J43" i="143"/>
  <c r="G43" i="143"/>
  <c r="D43" i="143"/>
  <c r="J42" i="143"/>
  <c r="G42" i="143"/>
  <c r="D42" i="143"/>
  <c r="I40" i="143"/>
  <c r="F40" i="143"/>
  <c r="C40" i="143"/>
  <c r="B40" i="143"/>
  <c r="D40" i="143"/>
  <c r="J39" i="143"/>
  <c r="G39" i="143"/>
  <c r="D39" i="143"/>
  <c r="J38" i="143"/>
  <c r="G38" i="143"/>
  <c r="D38" i="143"/>
  <c r="J37" i="143"/>
  <c r="G37" i="143"/>
  <c r="D37" i="143"/>
  <c r="J36" i="143"/>
  <c r="G36" i="143"/>
  <c r="D36" i="143"/>
  <c r="J35" i="143"/>
  <c r="G35" i="143"/>
  <c r="D35" i="143"/>
  <c r="J34" i="143"/>
  <c r="G34" i="143"/>
  <c r="D34" i="143"/>
  <c r="J33" i="143"/>
  <c r="G33" i="143"/>
  <c r="D33" i="143"/>
  <c r="I29" i="143"/>
  <c r="F29" i="143"/>
  <c r="C29" i="143"/>
  <c r="C30" i="143"/>
  <c r="B29" i="143"/>
  <c r="B30" i="143"/>
  <c r="J28" i="143"/>
  <c r="G28" i="143"/>
  <c r="D28" i="143"/>
  <c r="J27" i="143"/>
  <c r="G27" i="143"/>
  <c r="D27" i="143"/>
  <c r="J26" i="143"/>
  <c r="G26" i="143"/>
  <c r="D26" i="143"/>
  <c r="J25" i="143"/>
  <c r="G25" i="143"/>
  <c r="D25" i="143"/>
  <c r="J24" i="143"/>
  <c r="G24" i="143"/>
  <c r="D24" i="143"/>
  <c r="J23" i="143"/>
  <c r="G23" i="143"/>
  <c r="D23" i="143"/>
  <c r="J22" i="143"/>
  <c r="G22" i="143"/>
  <c r="D22" i="143"/>
  <c r="J21" i="143"/>
  <c r="G21" i="143"/>
  <c r="D21" i="143"/>
  <c r="J20" i="143"/>
  <c r="G20" i="143"/>
  <c r="D20" i="143"/>
  <c r="J19" i="143"/>
  <c r="G19" i="143"/>
  <c r="D19" i="143"/>
  <c r="I17" i="143"/>
  <c r="I30" i="143"/>
  <c r="F17" i="143"/>
  <c r="F30" i="143"/>
  <c r="G30" i="143"/>
  <c r="C17" i="143"/>
  <c r="B17" i="143"/>
  <c r="J16" i="143"/>
  <c r="G16" i="143"/>
  <c r="D16" i="143"/>
  <c r="J15" i="143"/>
  <c r="G15" i="143"/>
  <c r="D15" i="143"/>
  <c r="J14" i="143"/>
  <c r="G14" i="143"/>
  <c r="D14" i="143"/>
  <c r="J13" i="143"/>
  <c r="G13" i="143"/>
  <c r="D13" i="143"/>
  <c r="J12" i="143"/>
  <c r="G12" i="143"/>
  <c r="D12" i="143"/>
  <c r="J11" i="143"/>
  <c r="G11" i="143"/>
  <c r="D11" i="143"/>
  <c r="J11" i="142"/>
  <c r="Y80" i="142"/>
  <c r="Y77" i="142"/>
  <c r="Y76" i="142"/>
  <c r="Y75" i="142"/>
  <c r="Y74" i="142"/>
  <c r="Y73" i="142"/>
  <c r="Y71" i="142"/>
  <c r="Y70" i="142"/>
  <c r="Y69" i="142"/>
  <c r="Y68" i="142"/>
  <c r="Y67" i="142"/>
  <c r="Y66" i="142"/>
  <c r="Y65" i="142"/>
  <c r="X80" i="142"/>
  <c r="X79" i="142"/>
  <c r="X78" i="142"/>
  <c r="X77" i="142"/>
  <c r="X76" i="142"/>
  <c r="X75" i="142"/>
  <c r="X74" i="142"/>
  <c r="X73" i="142"/>
  <c r="X72" i="142"/>
  <c r="X71" i="142"/>
  <c r="X70" i="142"/>
  <c r="X69" i="142"/>
  <c r="X68" i="142"/>
  <c r="X67" i="142"/>
  <c r="X66" i="142"/>
  <c r="X65" i="142"/>
  <c r="W91" i="142"/>
  <c r="X91" i="142"/>
  <c r="W89" i="142"/>
  <c r="Y89" i="142"/>
  <c r="W88" i="142"/>
  <c r="Y88" i="142"/>
  <c r="W84" i="142"/>
  <c r="Y84" i="142"/>
  <c r="W82" i="142"/>
  <c r="X82" i="142"/>
  <c r="W81" i="142"/>
  <c r="X81" i="142"/>
  <c r="W80" i="142"/>
  <c r="W79" i="142"/>
  <c r="W78" i="142"/>
  <c r="W77" i="142"/>
  <c r="W76" i="142"/>
  <c r="W75" i="142"/>
  <c r="W74" i="142"/>
  <c r="W73" i="142"/>
  <c r="W72" i="142"/>
  <c r="W71" i="142"/>
  <c r="W70" i="142"/>
  <c r="W69" i="142"/>
  <c r="W68" i="142"/>
  <c r="W67" i="142"/>
  <c r="W66" i="142"/>
  <c r="W65" i="142"/>
  <c r="V91" i="142"/>
  <c r="V90" i="142"/>
  <c r="V89" i="142"/>
  <c r="V88" i="142"/>
  <c r="V85" i="142"/>
  <c r="V84" i="142"/>
  <c r="V83" i="142"/>
  <c r="V82" i="142"/>
  <c r="V81" i="142"/>
  <c r="V80" i="142"/>
  <c r="V79" i="142"/>
  <c r="V78" i="142"/>
  <c r="V77" i="142"/>
  <c r="V76" i="142"/>
  <c r="V75" i="142"/>
  <c r="V74" i="142"/>
  <c r="V73" i="142"/>
  <c r="V72" i="142"/>
  <c r="V71" i="142"/>
  <c r="V70" i="142"/>
  <c r="V69" i="142"/>
  <c r="V68" i="142"/>
  <c r="V67" i="142"/>
  <c r="V66" i="142"/>
  <c r="V65" i="142"/>
  <c r="U91" i="142"/>
  <c r="U90" i="142"/>
  <c r="U89" i="142"/>
  <c r="U88" i="142"/>
  <c r="U85" i="142"/>
  <c r="U84" i="142"/>
  <c r="U83" i="142"/>
  <c r="U82" i="142"/>
  <c r="U81" i="142"/>
  <c r="U80" i="142"/>
  <c r="U79" i="142"/>
  <c r="U78" i="142"/>
  <c r="U77" i="142"/>
  <c r="U76" i="142"/>
  <c r="U75" i="142"/>
  <c r="U74" i="142"/>
  <c r="U73" i="142"/>
  <c r="U72" i="142"/>
  <c r="U71" i="142"/>
  <c r="U70" i="142"/>
  <c r="U69" i="142"/>
  <c r="U68" i="142"/>
  <c r="U67" i="142"/>
  <c r="U66" i="142"/>
  <c r="U65" i="142"/>
  <c r="T91" i="142"/>
  <c r="T90" i="142"/>
  <c r="T89" i="142"/>
  <c r="T88" i="142"/>
  <c r="T85" i="142"/>
  <c r="T84" i="142"/>
  <c r="T83" i="142"/>
  <c r="T82" i="142"/>
  <c r="T81" i="142"/>
  <c r="T80" i="142"/>
  <c r="T79" i="142"/>
  <c r="T78" i="142"/>
  <c r="T77" i="142"/>
  <c r="T76" i="142"/>
  <c r="T75" i="142"/>
  <c r="T74" i="142"/>
  <c r="T73" i="142"/>
  <c r="T72" i="142"/>
  <c r="T71" i="142"/>
  <c r="T70" i="142"/>
  <c r="T69" i="142"/>
  <c r="T68" i="142"/>
  <c r="T67" i="142"/>
  <c r="T66" i="142"/>
  <c r="T65" i="142"/>
  <c r="S91" i="142"/>
  <c r="S90" i="142"/>
  <c r="S89" i="142"/>
  <c r="S88" i="142"/>
  <c r="S85" i="142"/>
  <c r="S84" i="142"/>
  <c r="S83" i="142"/>
  <c r="S82" i="142"/>
  <c r="S81" i="142"/>
  <c r="S80" i="142"/>
  <c r="S79" i="142"/>
  <c r="S78" i="142"/>
  <c r="S77" i="142"/>
  <c r="S76" i="142"/>
  <c r="S75" i="142"/>
  <c r="S74" i="142"/>
  <c r="S73" i="142"/>
  <c r="S72" i="142"/>
  <c r="S71" i="142"/>
  <c r="S70" i="142"/>
  <c r="S69" i="142"/>
  <c r="S68" i="142"/>
  <c r="S67" i="142"/>
  <c r="S66" i="142"/>
  <c r="S65" i="142"/>
  <c r="R90" i="142"/>
  <c r="Q91" i="142"/>
  <c r="Q90" i="142"/>
  <c r="Q89" i="142"/>
  <c r="Q88" i="142"/>
  <c r="Q85" i="142"/>
  <c r="Q84" i="142"/>
  <c r="Q83" i="142"/>
  <c r="Q82" i="142"/>
  <c r="Q81" i="142"/>
  <c r="Q80" i="142"/>
  <c r="Q79" i="142"/>
  <c r="Q78" i="142"/>
  <c r="Q77" i="142"/>
  <c r="Q76" i="142"/>
  <c r="Q75" i="142"/>
  <c r="Q74" i="142"/>
  <c r="Q73" i="142"/>
  <c r="Q72" i="142"/>
  <c r="Q71" i="142"/>
  <c r="Q70" i="142"/>
  <c r="Q69" i="142"/>
  <c r="Q68" i="142"/>
  <c r="Q67" i="142"/>
  <c r="Q66" i="142"/>
  <c r="Q65" i="142"/>
  <c r="P90" i="142"/>
  <c r="P85" i="142"/>
  <c r="P83" i="142"/>
  <c r="P73" i="142"/>
  <c r="P67" i="142"/>
  <c r="X88" i="142"/>
  <c r="X89" i="142"/>
  <c r="X84" i="142"/>
  <c r="Y91" i="142"/>
  <c r="Y81" i="142"/>
  <c r="P80" i="142"/>
  <c r="O80" i="142"/>
  <c r="N80" i="142"/>
  <c r="M80" i="142"/>
  <c r="L80" i="142"/>
  <c r="I80" i="142"/>
  <c r="J80" i="142"/>
  <c r="G80" i="142"/>
  <c r="H80" i="142"/>
  <c r="D80" i="142"/>
  <c r="B80" i="142"/>
  <c r="O73" i="142"/>
  <c r="O67" i="142"/>
  <c r="N90" i="142"/>
  <c r="N83" i="142"/>
  <c r="N85" i="142"/>
  <c r="N67" i="142"/>
  <c r="N73" i="142"/>
  <c r="M73" i="142"/>
  <c r="L90" i="142"/>
  <c r="L83" i="142"/>
  <c r="L85" i="142"/>
  <c r="L73" i="142"/>
  <c r="L67" i="142"/>
  <c r="K91" i="142"/>
  <c r="K90" i="142"/>
  <c r="K89" i="142"/>
  <c r="K88" i="142"/>
  <c r="K84" i="142"/>
  <c r="K81" i="142"/>
  <c r="K80" i="142"/>
  <c r="K78" i="142"/>
  <c r="K77" i="142"/>
  <c r="K76" i="142"/>
  <c r="K75" i="142"/>
  <c r="K74" i="142"/>
  <c r="K73" i="142"/>
  <c r="K71" i="142"/>
  <c r="K70" i="142"/>
  <c r="K69" i="142"/>
  <c r="K68" i="142"/>
  <c r="K67" i="142"/>
  <c r="K66" i="142"/>
  <c r="K65" i="142"/>
  <c r="J91" i="142"/>
  <c r="J90" i="142"/>
  <c r="J89" i="142"/>
  <c r="J88" i="142"/>
  <c r="J84" i="142"/>
  <c r="J82" i="142"/>
  <c r="J81" i="142"/>
  <c r="J79" i="142"/>
  <c r="J78" i="142"/>
  <c r="J77" i="142"/>
  <c r="J76" i="142"/>
  <c r="J75" i="142"/>
  <c r="J74" i="142"/>
  <c r="J73" i="142"/>
  <c r="J72" i="142"/>
  <c r="J71" i="142"/>
  <c r="J70" i="142"/>
  <c r="J69" i="142"/>
  <c r="J68" i="142"/>
  <c r="J67" i="142"/>
  <c r="J66" i="142"/>
  <c r="J65" i="142"/>
  <c r="I90" i="142"/>
  <c r="H91" i="142"/>
  <c r="H90" i="142"/>
  <c r="H89" i="142"/>
  <c r="H88" i="142"/>
  <c r="H84" i="142"/>
  <c r="H82" i="142"/>
  <c r="H81" i="142"/>
  <c r="H79" i="142"/>
  <c r="H78" i="142"/>
  <c r="H77" i="142"/>
  <c r="H76" i="142"/>
  <c r="H75" i="142"/>
  <c r="H74" i="142"/>
  <c r="H73" i="142"/>
  <c r="H72" i="142"/>
  <c r="H71" i="142"/>
  <c r="H70" i="142"/>
  <c r="H69" i="142"/>
  <c r="H68" i="142"/>
  <c r="H67" i="142"/>
  <c r="H66" i="142"/>
  <c r="H65" i="142"/>
  <c r="F65" i="142"/>
  <c r="C79" i="142"/>
  <c r="R67" i="142"/>
  <c r="R73" i="142"/>
  <c r="R80" i="142"/>
  <c r="O90" i="142"/>
  <c r="W90" i="142"/>
  <c r="M90" i="142"/>
  <c r="M67" i="142"/>
  <c r="E79" i="142"/>
  <c r="I54" i="142"/>
  <c r="H54" i="142"/>
  <c r="J54" i="142"/>
  <c r="J53" i="142"/>
  <c r="J52" i="142"/>
  <c r="I49" i="142"/>
  <c r="J49" i="142"/>
  <c r="H49" i="142"/>
  <c r="J48" i="142"/>
  <c r="J47" i="142"/>
  <c r="J46" i="142"/>
  <c r="J45" i="142"/>
  <c r="J44" i="142"/>
  <c r="J43" i="142"/>
  <c r="J42" i="142"/>
  <c r="I40" i="142"/>
  <c r="H40" i="142"/>
  <c r="J39" i="142"/>
  <c r="J38" i="142"/>
  <c r="J37" i="142"/>
  <c r="J36" i="142"/>
  <c r="J35" i="142"/>
  <c r="J34" i="142"/>
  <c r="J33" i="142"/>
  <c r="I29" i="142"/>
  <c r="H29" i="142"/>
  <c r="J28" i="142"/>
  <c r="J27" i="142"/>
  <c r="J26" i="142"/>
  <c r="J25" i="142"/>
  <c r="J24" i="142"/>
  <c r="J23" i="142"/>
  <c r="J22" i="142"/>
  <c r="J21" i="142"/>
  <c r="J20" i="142"/>
  <c r="J19" i="142"/>
  <c r="I17" i="142"/>
  <c r="H17" i="142"/>
  <c r="J16" i="142"/>
  <c r="J15" i="142"/>
  <c r="J14" i="142"/>
  <c r="J13" i="142"/>
  <c r="J12" i="142"/>
  <c r="F91" i="142"/>
  <c r="E91" i="142"/>
  <c r="C91" i="142"/>
  <c r="G90" i="142"/>
  <c r="D90" i="142"/>
  <c r="E90" i="142"/>
  <c r="B90" i="142"/>
  <c r="C90" i="142"/>
  <c r="F89" i="142"/>
  <c r="E89" i="142"/>
  <c r="C89" i="142"/>
  <c r="F88" i="142"/>
  <c r="E88" i="142"/>
  <c r="C88" i="142"/>
  <c r="F84" i="142"/>
  <c r="E84" i="142"/>
  <c r="C84" i="142"/>
  <c r="E82" i="142"/>
  <c r="C82" i="142"/>
  <c r="F81" i="142"/>
  <c r="E81" i="142"/>
  <c r="C81" i="142"/>
  <c r="E78" i="142"/>
  <c r="C78" i="142"/>
  <c r="E77" i="142"/>
  <c r="C77" i="142"/>
  <c r="F76" i="142"/>
  <c r="E76" i="142"/>
  <c r="C76" i="142"/>
  <c r="F75" i="142"/>
  <c r="E75" i="142"/>
  <c r="C75" i="142"/>
  <c r="F74" i="142"/>
  <c r="E74" i="142"/>
  <c r="C74" i="142"/>
  <c r="F72" i="142"/>
  <c r="E72" i="142"/>
  <c r="C72" i="142"/>
  <c r="E71" i="142"/>
  <c r="C71" i="142"/>
  <c r="F70" i="142"/>
  <c r="E70" i="142"/>
  <c r="C70" i="142"/>
  <c r="F69" i="142"/>
  <c r="E69" i="142"/>
  <c r="C69" i="142"/>
  <c r="F68" i="142"/>
  <c r="E68" i="142"/>
  <c r="C68" i="142"/>
  <c r="I67" i="142"/>
  <c r="G67" i="142"/>
  <c r="D67" i="142"/>
  <c r="D73" i="142"/>
  <c r="B67" i="142"/>
  <c r="B73" i="142"/>
  <c r="F66" i="142"/>
  <c r="E66" i="142"/>
  <c r="C66" i="142"/>
  <c r="E65" i="142"/>
  <c r="C65" i="142"/>
  <c r="F54" i="142"/>
  <c r="E54" i="142"/>
  <c r="C54" i="142"/>
  <c r="D54" i="142"/>
  <c r="B54" i="142"/>
  <c r="G53" i="142"/>
  <c r="D53" i="142"/>
  <c r="G52" i="142"/>
  <c r="D52" i="142"/>
  <c r="F49" i="142"/>
  <c r="E49" i="142"/>
  <c r="C49" i="142"/>
  <c r="B49" i="142"/>
  <c r="G48" i="142"/>
  <c r="D48" i="142"/>
  <c r="G47" i="142"/>
  <c r="D47" i="142"/>
  <c r="G46" i="142"/>
  <c r="D46" i="142"/>
  <c r="G45" i="142"/>
  <c r="D45" i="142"/>
  <c r="G44" i="142"/>
  <c r="D44" i="142"/>
  <c r="G43" i="142"/>
  <c r="D43" i="142"/>
  <c r="G42" i="142"/>
  <c r="D42" i="142"/>
  <c r="F40" i="142"/>
  <c r="E40" i="142"/>
  <c r="E50" i="142"/>
  <c r="C40" i="142"/>
  <c r="B40" i="142"/>
  <c r="G39" i="142"/>
  <c r="D39" i="142"/>
  <c r="G38" i="142"/>
  <c r="D38" i="142"/>
  <c r="G37" i="142"/>
  <c r="D37" i="142"/>
  <c r="G36" i="142"/>
  <c r="D36" i="142"/>
  <c r="G35" i="142"/>
  <c r="D35" i="142"/>
  <c r="G34" i="142"/>
  <c r="D34" i="142"/>
  <c r="G33" i="142"/>
  <c r="D33" i="142"/>
  <c r="F29" i="142"/>
  <c r="E29" i="142"/>
  <c r="C29" i="142"/>
  <c r="B29" i="142"/>
  <c r="G28" i="142"/>
  <c r="D28" i="142"/>
  <c r="G27" i="142"/>
  <c r="D27" i="142"/>
  <c r="G26" i="142"/>
  <c r="D26" i="142"/>
  <c r="G25" i="142"/>
  <c r="D25" i="142"/>
  <c r="G24" i="142"/>
  <c r="D24" i="142"/>
  <c r="G23" i="142"/>
  <c r="D23" i="142"/>
  <c r="G22" i="142"/>
  <c r="D22" i="142"/>
  <c r="G21" i="142"/>
  <c r="D21" i="142"/>
  <c r="G20" i="142"/>
  <c r="D20" i="142"/>
  <c r="G19" i="142"/>
  <c r="D19" i="142"/>
  <c r="F17" i="142"/>
  <c r="F30" i="142"/>
  <c r="E17" i="142"/>
  <c r="C17" i="142"/>
  <c r="C30" i="142"/>
  <c r="B17" i="142"/>
  <c r="G16" i="142"/>
  <c r="D16" i="142"/>
  <c r="G15" i="142"/>
  <c r="D15" i="142"/>
  <c r="G14" i="142"/>
  <c r="D14" i="142"/>
  <c r="G13" i="142"/>
  <c r="D13" i="142"/>
  <c r="G12" i="142"/>
  <c r="D12" i="142"/>
  <c r="G11" i="142"/>
  <c r="D11" i="142"/>
  <c r="L90" i="141"/>
  <c r="L87" i="141"/>
  <c r="N87" i="141"/>
  <c r="Q90" i="141"/>
  <c r="Q89" i="141"/>
  <c r="Q88" i="141"/>
  <c r="Q87" i="141"/>
  <c r="Q84" i="141"/>
  <c r="Q83" i="141"/>
  <c r="Q82" i="141"/>
  <c r="Q81" i="141"/>
  <c r="Q80" i="141"/>
  <c r="Q79" i="141"/>
  <c r="Q78" i="141"/>
  <c r="Q77" i="141"/>
  <c r="Q76" i="141"/>
  <c r="Q75" i="141"/>
  <c r="Q74" i="141"/>
  <c r="Q73" i="141"/>
  <c r="Q72" i="141"/>
  <c r="Q71" i="141"/>
  <c r="Q70" i="141"/>
  <c r="Q69" i="141"/>
  <c r="Q68" i="141"/>
  <c r="Q67" i="141"/>
  <c r="Q66" i="141"/>
  <c r="Q65" i="141"/>
  <c r="O90" i="141"/>
  <c r="O89" i="141"/>
  <c r="O88" i="141"/>
  <c r="O87" i="141"/>
  <c r="O84" i="141"/>
  <c r="O83" i="141"/>
  <c r="O82" i="141"/>
  <c r="O81" i="141"/>
  <c r="O80" i="141"/>
  <c r="O79" i="141"/>
  <c r="O78" i="141"/>
  <c r="O77" i="141"/>
  <c r="O76" i="141"/>
  <c r="O75" i="141"/>
  <c r="O74" i="141"/>
  <c r="O73" i="141"/>
  <c r="O72" i="141"/>
  <c r="O71" i="141"/>
  <c r="O70" i="141"/>
  <c r="O69" i="141"/>
  <c r="O68" i="141"/>
  <c r="O67" i="141"/>
  <c r="O66" i="141"/>
  <c r="O65" i="141"/>
  <c r="G11" i="141"/>
  <c r="R90" i="141"/>
  <c r="R89" i="141"/>
  <c r="R88" i="141"/>
  <c r="R87" i="141"/>
  <c r="R84" i="141"/>
  <c r="R83" i="141"/>
  <c r="R82" i="141"/>
  <c r="R80" i="141"/>
  <c r="R79" i="141"/>
  <c r="R77" i="141"/>
  <c r="R76" i="141"/>
  <c r="R75" i="141"/>
  <c r="R74" i="141"/>
  <c r="R73" i="141"/>
  <c r="R71" i="141"/>
  <c r="R70" i="141"/>
  <c r="R69" i="141"/>
  <c r="R68" i="141"/>
  <c r="R67" i="141"/>
  <c r="R66" i="141"/>
  <c r="R65" i="141"/>
  <c r="P90" i="141"/>
  <c r="P89" i="141"/>
  <c r="P88" i="141"/>
  <c r="P87" i="141"/>
  <c r="P84" i="141"/>
  <c r="P83" i="141"/>
  <c r="P82" i="141"/>
  <c r="P81" i="141"/>
  <c r="P80" i="141"/>
  <c r="P79" i="141"/>
  <c r="P78" i="141"/>
  <c r="P77" i="141"/>
  <c r="P76" i="141"/>
  <c r="P75" i="141"/>
  <c r="P74" i="141"/>
  <c r="P73" i="141"/>
  <c r="P72" i="141"/>
  <c r="P71" i="141"/>
  <c r="P70" i="141"/>
  <c r="P69" i="141"/>
  <c r="P68" i="141"/>
  <c r="P67" i="141"/>
  <c r="P66" i="141"/>
  <c r="P65" i="141"/>
  <c r="N90" i="141"/>
  <c r="N89" i="141"/>
  <c r="N88" i="141"/>
  <c r="N84" i="141"/>
  <c r="N83" i="141"/>
  <c r="N82" i="141"/>
  <c r="N81" i="141"/>
  <c r="N80" i="141"/>
  <c r="N79" i="141"/>
  <c r="N78" i="141"/>
  <c r="N77" i="141"/>
  <c r="N76" i="141"/>
  <c r="N75" i="141"/>
  <c r="N74" i="141"/>
  <c r="N73" i="141"/>
  <c r="N72" i="141"/>
  <c r="N71" i="141"/>
  <c r="N70" i="141"/>
  <c r="N69" i="141"/>
  <c r="N68" i="141"/>
  <c r="N67" i="141"/>
  <c r="N66" i="141"/>
  <c r="N65" i="141"/>
  <c r="M65" i="141"/>
  <c r="M90" i="141"/>
  <c r="M89" i="141"/>
  <c r="M88" i="141"/>
  <c r="M87" i="141"/>
  <c r="M84" i="141"/>
  <c r="M83" i="141"/>
  <c r="M82" i="141"/>
  <c r="M80" i="141"/>
  <c r="M79" i="141"/>
  <c r="M75" i="141"/>
  <c r="M74" i="141"/>
  <c r="M73" i="141"/>
  <c r="M72" i="141"/>
  <c r="M70" i="141"/>
  <c r="M69" i="141"/>
  <c r="M68" i="141"/>
  <c r="M67" i="141"/>
  <c r="M66" i="141"/>
  <c r="L89" i="141"/>
  <c r="L88" i="141"/>
  <c r="L84" i="141"/>
  <c r="L83" i="141"/>
  <c r="L82" i="141"/>
  <c r="L81" i="141"/>
  <c r="L80" i="141"/>
  <c r="L79" i="141"/>
  <c r="L78" i="141"/>
  <c r="L77" i="141"/>
  <c r="L76" i="141"/>
  <c r="L75" i="141"/>
  <c r="L74" i="141"/>
  <c r="L73" i="141"/>
  <c r="L72" i="141"/>
  <c r="L71" i="141"/>
  <c r="L70" i="141"/>
  <c r="L69" i="141"/>
  <c r="L68" i="141"/>
  <c r="L67" i="141"/>
  <c r="L66" i="141"/>
  <c r="L65" i="141"/>
  <c r="K89" i="141"/>
  <c r="K67" i="141"/>
  <c r="K73" i="141"/>
  <c r="K79" i="141"/>
  <c r="K82" i="141"/>
  <c r="K84" i="141"/>
  <c r="J90" i="141"/>
  <c r="J89" i="141"/>
  <c r="J88" i="141"/>
  <c r="J87" i="141"/>
  <c r="J84" i="141"/>
  <c r="J83" i="141"/>
  <c r="J82" i="141"/>
  <c r="J81" i="141"/>
  <c r="J80" i="141"/>
  <c r="J79" i="141"/>
  <c r="J78" i="141"/>
  <c r="J77" i="141"/>
  <c r="J76" i="141"/>
  <c r="J75" i="141"/>
  <c r="J74" i="141"/>
  <c r="J73" i="141"/>
  <c r="J72" i="141"/>
  <c r="J71" i="141"/>
  <c r="J70" i="141"/>
  <c r="J69" i="141"/>
  <c r="J68" i="141"/>
  <c r="J67" i="141"/>
  <c r="J66" i="141"/>
  <c r="J65" i="141"/>
  <c r="I79" i="141"/>
  <c r="I89" i="141"/>
  <c r="I67" i="141"/>
  <c r="I73" i="141"/>
  <c r="I82" i="141"/>
  <c r="I84" i="141"/>
  <c r="H89" i="141"/>
  <c r="H67" i="141"/>
  <c r="H73" i="141"/>
  <c r="H79" i="141"/>
  <c r="H82" i="141"/>
  <c r="H84" i="141"/>
  <c r="G89" i="141"/>
  <c r="G67" i="141"/>
  <c r="G73" i="141"/>
  <c r="G79" i="141"/>
  <c r="G82" i="141"/>
  <c r="G84" i="141"/>
  <c r="F54" i="141"/>
  <c r="E54" i="141"/>
  <c r="G53" i="141"/>
  <c r="G52" i="141"/>
  <c r="F49" i="141"/>
  <c r="E49" i="141"/>
  <c r="G48" i="141"/>
  <c r="G47" i="141"/>
  <c r="G46" i="141"/>
  <c r="G45" i="141"/>
  <c r="G44" i="141"/>
  <c r="G43" i="141"/>
  <c r="G42" i="141"/>
  <c r="F40" i="141"/>
  <c r="E40" i="141"/>
  <c r="E50" i="141"/>
  <c r="E55" i="141"/>
  <c r="G39" i="141"/>
  <c r="G38" i="141"/>
  <c r="G37" i="141"/>
  <c r="G36" i="141"/>
  <c r="G35" i="141"/>
  <c r="G34" i="141"/>
  <c r="G33" i="141"/>
  <c r="F29" i="141"/>
  <c r="G29" i="141"/>
  <c r="E29" i="141"/>
  <c r="G28" i="141"/>
  <c r="G27" i="141"/>
  <c r="G26" i="141"/>
  <c r="G25" i="141"/>
  <c r="G24" i="141"/>
  <c r="G23" i="141"/>
  <c r="G22" i="141"/>
  <c r="G21" i="141"/>
  <c r="G20" i="141"/>
  <c r="G19" i="141"/>
  <c r="F17" i="141"/>
  <c r="E17" i="141"/>
  <c r="E30" i="141"/>
  <c r="G16" i="141"/>
  <c r="G15" i="141"/>
  <c r="G14" i="141"/>
  <c r="G13" i="141"/>
  <c r="G12" i="141"/>
  <c r="F90" i="141"/>
  <c r="E90" i="141"/>
  <c r="C90" i="141"/>
  <c r="F89" i="141"/>
  <c r="E89" i="141"/>
  <c r="D89" i="141"/>
  <c r="C89" i="141"/>
  <c r="B89" i="141"/>
  <c r="F88" i="141"/>
  <c r="E88" i="141"/>
  <c r="C88" i="141"/>
  <c r="F87" i="141"/>
  <c r="E87" i="141"/>
  <c r="C87" i="141"/>
  <c r="F83" i="141"/>
  <c r="E83" i="141"/>
  <c r="C83" i="141"/>
  <c r="B82" i="141"/>
  <c r="C82" i="141"/>
  <c r="E81" i="141"/>
  <c r="C81" i="141"/>
  <c r="F80" i="141"/>
  <c r="E80" i="141"/>
  <c r="C80" i="141"/>
  <c r="D79" i="141"/>
  <c r="D82" i="141"/>
  <c r="B79" i="141"/>
  <c r="C79" i="141"/>
  <c r="E78" i="141"/>
  <c r="C78" i="141"/>
  <c r="E77" i="141"/>
  <c r="C77" i="141"/>
  <c r="F76" i="141"/>
  <c r="E76" i="141"/>
  <c r="C76" i="141"/>
  <c r="F75" i="141"/>
  <c r="E75" i="141"/>
  <c r="C75" i="141"/>
  <c r="F74" i="141"/>
  <c r="E74" i="141"/>
  <c r="C74" i="141"/>
  <c r="F73" i="141"/>
  <c r="D73" i="141"/>
  <c r="E73" i="141"/>
  <c r="B73" i="141"/>
  <c r="C73" i="141"/>
  <c r="F72" i="141"/>
  <c r="E72" i="141"/>
  <c r="C72" i="141"/>
  <c r="E71" i="141"/>
  <c r="C71" i="141"/>
  <c r="F70" i="141"/>
  <c r="E70" i="141"/>
  <c r="C70" i="141"/>
  <c r="F69" i="141"/>
  <c r="E69" i="141"/>
  <c r="C69" i="141"/>
  <c r="F68" i="141"/>
  <c r="E68" i="141"/>
  <c r="C68" i="141"/>
  <c r="F67" i="141"/>
  <c r="E67" i="141"/>
  <c r="D67" i="141"/>
  <c r="C67" i="141"/>
  <c r="B67" i="141"/>
  <c r="F66" i="141"/>
  <c r="E66" i="141"/>
  <c r="C66" i="141"/>
  <c r="F65" i="141"/>
  <c r="E65" i="141"/>
  <c r="C65" i="141"/>
  <c r="D54" i="141"/>
  <c r="C54" i="141"/>
  <c r="B54" i="141"/>
  <c r="D53" i="141"/>
  <c r="D52" i="141"/>
  <c r="C50" i="141"/>
  <c r="D50" i="141"/>
  <c r="B50" i="141"/>
  <c r="B55" i="141"/>
  <c r="D49" i="141"/>
  <c r="C49" i="141"/>
  <c r="B49" i="141"/>
  <c r="D48" i="141"/>
  <c r="D47" i="141"/>
  <c r="D46" i="141"/>
  <c r="D45" i="141"/>
  <c r="D44" i="141"/>
  <c r="D43" i="141"/>
  <c r="D42" i="141"/>
  <c r="D40" i="141"/>
  <c r="C40" i="141"/>
  <c r="B40" i="141"/>
  <c r="D39" i="141"/>
  <c r="D38" i="141"/>
  <c r="D37" i="141"/>
  <c r="D36" i="141"/>
  <c r="D35" i="141"/>
  <c r="D34" i="141"/>
  <c r="D33" i="141"/>
  <c r="D30" i="141"/>
  <c r="C30" i="141"/>
  <c r="B30" i="141"/>
  <c r="D29" i="141"/>
  <c r="C29" i="141"/>
  <c r="B29" i="141"/>
  <c r="D28" i="141"/>
  <c r="D27" i="141"/>
  <c r="D26" i="141"/>
  <c r="D25" i="141"/>
  <c r="D24" i="141"/>
  <c r="D23" i="141"/>
  <c r="D22" i="141"/>
  <c r="D21" i="141"/>
  <c r="D20" i="141"/>
  <c r="D19" i="141"/>
  <c r="D17" i="141"/>
  <c r="C17" i="141"/>
  <c r="B17" i="141"/>
  <c r="D16" i="141"/>
  <c r="D15" i="141"/>
  <c r="D14" i="141"/>
  <c r="D13" i="141"/>
  <c r="D12" i="141"/>
  <c r="D11" i="141"/>
  <c r="D23" i="140"/>
  <c r="D47" i="140"/>
  <c r="D43" i="140"/>
  <c r="D34" i="140"/>
  <c r="C29" i="140"/>
  <c r="B40" i="140"/>
  <c r="B50" i="140"/>
  <c r="B55" i="140"/>
  <c r="F90" i="140"/>
  <c r="E90" i="140"/>
  <c r="C90" i="140"/>
  <c r="D89" i="140"/>
  <c r="B89" i="140"/>
  <c r="C89" i="140"/>
  <c r="F88" i="140"/>
  <c r="E88" i="140"/>
  <c r="C88" i="140"/>
  <c r="F87" i="140"/>
  <c r="E87" i="140"/>
  <c r="C87" i="140"/>
  <c r="F83" i="140"/>
  <c r="E83" i="140"/>
  <c r="C83" i="140"/>
  <c r="E81" i="140"/>
  <c r="C81" i="140"/>
  <c r="F80" i="140"/>
  <c r="E80" i="140"/>
  <c r="C80" i="140"/>
  <c r="E78" i="140"/>
  <c r="C78" i="140"/>
  <c r="E77" i="140"/>
  <c r="C77" i="140"/>
  <c r="F76" i="140"/>
  <c r="E76" i="140"/>
  <c r="C76" i="140"/>
  <c r="F75" i="140"/>
  <c r="E75" i="140"/>
  <c r="C75" i="140"/>
  <c r="F74" i="140"/>
  <c r="E74" i="140"/>
  <c r="C74" i="140"/>
  <c r="F72" i="140"/>
  <c r="E72" i="140"/>
  <c r="C72" i="140"/>
  <c r="E71" i="140"/>
  <c r="C71" i="140"/>
  <c r="F70" i="140"/>
  <c r="E70" i="140"/>
  <c r="C70" i="140"/>
  <c r="F69" i="140"/>
  <c r="E69" i="140"/>
  <c r="C69" i="140"/>
  <c r="F68" i="140"/>
  <c r="E68" i="140"/>
  <c r="C68" i="140"/>
  <c r="D67" i="140"/>
  <c r="D73" i="140"/>
  <c r="B67" i="140"/>
  <c r="B73" i="140"/>
  <c r="F66" i="140"/>
  <c r="E66" i="140"/>
  <c r="C66" i="140"/>
  <c r="F65" i="140"/>
  <c r="E65" i="140"/>
  <c r="C65" i="140"/>
  <c r="C54" i="140"/>
  <c r="D54" i="140"/>
  <c r="B54" i="140"/>
  <c r="D53" i="140"/>
  <c r="D52" i="140"/>
  <c r="C49" i="140"/>
  <c r="D49" i="140"/>
  <c r="B49" i="140"/>
  <c r="D48" i="140"/>
  <c r="D46" i="140"/>
  <c r="D45" i="140"/>
  <c r="D44" i="140"/>
  <c r="D42" i="140"/>
  <c r="C40" i="140"/>
  <c r="C50" i="140"/>
  <c r="D39" i="140"/>
  <c r="D38" i="140"/>
  <c r="D37" i="140"/>
  <c r="D36" i="140"/>
  <c r="D35" i="140"/>
  <c r="D33" i="140"/>
  <c r="B29" i="140"/>
  <c r="D28" i="140"/>
  <c r="D27" i="140"/>
  <c r="D26" i="140"/>
  <c r="D25" i="140"/>
  <c r="D24" i="140"/>
  <c r="D22" i="140"/>
  <c r="D21" i="140"/>
  <c r="D20" i="140"/>
  <c r="D19" i="140"/>
  <c r="C17" i="140"/>
  <c r="C30" i="140"/>
  <c r="B17" i="140"/>
  <c r="D17" i="140"/>
  <c r="D16" i="140"/>
  <c r="D15" i="140"/>
  <c r="D14" i="140"/>
  <c r="D13" i="140"/>
  <c r="D12" i="140"/>
  <c r="D11" i="140"/>
  <c r="V66" i="139"/>
  <c r="U67" i="139"/>
  <c r="V92" i="139"/>
  <c r="V91" i="139"/>
  <c r="V90" i="139"/>
  <c r="V89" i="139"/>
  <c r="V86" i="139"/>
  <c r="V85" i="139"/>
  <c r="V84" i="139"/>
  <c r="V83" i="139"/>
  <c r="V82" i="139"/>
  <c r="V81" i="139"/>
  <c r="V80" i="139"/>
  <c r="V79" i="139"/>
  <c r="V78" i="139"/>
  <c r="V77" i="139"/>
  <c r="V76" i="139"/>
  <c r="V75" i="139"/>
  <c r="V74" i="139"/>
  <c r="V73" i="139"/>
  <c r="V71" i="139"/>
  <c r="V70" i="139"/>
  <c r="V69" i="139"/>
  <c r="V68" i="139"/>
  <c r="V67" i="139"/>
  <c r="W92" i="139"/>
  <c r="AA89" i="139"/>
  <c r="X66" i="139"/>
  <c r="Z66" i="139"/>
  <c r="AA66" i="139"/>
  <c r="AA82" i="139"/>
  <c r="AA85" i="139"/>
  <c r="AA90" i="139"/>
  <c r="AA91" i="139"/>
  <c r="AA92" i="139"/>
  <c r="Y92" i="139"/>
  <c r="Y90" i="139"/>
  <c r="Y89" i="139"/>
  <c r="Y85" i="139"/>
  <c r="Y83" i="139"/>
  <c r="Y82" i="139"/>
  <c r="Y80" i="139"/>
  <c r="Y79" i="139"/>
  <c r="Y78" i="139"/>
  <c r="Y77" i="139"/>
  <c r="Y76" i="139"/>
  <c r="Y75" i="139"/>
  <c r="Y73" i="139"/>
  <c r="Y72" i="139"/>
  <c r="Y71" i="139"/>
  <c r="Y70" i="139"/>
  <c r="Y69" i="139"/>
  <c r="Y67" i="139"/>
  <c r="Y66" i="139"/>
  <c r="W90" i="139"/>
  <c r="W89" i="139"/>
  <c r="W85" i="139"/>
  <c r="W83" i="139"/>
  <c r="AA83" i="139"/>
  <c r="W82" i="139"/>
  <c r="W80" i="139"/>
  <c r="AA80" i="139"/>
  <c r="W79" i="139"/>
  <c r="W78" i="139"/>
  <c r="W77" i="139"/>
  <c r="W76" i="139"/>
  <c r="W75" i="139"/>
  <c r="W73" i="139"/>
  <c r="W72" i="139"/>
  <c r="W71" i="139"/>
  <c r="W70" i="139"/>
  <c r="W69" i="139"/>
  <c r="W67" i="139"/>
  <c r="W66" i="139"/>
  <c r="U66" i="139"/>
  <c r="S92" i="139"/>
  <c r="S90" i="139"/>
  <c r="S89" i="139"/>
  <c r="S85" i="139"/>
  <c r="S83" i="139"/>
  <c r="S82" i="139"/>
  <c r="S80" i="139"/>
  <c r="S79" i="139"/>
  <c r="S78" i="139"/>
  <c r="S77" i="139"/>
  <c r="S76" i="139"/>
  <c r="S75" i="139"/>
  <c r="S73" i="139"/>
  <c r="S72" i="139"/>
  <c r="S71" i="139"/>
  <c r="S70" i="139"/>
  <c r="S69" i="139"/>
  <c r="S67" i="139"/>
  <c r="S66" i="139"/>
  <c r="R91" i="139"/>
  <c r="S91" i="139"/>
  <c r="Q91" i="139"/>
  <c r="P91" i="139"/>
  <c r="Q81" i="139"/>
  <c r="Q84" i="139"/>
  <c r="Q86" i="139"/>
  <c r="R68" i="139"/>
  <c r="R74" i="139"/>
  <c r="R81" i="139"/>
  <c r="R84" i="139"/>
  <c r="R86" i="139"/>
  <c r="S86" i="139"/>
  <c r="Q68" i="139"/>
  <c r="Q74" i="139"/>
  <c r="L55" i="139"/>
  <c r="K55" i="139"/>
  <c r="M54" i="139"/>
  <c r="M53" i="139"/>
  <c r="L50" i="139"/>
  <c r="K50" i="139"/>
  <c r="M49" i="139"/>
  <c r="M47" i="139"/>
  <c r="M46" i="139"/>
  <c r="M45" i="139"/>
  <c r="M43" i="139"/>
  <c r="L41" i="139"/>
  <c r="K41" i="139"/>
  <c r="M40" i="139"/>
  <c r="M39" i="139"/>
  <c r="M38" i="139"/>
  <c r="M37" i="139"/>
  <c r="M36" i="139"/>
  <c r="M34" i="139"/>
  <c r="L30" i="139"/>
  <c r="K30" i="139"/>
  <c r="M29" i="139"/>
  <c r="M28" i="139"/>
  <c r="M27" i="139"/>
  <c r="M26" i="139"/>
  <c r="M25" i="139"/>
  <c r="M23" i="139"/>
  <c r="M22" i="139"/>
  <c r="M21" i="139"/>
  <c r="M20" i="139"/>
  <c r="L18" i="139"/>
  <c r="K18" i="139"/>
  <c r="M17" i="139"/>
  <c r="M16" i="139"/>
  <c r="M15" i="139"/>
  <c r="M14" i="139"/>
  <c r="M13" i="139"/>
  <c r="M12" i="139"/>
  <c r="U92" i="139"/>
  <c r="K92" i="139"/>
  <c r="J92" i="139"/>
  <c r="H92" i="139"/>
  <c r="F92" i="139"/>
  <c r="E92" i="139"/>
  <c r="C92" i="139"/>
  <c r="T91" i="139"/>
  <c r="O91" i="139"/>
  <c r="N91" i="139"/>
  <c r="M91" i="139"/>
  <c r="L91" i="139"/>
  <c r="K91" i="139"/>
  <c r="J91" i="139"/>
  <c r="H91" i="139"/>
  <c r="D91" i="139"/>
  <c r="E91" i="139"/>
  <c r="B91" i="139"/>
  <c r="C91" i="139"/>
  <c r="U90" i="139"/>
  <c r="K90" i="139"/>
  <c r="J90" i="139"/>
  <c r="H90" i="139"/>
  <c r="F90" i="139"/>
  <c r="E90" i="139"/>
  <c r="C90" i="139"/>
  <c r="U89" i="139"/>
  <c r="K89" i="139"/>
  <c r="J89" i="139"/>
  <c r="H89" i="139"/>
  <c r="F89" i="139"/>
  <c r="E89" i="139"/>
  <c r="C89" i="139"/>
  <c r="U85" i="139"/>
  <c r="K85" i="139"/>
  <c r="J85" i="139"/>
  <c r="H85" i="139"/>
  <c r="F85" i="139"/>
  <c r="E85" i="139"/>
  <c r="C85" i="139"/>
  <c r="U83" i="139"/>
  <c r="K83" i="139"/>
  <c r="J83" i="139"/>
  <c r="H83" i="139"/>
  <c r="F83" i="139"/>
  <c r="E83" i="139"/>
  <c r="C83" i="139"/>
  <c r="U82" i="139"/>
  <c r="K82" i="139"/>
  <c r="J82" i="139"/>
  <c r="H82" i="139"/>
  <c r="F82" i="139"/>
  <c r="E82" i="139"/>
  <c r="C82" i="139"/>
  <c r="U80" i="139"/>
  <c r="K80" i="139"/>
  <c r="J80" i="139"/>
  <c r="H80" i="139"/>
  <c r="E80" i="139"/>
  <c r="C80" i="139"/>
  <c r="U79" i="139"/>
  <c r="K79" i="139"/>
  <c r="J79" i="139"/>
  <c r="H79" i="139"/>
  <c r="F79" i="139"/>
  <c r="E79" i="139"/>
  <c r="C79" i="139"/>
  <c r="U78" i="139"/>
  <c r="K78" i="139"/>
  <c r="J78" i="139"/>
  <c r="H78" i="139"/>
  <c r="F78" i="139"/>
  <c r="E78" i="139"/>
  <c r="C78" i="139"/>
  <c r="AA77" i="139"/>
  <c r="U77" i="139"/>
  <c r="K77" i="139"/>
  <c r="J77" i="139"/>
  <c r="H77" i="139"/>
  <c r="F77" i="139"/>
  <c r="E77" i="139"/>
  <c r="C77" i="139"/>
  <c r="U76" i="139"/>
  <c r="K76" i="139"/>
  <c r="J76" i="139"/>
  <c r="H76" i="139"/>
  <c r="F76" i="139"/>
  <c r="E76" i="139"/>
  <c r="C76" i="139"/>
  <c r="U75" i="139"/>
  <c r="K75" i="139"/>
  <c r="J75" i="139"/>
  <c r="H75" i="139"/>
  <c r="F75" i="139"/>
  <c r="E75" i="139"/>
  <c r="C75" i="139"/>
  <c r="I74" i="139"/>
  <c r="I81" i="139"/>
  <c r="G74" i="139"/>
  <c r="H74" i="139"/>
  <c r="U73" i="139"/>
  <c r="K73" i="139"/>
  <c r="J73" i="139"/>
  <c r="H73" i="139"/>
  <c r="F73" i="139"/>
  <c r="E73" i="139"/>
  <c r="C73" i="139"/>
  <c r="U72" i="139"/>
  <c r="K72" i="139"/>
  <c r="J72" i="139"/>
  <c r="H72" i="139"/>
  <c r="F72" i="139"/>
  <c r="E72" i="139"/>
  <c r="C72" i="139"/>
  <c r="U71" i="139"/>
  <c r="K71" i="139"/>
  <c r="J71" i="139"/>
  <c r="H71" i="139"/>
  <c r="F71" i="139"/>
  <c r="E71" i="139"/>
  <c r="C71" i="139"/>
  <c r="U70" i="139"/>
  <c r="K70" i="139"/>
  <c r="J70" i="139"/>
  <c r="H70" i="139"/>
  <c r="F70" i="139"/>
  <c r="E70" i="139"/>
  <c r="C70" i="139"/>
  <c r="U69" i="139"/>
  <c r="K69" i="139"/>
  <c r="J69" i="139"/>
  <c r="H69" i="139"/>
  <c r="F69" i="139"/>
  <c r="E69" i="139"/>
  <c r="C69" i="139"/>
  <c r="U68" i="139"/>
  <c r="T68" i="139"/>
  <c r="P68" i="139"/>
  <c r="P74" i="139"/>
  <c r="O68" i="139"/>
  <c r="N68" i="139"/>
  <c r="N74" i="139"/>
  <c r="N81" i="139"/>
  <c r="N84" i="139"/>
  <c r="N86" i="139"/>
  <c r="M68" i="139"/>
  <c r="L68" i="139"/>
  <c r="K68" i="139"/>
  <c r="J68" i="139"/>
  <c r="H68" i="139"/>
  <c r="D68" i="139"/>
  <c r="D74" i="139"/>
  <c r="B68" i="139"/>
  <c r="C68" i="139"/>
  <c r="K67" i="139"/>
  <c r="J67" i="139"/>
  <c r="H67" i="139"/>
  <c r="F67" i="139"/>
  <c r="E67" i="139"/>
  <c r="C67" i="139"/>
  <c r="Z90" i="139"/>
  <c r="K66" i="139"/>
  <c r="J66" i="139"/>
  <c r="H66" i="139"/>
  <c r="F66" i="139"/>
  <c r="E66" i="139"/>
  <c r="C66" i="139"/>
  <c r="I55" i="139"/>
  <c r="J55" i="139"/>
  <c r="H55" i="139"/>
  <c r="F55" i="139"/>
  <c r="E55" i="139"/>
  <c r="C55" i="139"/>
  <c r="B55" i="139"/>
  <c r="J54" i="139"/>
  <c r="G54" i="139"/>
  <c r="D54" i="139"/>
  <c r="J53" i="139"/>
  <c r="G53" i="139"/>
  <c r="D53" i="139"/>
  <c r="I50" i="139"/>
  <c r="J50" i="139"/>
  <c r="H50" i="139"/>
  <c r="F50" i="139"/>
  <c r="E50" i="139"/>
  <c r="G50" i="139"/>
  <c r="C50" i="139"/>
  <c r="D50" i="139"/>
  <c r="B50" i="139"/>
  <c r="J49" i="139"/>
  <c r="G49" i="139"/>
  <c r="D49" i="139"/>
  <c r="J47" i="139"/>
  <c r="G47" i="139"/>
  <c r="D47" i="139"/>
  <c r="J46" i="139"/>
  <c r="G46" i="139"/>
  <c r="D46" i="139"/>
  <c r="J45" i="139"/>
  <c r="G45" i="139"/>
  <c r="D45" i="139"/>
  <c r="J43" i="139"/>
  <c r="G43" i="139"/>
  <c r="D43" i="139"/>
  <c r="I41" i="139"/>
  <c r="H41" i="139"/>
  <c r="F41" i="139"/>
  <c r="F51" i="139"/>
  <c r="E41" i="139"/>
  <c r="C41" i="139"/>
  <c r="B41" i="139"/>
  <c r="J40" i="139"/>
  <c r="G40" i="139"/>
  <c r="D40" i="139"/>
  <c r="J39" i="139"/>
  <c r="G39" i="139"/>
  <c r="D39" i="139"/>
  <c r="J38" i="139"/>
  <c r="G38" i="139"/>
  <c r="D38" i="139"/>
  <c r="J37" i="139"/>
  <c r="G37" i="139"/>
  <c r="D37" i="139"/>
  <c r="J36" i="139"/>
  <c r="G36" i="139"/>
  <c r="D36" i="139"/>
  <c r="J34" i="139"/>
  <c r="G34" i="139"/>
  <c r="D34" i="139"/>
  <c r="I30" i="139"/>
  <c r="H30" i="139"/>
  <c r="G30" i="139"/>
  <c r="F30" i="139"/>
  <c r="E30" i="139"/>
  <c r="C30" i="139"/>
  <c r="B30" i="139"/>
  <c r="B31" i="139"/>
  <c r="J29" i="139"/>
  <c r="G29" i="139"/>
  <c r="D29" i="139"/>
  <c r="J28" i="139"/>
  <c r="G28" i="139"/>
  <c r="D28" i="139"/>
  <c r="J27" i="139"/>
  <c r="G27" i="139"/>
  <c r="D27" i="139"/>
  <c r="J26" i="139"/>
  <c r="G26" i="139"/>
  <c r="D26" i="139"/>
  <c r="J25" i="139"/>
  <c r="G25" i="139"/>
  <c r="D25" i="139"/>
  <c r="J23" i="139"/>
  <c r="G23" i="139"/>
  <c r="D23" i="139"/>
  <c r="J22" i="139"/>
  <c r="G22" i="139"/>
  <c r="D22" i="139"/>
  <c r="J21" i="139"/>
  <c r="G21" i="139"/>
  <c r="D21" i="139"/>
  <c r="J20" i="139"/>
  <c r="G20" i="139"/>
  <c r="D20" i="139"/>
  <c r="J18" i="139"/>
  <c r="I18" i="139"/>
  <c r="I31" i="139"/>
  <c r="H18" i="139"/>
  <c r="F18" i="139"/>
  <c r="E18" i="139"/>
  <c r="E31" i="139"/>
  <c r="C18" i="139"/>
  <c r="B18" i="139"/>
  <c r="J17" i="139"/>
  <c r="G17" i="139"/>
  <c r="D17" i="139"/>
  <c r="J16" i="139"/>
  <c r="G16" i="139"/>
  <c r="D16" i="139"/>
  <c r="J15" i="139"/>
  <c r="G15" i="139"/>
  <c r="D15" i="139"/>
  <c r="J14" i="139"/>
  <c r="G14" i="139"/>
  <c r="D14" i="139"/>
  <c r="J13" i="139"/>
  <c r="G13" i="139"/>
  <c r="D13" i="139"/>
  <c r="J12" i="139"/>
  <c r="G12" i="139"/>
  <c r="D12" i="139"/>
  <c r="V65" i="138"/>
  <c r="M90" i="138"/>
  <c r="M67" i="138"/>
  <c r="M73" i="138"/>
  <c r="L90" i="138"/>
  <c r="U90" i="138"/>
  <c r="L67" i="138"/>
  <c r="L73" i="138"/>
  <c r="U65" i="138"/>
  <c r="W91" i="138"/>
  <c r="W89" i="138"/>
  <c r="X89" i="138"/>
  <c r="W88" i="138"/>
  <c r="W84" i="138"/>
  <c r="W82" i="138"/>
  <c r="X82" i="138"/>
  <c r="W81" i="138"/>
  <c r="X81" i="138"/>
  <c r="W79" i="138"/>
  <c r="W78" i="138"/>
  <c r="W77" i="138"/>
  <c r="X77" i="138"/>
  <c r="W76" i="138"/>
  <c r="W75" i="138"/>
  <c r="W74" i="138"/>
  <c r="W72" i="138"/>
  <c r="W71" i="138"/>
  <c r="X71" i="138"/>
  <c r="W70" i="138"/>
  <c r="W69" i="138"/>
  <c r="W68" i="138"/>
  <c r="W66" i="138"/>
  <c r="W65" i="138"/>
  <c r="X65" i="138"/>
  <c r="V84" i="138"/>
  <c r="V68" i="138"/>
  <c r="U91" i="138"/>
  <c r="U89" i="138"/>
  <c r="V89" i="138"/>
  <c r="U88" i="138"/>
  <c r="V88" i="138"/>
  <c r="U84" i="138"/>
  <c r="U82" i="138"/>
  <c r="V82" i="138"/>
  <c r="U81" i="138"/>
  <c r="U79" i="138"/>
  <c r="V79" i="138"/>
  <c r="U78" i="138"/>
  <c r="V78" i="138"/>
  <c r="U77" i="138"/>
  <c r="V77" i="138"/>
  <c r="U76" i="138"/>
  <c r="Y76" i="138"/>
  <c r="U75" i="138"/>
  <c r="V75" i="138"/>
  <c r="U74" i="138"/>
  <c r="V74" i="138"/>
  <c r="U72" i="138"/>
  <c r="U71" i="138"/>
  <c r="V71" i="138"/>
  <c r="U70" i="138"/>
  <c r="V70" i="138"/>
  <c r="U69" i="138"/>
  <c r="V69" i="138"/>
  <c r="U68" i="138"/>
  <c r="U66" i="138"/>
  <c r="V66" i="138"/>
  <c r="T91" i="138"/>
  <c r="T89" i="138"/>
  <c r="T88" i="138"/>
  <c r="T84" i="138"/>
  <c r="T81" i="138"/>
  <c r="T79" i="138"/>
  <c r="T77" i="138"/>
  <c r="T75" i="138"/>
  <c r="T74" i="138"/>
  <c r="T72" i="138"/>
  <c r="T71" i="138"/>
  <c r="T70" i="138"/>
  <c r="T69" i="138"/>
  <c r="T68" i="138"/>
  <c r="T66" i="138"/>
  <c r="T65" i="138"/>
  <c r="S65" i="138"/>
  <c r="Q91" i="138"/>
  <c r="Q90" i="138"/>
  <c r="Q89" i="138"/>
  <c r="Q88" i="138"/>
  <c r="Q84" i="138"/>
  <c r="Q82" i="138"/>
  <c r="Q81" i="138"/>
  <c r="Q79" i="138"/>
  <c r="Q78" i="138"/>
  <c r="Q77" i="138"/>
  <c r="Q76" i="138"/>
  <c r="Q75" i="138"/>
  <c r="Q74" i="138"/>
  <c r="Q72" i="138"/>
  <c r="Q71" i="138"/>
  <c r="Q70" i="138"/>
  <c r="Q69" i="138"/>
  <c r="Q68" i="138"/>
  <c r="Q66" i="138"/>
  <c r="Q65" i="138"/>
  <c r="P67" i="138"/>
  <c r="Q67" i="138"/>
  <c r="O90" i="138"/>
  <c r="O67" i="138"/>
  <c r="O73" i="138"/>
  <c r="O80" i="138"/>
  <c r="O83" i="138"/>
  <c r="O85" i="138"/>
  <c r="N90" i="138"/>
  <c r="N67" i="138"/>
  <c r="N73" i="138"/>
  <c r="N80" i="138"/>
  <c r="N83" i="138"/>
  <c r="N85" i="138"/>
  <c r="I73" i="138"/>
  <c r="I80" i="138"/>
  <c r="J80" i="138"/>
  <c r="G73" i="138"/>
  <c r="G80" i="138"/>
  <c r="K65" i="138"/>
  <c r="J91" i="138"/>
  <c r="J90" i="138"/>
  <c r="J89" i="138"/>
  <c r="J88" i="138"/>
  <c r="J84" i="138"/>
  <c r="J82" i="138"/>
  <c r="J81" i="138"/>
  <c r="J79" i="138"/>
  <c r="J78" i="138"/>
  <c r="J77" i="138"/>
  <c r="J76" i="138"/>
  <c r="J75" i="138"/>
  <c r="J74" i="138"/>
  <c r="J73" i="138"/>
  <c r="J72" i="138"/>
  <c r="J71" i="138"/>
  <c r="J70" i="138"/>
  <c r="J69" i="138"/>
  <c r="J68" i="138"/>
  <c r="J67" i="138"/>
  <c r="J66" i="138"/>
  <c r="J65" i="138"/>
  <c r="F65" i="138"/>
  <c r="H91" i="138"/>
  <c r="H90" i="138"/>
  <c r="H89" i="138"/>
  <c r="H88" i="138"/>
  <c r="H84" i="138"/>
  <c r="H82" i="138"/>
  <c r="H81" i="138"/>
  <c r="H79" i="138"/>
  <c r="H78" i="138"/>
  <c r="H77" i="138"/>
  <c r="H76" i="138"/>
  <c r="H75" i="138"/>
  <c r="H74" i="138"/>
  <c r="H72" i="138"/>
  <c r="H71" i="138"/>
  <c r="H70" i="138"/>
  <c r="H69" i="138"/>
  <c r="H68" i="138"/>
  <c r="H67" i="138"/>
  <c r="H66" i="138"/>
  <c r="H65" i="138"/>
  <c r="K91" i="138"/>
  <c r="K89" i="138"/>
  <c r="K88" i="138"/>
  <c r="K84" i="138"/>
  <c r="K82" i="138"/>
  <c r="K81" i="138"/>
  <c r="K79" i="138"/>
  <c r="K78" i="138"/>
  <c r="K77" i="138"/>
  <c r="K76" i="138"/>
  <c r="K75" i="138"/>
  <c r="K74" i="138"/>
  <c r="K72" i="138"/>
  <c r="K71" i="138"/>
  <c r="K70" i="138"/>
  <c r="K69" i="138"/>
  <c r="K68" i="138"/>
  <c r="K66" i="138"/>
  <c r="V90" i="138"/>
  <c r="P73" i="138"/>
  <c r="U67" i="138"/>
  <c r="V67" i="138"/>
  <c r="Y68" i="138"/>
  <c r="Y72" i="138"/>
  <c r="V72" i="138"/>
  <c r="X69" i="138"/>
  <c r="X74" i="138"/>
  <c r="X78" i="138"/>
  <c r="X91" i="138"/>
  <c r="Y84" i="138"/>
  <c r="V76" i="138"/>
  <c r="X66" i="138"/>
  <c r="X70" i="138"/>
  <c r="X75" i="138"/>
  <c r="X79" i="138"/>
  <c r="X88" i="138"/>
  <c r="M80" i="138"/>
  <c r="X72" i="138"/>
  <c r="Y65" i="138"/>
  <c r="X68" i="138"/>
  <c r="X76" i="138"/>
  <c r="X84" i="138"/>
  <c r="Y91" i="138"/>
  <c r="Y81" i="138"/>
  <c r="L80" i="138"/>
  <c r="U73" i="138"/>
  <c r="Y69" i="138"/>
  <c r="Y77" i="138"/>
  <c r="V81" i="138"/>
  <c r="V91" i="138"/>
  <c r="Y66" i="138"/>
  <c r="Y70" i="138"/>
  <c r="Y74" i="138"/>
  <c r="Y82" i="138"/>
  <c r="Y88" i="138"/>
  <c r="Y75" i="138"/>
  <c r="Y79" i="138"/>
  <c r="Y89" i="138"/>
  <c r="H73" i="138"/>
  <c r="G83" i="138"/>
  <c r="H80" i="138"/>
  <c r="I83" i="138"/>
  <c r="P80" i="138"/>
  <c r="Q73" i="138"/>
  <c r="M83" i="138"/>
  <c r="V73" i="138"/>
  <c r="U80" i="138"/>
  <c r="L83" i="138"/>
  <c r="I85" i="138"/>
  <c r="J85" i="138"/>
  <c r="J83" i="138"/>
  <c r="G85" i="138"/>
  <c r="H85" i="138"/>
  <c r="H83" i="138"/>
  <c r="Q80" i="138"/>
  <c r="P83" i="138"/>
  <c r="M85" i="138"/>
  <c r="L85" i="138"/>
  <c r="U83" i="138"/>
  <c r="V80" i="138"/>
  <c r="P85" i="138"/>
  <c r="Q85" i="138"/>
  <c r="Q83" i="138"/>
  <c r="U85" i="138"/>
  <c r="V85" i="138"/>
  <c r="V83" i="138"/>
  <c r="I54" i="138"/>
  <c r="H54" i="138"/>
  <c r="J53" i="138"/>
  <c r="J52" i="138"/>
  <c r="I49" i="138"/>
  <c r="H49" i="138"/>
  <c r="J48" i="138"/>
  <c r="J46" i="138"/>
  <c r="J45" i="138"/>
  <c r="J44" i="138"/>
  <c r="J42" i="138"/>
  <c r="I40" i="138"/>
  <c r="H40" i="138"/>
  <c r="J39" i="138"/>
  <c r="J38" i="138"/>
  <c r="J37" i="138"/>
  <c r="J36" i="138"/>
  <c r="J35" i="138"/>
  <c r="J34" i="138"/>
  <c r="I30" i="138"/>
  <c r="H30" i="138"/>
  <c r="J29" i="138"/>
  <c r="J28" i="138"/>
  <c r="J27" i="138"/>
  <c r="J26" i="138"/>
  <c r="J25" i="138"/>
  <c r="J23" i="138"/>
  <c r="J22" i="138"/>
  <c r="J21" i="138"/>
  <c r="J20" i="138"/>
  <c r="I18" i="138"/>
  <c r="H18" i="138"/>
  <c r="H31" i="138"/>
  <c r="J17" i="138"/>
  <c r="J16" i="138"/>
  <c r="J15" i="138"/>
  <c r="J14" i="138"/>
  <c r="J13" i="138"/>
  <c r="J12" i="138"/>
  <c r="E79" i="138"/>
  <c r="S91" i="138"/>
  <c r="F91" i="138"/>
  <c r="E91" i="138"/>
  <c r="C91" i="138"/>
  <c r="R90" i="138"/>
  <c r="D90" i="138"/>
  <c r="B90" i="138"/>
  <c r="C90" i="138"/>
  <c r="S89" i="138"/>
  <c r="F89" i="138"/>
  <c r="E89" i="138"/>
  <c r="C89" i="138"/>
  <c r="S88" i="138"/>
  <c r="F88" i="138"/>
  <c r="E88" i="138"/>
  <c r="C88" i="138"/>
  <c r="S84" i="138"/>
  <c r="F84" i="138"/>
  <c r="E84" i="138"/>
  <c r="C84" i="138"/>
  <c r="S82" i="138"/>
  <c r="F82" i="138"/>
  <c r="E82" i="138"/>
  <c r="C82" i="138"/>
  <c r="S81" i="138"/>
  <c r="F81" i="138"/>
  <c r="E81" i="138"/>
  <c r="C81" i="138"/>
  <c r="S79" i="138"/>
  <c r="C79" i="138"/>
  <c r="S78" i="138"/>
  <c r="F78" i="138"/>
  <c r="E78" i="138"/>
  <c r="C78" i="138"/>
  <c r="S77" i="138"/>
  <c r="F77" i="138"/>
  <c r="E77" i="138"/>
  <c r="C77" i="138"/>
  <c r="S76" i="138"/>
  <c r="F76" i="138"/>
  <c r="E76" i="138"/>
  <c r="C76" i="138"/>
  <c r="S75" i="138"/>
  <c r="F75" i="138"/>
  <c r="E75" i="138"/>
  <c r="C75" i="138"/>
  <c r="S74" i="138"/>
  <c r="F74" i="138"/>
  <c r="E74" i="138"/>
  <c r="C74" i="138"/>
  <c r="S72" i="138"/>
  <c r="F72" i="138"/>
  <c r="E72" i="138"/>
  <c r="C72" i="138"/>
  <c r="S71" i="138"/>
  <c r="F71" i="138"/>
  <c r="E71" i="138"/>
  <c r="C71" i="138"/>
  <c r="S70" i="138"/>
  <c r="F70" i="138"/>
  <c r="E70" i="138"/>
  <c r="C70" i="138"/>
  <c r="S69" i="138"/>
  <c r="F69" i="138"/>
  <c r="E69" i="138"/>
  <c r="C69" i="138"/>
  <c r="S68" i="138"/>
  <c r="F68" i="138"/>
  <c r="E68" i="138"/>
  <c r="C68" i="138"/>
  <c r="R67" i="138"/>
  <c r="D67" i="138"/>
  <c r="D73" i="138"/>
  <c r="B67" i="138"/>
  <c r="B73" i="138"/>
  <c r="S66" i="138"/>
  <c r="F66" i="138"/>
  <c r="E66" i="138"/>
  <c r="C66" i="138"/>
  <c r="E65" i="138"/>
  <c r="C65" i="138"/>
  <c r="F54" i="138"/>
  <c r="E54" i="138"/>
  <c r="C54" i="138"/>
  <c r="D54" i="138"/>
  <c r="B54" i="138"/>
  <c r="G53" i="138"/>
  <c r="D53" i="138"/>
  <c r="G52" i="138"/>
  <c r="D52" i="138"/>
  <c r="F49" i="138"/>
  <c r="E49" i="138"/>
  <c r="C49" i="138"/>
  <c r="D49" i="138"/>
  <c r="B49" i="138"/>
  <c r="G48" i="138"/>
  <c r="D48" i="138"/>
  <c r="G46" i="138"/>
  <c r="D46" i="138"/>
  <c r="G45" i="138"/>
  <c r="D45" i="138"/>
  <c r="G44" i="138"/>
  <c r="D44" i="138"/>
  <c r="G42" i="138"/>
  <c r="D42" i="138"/>
  <c r="F40" i="138"/>
  <c r="E40" i="138"/>
  <c r="C40" i="138"/>
  <c r="B40" i="138"/>
  <c r="G39" i="138"/>
  <c r="D39" i="138"/>
  <c r="G38" i="138"/>
  <c r="D38" i="138"/>
  <c r="G37" i="138"/>
  <c r="D37" i="138"/>
  <c r="G36" i="138"/>
  <c r="D36" i="138"/>
  <c r="G35" i="138"/>
  <c r="D35" i="138"/>
  <c r="G34" i="138"/>
  <c r="D34" i="138"/>
  <c r="F30" i="138"/>
  <c r="E30" i="138"/>
  <c r="C30" i="138"/>
  <c r="B30" i="138"/>
  <c r="G29" i="138"/>
  <c r="D29" i="138"/>
  <c r="G28" i="138"/>
  <c r="D28" i="138"/>
  <c r="G27" i="138"/>
  <c r="D27" i="138"/>
  <c r="G26" i="138"/>
  <c r="D26" i="138"/>
  <c r="G25" i="138"/>
  <c r="D25" i="138"/>
  <c r="G23" i="138"/>
  <c r="D23" i="138"/>
  <c r="G22" i="138"/>
  <c r="D22" i="138"/>
  <c r="G21" i="138"/>
  <c r="D21" i="138"/>
  <c r="G20" i="138"/>
  <c r="D20" i="138"/>
  <c r="F18" i="138"/>
  <c r="E18" i="138"/>
  <c r="C18" i="138"/>
  <c r="B18" i="138"/>
  <c r="G17" i="138"/>
  <c r="D17" i="138"/>
  <c r="G16" i="138"/>
  <c r="D16" i="138"/>
  <c r="G15" i="138"/>
  <c r="D15" i="138"/>
  <c r="G14" i="138"/>
  <c r="D14" i="138"/>
  <c r="G13" i="138"/>
  <c r="D13" i="138"/>
  <c r="G12" i="138"/>
  <c r="D12" i="138"/>
  <c r="R71" i="137"/>
  <c r="R79" i="137"/>
  <c r="Q91" i="137"/>
  <c r="Q90" i="137"/>
  <c r="Q89" i="137"/>
  <c r="Q88" i="137"/>
  <c r="Q85" i="137"/>
  <c r="Q84" i="137"/>
  <c r="Q83" i="137"/>
  <c r="Q82" i="137"/>
  <c r="Q81" i="137"/>
  <c r="Q80" i="137"/>
  <c r="Q79" i="137"/>
  <c r="Q78" i="137"/>
  <c r="Q77" i="137"/>
  <c r="Q76" i="137"/>
  <c r="Q75" i="137"/>
  <c r="Q74" i="137"/>
  <c r="Q73" i="137"/>
  <c r="Q72" i="137"/>
  <c r="Q71" i="137"/>
  <c r="Q70" i="137"/>
  <c r="Q69" i="137"/>
  <c r="Q68" i="137"/>
  <c r="Q67" i="137"/>
  <c r="Q66" i="137"/>
  <c r="Q65" i="137"/>
  <c r="O88" i="137"/>
  <c r="M65" i="137"/>
  <c r="L88" i="137"/>
  <c r="F91" i="137"/>
  <c r="N89" i="137"/>
  <c r="N88" i="137"/>
  <c r="N85" i="137"/>
  <c r="O89" i="137"/>
  <c r="O85" i="137"/>
  <c r="O84" i="137"/>
  <c r="O83" i="137"/>
  <c r="O82" i="137"/>
  <c r="O81" i="137"/>
  <c r="O80" i="137"/>
  <c r="O79" i="137"/>
  <c r="O78" i="137"/>
  <c r="O77" i="137"/>
  <c r="O76" i="137"/>
  <c r="O75" i="137"/>
  <c r="O74" i="137"/>
  <c r="O73" i="137"/>
  <c r="O72" i="137"/>
  <c r="O71" i="137"/>
  <c r="O70" i="137"/>
  <c r="O69" i="137"/>
  <c r="O68" i="137"/>
  <c r="O67" i="137"/>
  <c r="O66" i="137"/>
  <c r="O65" i="137"/>
  <c r="N81" i="137"/>
  <c r="N79" i="137"/>
  <c r="N65" i="137"/>
  <c r="N80" i="137"/>
  <c r="M80" i="137"/>
  <c r="L80" i="137"/>
  <c r="K80" i="137"/>
  <c r="J80" i="137"/>
  <c r="I80" i="137"/>
  <c r="H80" i="137"/>
  <c r="G80" i="137"/>
  <c r="F80" i="137"/>
  <c r="E80" i="137"/>
  <c r="D80" i="137"/>
  <c r="C80" i="137"/>
  <c r="B80" i="137"/>
  <c r="M91" i="137"/>
  <c r="M89" i="137"/>
  <c r="M88" i="137"/>
  <c r="M84" i="137"/>
  <c r="M82" i="137"/>
  <c r="M81" i="137"/>
  <c r="M79" i="137"/>
  <c r="M78" i="137"/>
  <c r="M77" i="137"/>
  <c r="M76" i="137"/>
  <c r="M75" i="137"/>
  <c r="M74" i="137"/>
  <c r="M73" i="137"/>
  <c r="M72" i="137"/>
  <c r="M71" i="137"/>
  <c r="M70" i="137"/>
  <c r="M69" i="137"/>
  <c r="M68" i="137"/>
  <c r="M67" i="137"/>
  <c r="M66" i="137"/>
  <c r="L91" i="137"/>
  <c r="L90" i="137"/>
  <c r="L89" i="137"/>
  <c r="L84" i="137"/>
  <c r="L83" i="137"/>
  <c r="L82" i="137"/>
  <c r="L81" i="137"/>
  <c r="L79" i="137"/>
  <c r="L78" i="137"/>
  <c r="L77" i="137"/>
  <c r="L76" i="137"/>
  <c r="L75" i="137"/>
  <c r="L74" i="137"/>
  <c r="L73" i="137"/>
  <c r="L72" i="137"/>
  <c r="L71" i="137"/>
  <c r="L70" i="137"/>
  <c r="L69" i="137"/>
  <c r="L68" i="137"/>
  <c r="L67" i="137"/>
  <c r="L66" i="137"/>
  <c r="L65" i="137"/>
  <c r="P79" i="137"/>
  <c r="J79" i="137"/>
  <c r="E79" i="137"/>
  <c r="C79" i="137"/>
  <c r="I73" i="137"/>
  <c r="J91" i="137"/>
  <c r="K90" i="137"/>
  <c r="K67" i="137"/>
  <c r="K73" i="137"/>
  <c r="K83" i="137"/>
  <c r="K85" i="137"/>
  <c r="L85" i="137"/>
  <c r="J89" i="137"/>
  <c r="J88" i="137"/>
  <c r="J84" i="137"/>
  <c r="J82" i="137"/>
  <c r="J81" i="137"/>
  <c r="J78" i="137"/>
  <c r="J77" i="137"/>
  <c r="J76" i="137"/>
  <c r="J75" i="137"/>
  <c r="J74" i="137"/>
  <c r="J72" i="137"/>
  <c r="J71" i="137"/>
  <c r="J70" i="137"/>
  <c r="J69" i="137"/>
  <c r="J68" i="137"/>
  <c r="J66" i="137"/>
  <c r="J65" i="137"/>
  <c r="H90" i="137"/>
  <c r="G90" i="137"/>
  <c r="P91" i="137"/>
  <c r="N91" i="137"/>
  <c r="I90" i="137"/>
  <c r="M90" i="137"/>
  <c r="P90" i="137"/>
  <c r="P89" i="137"/>
  <c r="P88" i="137"/>
  <c r="P84" i="137"/>
  <c r="N84" i="137"/>
  <c r="P82" i="137"/>
  <c r="N82" i="137"/>
  <c r="P81" i="137"/>
  <c r="P78" i="137"/>
  <c r="N78" i="137"/>
  <c r="P77" i="137"/>
  <c r="N77" i="137"/>
  <c r="P76" i="137"/>
  <c r="N76" i="137"/>
  <c r="P75" i="137"/>
  <c r="N75" i="137"/>
  <c r="P74" i="137"/>
  <c r="N74" i="137"/>
  <c r="P72" i="137"/>
  <c r="N72" i="137"/>
  <c r="P71" i="137"/>
  <c r="N71" i="137"/>
  <c r="P70" i="137"/>
  <c r="N70" i="137"/>
  <c r="P69" i="137"/>
  <c r="N69" i="137"/>
  <c r="P68" i="137"/>
  <c r="N68" i="137"/>
  <c r="I67" i="137"/>
  <c r="J73" i="137"/>
  <c r="H67" i="137"/>
  <c r="P67" i="137"/>
  <c r="G67" i="137"/>
  <c r="G73" i="137"/>
  <c r="P66" i="137"/>
  <c r="N66" i="137"/>
  <c r="P65" i="137"/>
  <c r="G31" i="137"/>
  <c r="E55" i="137"/>
  <c r="G54" i="137"/>
  <c r="F54" i="137"/>
  <c r="E54" i="137"/>
  <c r="G53" i="137"/>
  <c r="G52" i="137"/>
  <c r="F50" i="137"/>
  <c r="G50" i="137"/>
  <c r="E50" i="137"/>
  <c r="G49" i="137"/>
  <c r="F49" i="137"/>
  <c r="E49" i="137"/>
  <c r="G48" i="137"/>
  <c r="G46" i="137"/>
  <c r="G45" i="137"/>
  <c r="G44" i="137"/>
  <c r="G42" i="137"/>
  <c r="G40" i="137"/>
  <c r="F40" i="137"/>
  <c r="E40" i="137"/>
  <c r="G39" i="137"/>
  <c r="G38" i="137"/>
  <c r="G37" i="137"/>
  <c r="G36" i="137"/>
  <c r="G35" i="137"/>
  <c r="G34" i="137"/>
  <c r="F31" i="137"/>
  <c r="E31" i="137"/>
  <c r="G30" i="137"/>
  <c r="F30" i="137"/>
  <c r="E30" i="137"/>
  <c r="G29" i="137"/>
  <c r="G28" i="137"/>
  <c r="G27" i="137"/>
  <c r="G26" i="137"/>
  <c r="G25" i="137"/>
  <c r="G23" i="137"/>
  <c r="G22" i="137"/>
  <c r="G21" i="137"/>
  <c r="G20" i="137"/>
  <c r="G18" i="137"/>
  <c r="F18" i="137"/>
  <c r="E18" i="137"/>
  <c r="G17" i="137"/>
  <c r="G16" i="137"/>
  <c r="G15" i="137"/>
  <c r="G14" i="137"/>
  <c r="G13" i="137"/>
  <c r="G12" i="137"/>
  <c r="E91" i="137"/>
  <c r="C91" i="137"/>
  <c r="D90" i="137"/>
  <c r="E90" i="137"/>
  <c r="B90" i="137"/>
  <c r="C90" i="137"/>
  <c r="F89" i="137"/>
  <c r="E89" i="137"/>
  <c r="C89" i="137"/>
  <c r="F88" i="137"/>
  <c r="E88" i="137"/>
  <c r="C88" i="137"/>
  <c r="F84" i="137"/>
  <c r="E84" i="137"/>
  <c r="C84" i="137"/>
  <c r="F82" i="137"/>
  <c r="E82" i="137"/>
  <c r="C82" i="137"/>
  <c r="F81" i="137"/>
  <c r="E81" i="137"/>
  <c r="C81" i="137"/>
  <c r="F78" i="137"/>
  <c r="E78" i="137"/>
  <c r="C78" i="137"/>
  <c r="F77" i="137"/>
  <c r="E77" i="137"/>
  <c r="C77" i="137"/>
  <c r="F76" i="137"/>
  <c r="E76" i="137"/>
  <c r="C76" i="137"/>
  <c r="F75" i="137"/>
  <c r="E75" i="137"/>
  <c r="C75" i="137"/>
  <c r="F74" i="137"/>
  <c r="E74" i="137"/>
  <c r="C74" i="137"/>
  <c r="F72" i="137"/>
  <c r="E72" i="137"/>
  <c r="C72" i="137"/>
  <c r="F71" i="137"/>
  <c r="E71" i="137"/>
  <c r="C71" i="137"/>
  <c r="F70" i="137"/>
  <c r="E70" i="137"/>
  <c r="C70" i="137"/>
  <c r="F69" i="137"/>
  <c r="E69" i="137"/>
  <c r="C69" i="137"/>
  <c r="F68" i="137"/>
  <c r="E68" i="137"/>
  <c r="C68" i="137"/>
  <c r="D67" i="137"/>
  <c r="F67" i="137"/>
  <c r="B67" i="137"/>
  <c r="C67" i="137"/>
  <c r="F66" i="137"/>
  <c r="E66" i="137"/>
  <c r="C66" i="137"/>
  <c r="F65" i="137"/>
  <c r="E65" i="137"/>
  <c r="C65" i="137"/>
  <c r="C54" i="137"/>
  <c r="D54" i="137"/>
  <c r="B54" i="137"/>
  <c r="D53" i="137"/>
  <c r="D52" i="137"/>
  <c r="C49" i="137"/>
  <c r="D49" i="137"/>
  <c r="B49" i="137"/>
  <c r="D48" i="137"/>
  <c r="D46" i="137"/>
  <c r="D45" i="137"/>
  <c r="D44" i="137"/>
  <c r="D42" i="137"/>
  <c r="C40" i="137"/>
  <c r="D40" i="137"/>
  <c r="B40" i="137"/>
  <c r="B50" i="137"/>
  <c r="B55" i="137"/>
  <c r="D39" i="137"/>
  <c r="D38" i="137"/>
  <c r="D37" i="137"/>
  <c r="D36" i="137"/>
  <c r="D35" i="137"/>
  <c r="D34" i="137"/>
  <c r="C30" i="137"/>
  <c r="D30" i="137"/>
  <c r="B30" i="137"/>
  <c r="D29" i="137"/>
  <c r="D28" i="137"/>
  <c r="D27" i="137"/>
  <c r="D26" i="137"/>
  <c r="D25" i="137"/>
  <c r="D23" i="137"/>
  <c r="D22" i="137"/>
  <c r="D21" i="137"/>
  <c r="D20" i="137"/>
  <c r="C18" i="137"/>
  <c r="B18" i="137"/>
  <c r="B31" i="137"/>
  <c r="D17" i="137"/>
  <c r="D16" i="137"/>
  <c r="D15" i="137"/>
  <c r="D14" i="137"/>
  <c r="D13" i="137"/>
  <c r="D12" i="137"/>
  <c r="F90" i="136"/>
  <c r="E90" i="136"/>
  <c r="C90" i="136"/>
  <c r="D89" i="136"/>
  <c r="F89" i="136"/>
  <c r="B89" i="136"/>
  <c r="C89" i="136"/>
  <c r="F88" i="136"/>
  <c r="E88" i="136"/>
  <c r="C88" i="136"/>
  <c r="F87" i="136"/>
  <c r="E87" i="136"/>
  <c r="C87" i="136"/>
  <c r="F83" i="136"/>
  <c r="E83" i="136"/>
  <c r="C83" i="136"/>
  <c r="F81" i="136"/>
  <c r="E81" i="136"/>
  <c r="C81" i="136"/>
  <c r="F80" i="136"/>
  <c r="E80" i="136"/>
  <c r="C80" i="136"/>
  <c r="F78" i="136"/>
  <c r="E78" i="136"/>
  <c r="C78" i="136"/>
  <c r="F77" i="136"/>
  <c r="E77" i="136"/>
  <c r="C77" i="136"/>
  <c r="F76" i="136"/>
  <c r="E76" i="136"/>
  <c r="C76" i="136"/>
  <c r="F75" i="136"/>
  <c r="E75" i="136"/>
  <c r="C75" i="136"/>
  <c r="F74" i="136"/>
  <c r="E74" i="136"/>
  <c r="C74" i="136"/>
  <c r="F72" i="136"/>
  <c r="E72" i="136"/>
  <c r="C72" i="136"/>
  <c r="F71" i="136"/>
  <c r="E71" i="136"/>
  <c r="C71" i="136"/>
  <c r="F70" i="136"/>
  <c r="E70" i="136"/>
  <c r="C70" i="136"/>
  <c r="F69" i="136"/>
  <c r="E69" i="136"/>
  <c r="C69" i="136"/>
  <c r="F68" i="136"/>
  <c r="E68" i="136"/>
  <c r="C68" i="136"/>
  <c r="D67" i="136"/>
  <c r="D73" i="136"/>
  <c r="B67" i="136"/>
  <c r="B73" i="136"/>
  <c r="C73" i="136"/>
  <c r="F66" i="136"/>
  <c r="E66" i="136"/>
  <c r="C66" i="136"/>
  <c r="F65" i="136"/>
  <c r="E65" i="136"/>
  <c r="C65" i="136"/>
  <c r="C54" i="136"/>
  <c r="D54" i="136"/>
  <c r="B54" i="136"/>
  <c r="D53" i="136"/>
  <c r="D52" i="136"/>
  <c r="C49" i="136"/>
  <c r="B49" i="136"/>
  <c r="D48" i="136"/>
  <c r="D46" i="136"/>
  <c r="D45" i="136"/>
  <c r="D44" i="136"/>
  <c r="D42" i="136"/>
  <c r="C40" i="136"/>
  <c r="B40" i="136"/>
  <c r="D39" i="136"/>
  <c r="D38" i="136"/>
  <c r="D37" i="136"/>
  <c r="D36" i="136"/>
  <c r="D35" i="136"/>
  <c r="D34" i="136"/>
  <c r="C30" i="136"/>
  <c r="B30" i="136"/>
  <c r="D29" i="136"/>
  <c r="D28" i="136"/>
  <c r="D27" i="136"/>
  <c r="D26" i="136"/>
  <c r="D25" i="136"/>
  <c r="D23" i="136"/>
  <c r="D22" i="136"/>
  <c r="D21" i="136"/>
  <c r="D20" i="136"/>
  <c r="C18" i="136"/>
  <c r="B18" i="136"/>
  <c r="D17" i="136"/>
  <c r="D16" i="136"/>
  <c r="D15" i="136"/>
  <c r="D14" i="136"/>
  <c r="D13" i="136"/>
  <c r="D12" i="136"/>
  <c r="X85" i="135"/>
  <c r="Y85" i="135"/>
  <c r="Y84" i="135"/>
  <c r="Y83" i="135"/>
  <c r="Y82" i="135"/>
  <c r="Y79" i="135"/>
  <c r="Y78" i="135"/>
  <c r="Y77" i="135"/>
  <c r="Y76" i="135"/>
  <c r="Y75" i="135"/>
  <c r="Y74" i="135"/>
  <c r="Y73" i="135"/>
  <c r="Y72" i="135"/>
  <c r="Y71" i="135"/>
  <c r="Y70" i="135"/>
  <c r="Y69" i="135"/>
  <c r="Y68" i="135"/>
  <c r="Y67" i="135"/>
  <c r="Y66" i="135"/>
  <c r="Y65" i="135"/>
  <c r="Y64" i="135"/>
  <c r="Y63" i="135"/>
  <c r="Y62" i="135"/>
  <c r="Y61" i="135"/>
  <c r="Y60" i="135"/>
  <c r="Y59" i="135"/>
  <c r="W85" i="135"/>
  <c r="W84" i="135"/>
  <c r="W83" i="135"/>
  <c r="W82" i="135"/>
  <c r="W79" i="135"/>
  <c r="W78" i="135"/>
  <c r="W77" i="135"/>
  <c r="W76" i="135"/>
  <c r="W75" i="135"/>
  <c r="W74" i="135"/>
  <c r="W73" i="135"/>
  <c r="W72" i="135"/>
  <c r="W71" i="135"/>
  <c r="W70" i="135"/>
  <c r="W69" i="135"/>
  <c r="W68" i="135"/>
  <c r="W67" i="135"/>
  <c r="W66" i="135"/>
  <c r="W65" i="135"/>
  <c r="W64" i="135"/>
  <c r="W63" i="135"/>
  <c r="W62" i="135"/>
  <c r="W61" i="135"/>
  <c r="W60" i="135"/>
  <c r="W59" i="135"/>
  <c r="V60" i="135"/>
  <c r="V85" i="135"/>
  <c r="V84" i="135"/>
  <c r="V83" i="135"/>
  <c r="V82" i="135"/>
  <c r="V79" i="135"/>
  <c r="V78" i="135"/>
  <c r="V77" i="135"/>
  <c r="V76" i="135"/>
  <c r="V75" i="135"/>
  <c r="V74" i="135"/>
  <c r="V72" i="135"/>
  <c r="V71" i="135"/>
  <c r="V69" i="135"/>
  <c r="V68" i="135"/>
  <c r="V67" i="135"/>
  <c r="V64" i="135"/>
  <c r="V63" i="135"/>
  <c r="V62" i="135"/>
  <c r="V61" i="135"/>
  <c r="V59" i="135"/>
  <c r="U60" i="135"/>
  <c r="U59" i="135"/>
  <c r="S85" i="135"/>
  <c r="S84" i="135"/>
  <c r="S83" i="135"/>
  <c r="S82" i="135"/>
  <c r="S79" i="135"/>
  <c r="S78" i="135"/>
  <c r="S77" i="135"/>
  <c r="S76" i="135"/>
  <c r="S75" i="135"/>
  <c r="S74" i="135"/>
  <c r="S73" i="135"/>
  <c r="S72" i="135"/>
  <c r="S71" i="135"/>
  <c r="S70" i="135"/>
  <c r="S69" i="135"/>
  <c r="S68" i="135"/>
  <c r="S67" i="135"/>
  <c r="S66" i="135"/>
  <c r="S65" i="135"/>
  <c r="S64" i="135"/>
  <c r="S63" i="135"/>
  <c r="S62" i="135"/>
  <c r="S61" i="135"/>
  <c r="S60" i="135"/>
  <c r="S59" i="135"/>
  <c r="R79" i="135"/>
  <c r="R77" i="135"/>
  <c r="R74" i="135"/>
  <c r="R67" i="135"/>
  <c r="R61" i="135"/>
  <c r="R84" i="135"/>
  <c r="Q84" i="135"/>
  <c r="Q67" i="135"/>
  <c r="Q74" i="135"/>
  <c r="Q77" i="135"/>
  <c r="Q79" i="135"/>
  <c r="Q61" i="135"/>
  <c r="L48" i="135"/>
  <c r="M48" i="135"/>
  <c r="K48" i="135"/>
  <c r="M47" i="135"/>
  <c r="M46" i="135"/>
  <c r="L43" i="135"/>
  <c r="M43" i="135"/>
  <c r="K43" i="135"/>
  <c r="M42" i="135"/>
  <c r="M41" i="135"/>
  <c r="M40" i="135"/>
  <c r="M39" i="135"/>
  <c r="M38" i="135"/>
  <c r="L36" i="135"/>
  <c r="K36" i="135"/>
  <c r="K44" i="135"/>
  <c r="K49" i="135"/>
  <c r="M35" i="135"/>
  <c r="M34" i="135"/>
  <c r="M33" i="135"/>
  <c r="M32" i="135"/>
  <c r="M31" i="135"/>
  <c r="M30" i="135"/>
  <c r="L26" i="135"/>
  <c r="M26" i="135"/>
  <c r="K26" i="135"/>
  <c r="M25" i="135"/>
  <c r="M24" i="135"/>
  <c r="M23" i="135"/>
  <c r="M22" i="135"/>
  <c r="M21" i="135"/>
  <c r="M20" i="135"/>
  <c r="M19" i="135"/>
  <c r="M18" i="135"/>
  <c r="M17" i="135"/>
  <c r="L15" i="135"/>
  <c r="K15" i="135"/>
  <c r="K27" i="135"/>
  <c r="M14" i="135"/>
  <c r="M13" i="135"/>
  <c r="M12" i="135"/>
  <c r="M11" i="135"/>
  <c r="M10" i="135"/>
  <c r="M9" i="135"/>
  <c r="AA85" i="135"/>
  <c r="Z85" i="135"/>
  <c r="U85" i="135"/>
  <c r="K85" i="135"/>
  <c r="J85" i="135"/>
  <c r="H85" i="135"/>
  <c r="F85" i="135"/>
  <c r="E85" i="135"/>
  <c r="C85" i="135"/>
  <c r="X84" i="135"/>
  <c r="T84" i="135"/>
  <c r="U84" i="135"/>
  <c r="P84" i="135"/>
  <c r="O84" i="135"/>
  <c r="N84" i="135"/>
  <c r="M84" i="135"/>
  <c r="L84" i="135"/>
  <c r="K84" i="135"/>
  <c r="J84" i="135"/>
  <c r="H84" i="135"/>
  <c r="F84" i="135"/>
  <c r="E84" i="135"/>
  <c r="D84" i="135"/>
  <c r="C84" i="135"/>
  <c r="B84" i="135"/>
  <c r="Z83" i="135"/>
  <c r="AA83" i="135"/>
  <c r="X83" i="135"/>
  <c r="U83" i="135"/>
  <c r="K83" i="135"/>
  <c r="J83" i="135"/>
  <c r="H83" i="135"/>
  <c r="F83" i="135"/>
  <c r="E83" i="135"/>
  <c r="C83" i="135"/>
  <c r="AA82" i="135"/>
  <c r="X82" i="135"/>
  <c r="U82" i="135"/>
  <c r="K82" i="135"/>
  <c r="J82" i="135"/>
  <c r="H82" i="135"/>
  <c r="F82" i="135"/>
  <c r="E82" i="135"/>
  <c r="C82" i="135"/>
  <c r="K79" i="135"/>
  <c r="J79" i="135"/>
  <c r="H79" i="135"/>
  <c r="X78" i="135"/>
  <c r="U78" i="135"/>
  <c r="K78" i="135"/>
  <c r="J78" i="135"/>
  <c r="H78" i="135"/>
  <c r="F78" i="135"/>
  <c r="E78" i="135"/>
  <c r="C78" i="135"/>
  <c r="N77" i="135"/>
  <c r="N79" i="135"/>
  <c r="K77" i="135"/>
  <c r="J77" i="135"/>
  <c r="H77" i="135"/>
  <c r="D77" i="135"/>
  <c r="Z76" i="135"/>
  <c r="AA76" i="135"/>
  <c r="X76" i="135"/>
  <c r="U76" i="135"/>
  <c r="K76" i="135"/>
  <c r="J76" i="135"/>
  <c r="H76" i="135"/>
  <c r="F76" i="135"/>
  <c r="E76" i="135"/>
  <c r="C76" i="135"/>
  <c r="AA75" i="135"/>
  <c r="X75" i="135"/>
  <c r="U75" i="135"/>
  <c r="K75" i="135"/>
  <c r="J75" i="135"/>
  <c r="H75" i="135"/>
  <c r="F75" i="135"/>
  <c r="E75" i="135"/>
  <c r="C75" i="135"/>
  <c r="P74" i="135"/>
  <c r="P77" i="135"/>
  <c r="N74" i="135"/>
  <c r="L74" i="135"/>
  <c r="L77" i="135"/>
  <c r="K74" i="135"/>
  <c r="J74" i="135"/>
  <c r="H74" i="135"/>
  <c r="E74" i="135"/>
  <c r="D74" i="135"/>
  <c r="B74" i="135"/>
  <c r="B77" i="135"/>
  <c r="Z73" i="135"/>
  <c r="AA73" i="135"/>
  <c r="X73" i="135"/>
  <c r="U73" i="135"/>
  <c r="K73" i="135"/>
  <c r="J73" i="135"/>
  <c r="H73" i="135"/>
  <c r="E73" i="135"/>
  <c r="C73" i="135"/>
  <c r="AA72" i="135"/>
  <c r="X72" i="135"/>
  <c r="U72" i="135"/>
  <c r="K72" i="135"/>
  <c r="J72" i="135"/>
  <c r="H72" i="135"/>
  <c r="F72" i="135"/>
  <c r="E72" i="135"/>
  <c r="C72" i="135"/>
  <c r="Z71" i="135"/>
  <c r="X71" i="135"/>
  <c r="U71" i="135"/>
  <c r="J71" i="135"/>
  <c r="H71" i="135"/>
  <c r="F71" i="135"/>
  <c r="E71" i="135"/>
  <c r="C71" i="135"/>
  <c r="AA70" i="135"/>
  <c r="Z70" i="135"/>
  <c r="X70" i="135"/>
  <c r="U70" i="135"/>
  <c r="K70" i="135"/>
  <c r="J70" i="135"/>
  <c r="H70" i="135"/>
  <c r="F70" i="135"/>
  <c r="E70" i="135"/>
  <c r="C70" i="135"/>
  <c r="Z69" i="135"/>
  <c r="AA69" i="135"/>
  <c r="X69" i="135"/>
  <c r="U69" i="135"/>
  <c r="K69" i="135"/>
  <c r="J69" i="135"/>
  <c r="H69" i="135"/>
  <c r="F69" i="135"/>
  <c r="E69" i="135"/>
  <c r="C69" i="135"/>
  <c r="AA68" i="135"/>
  <c r="X68" i="135"/>
  <c r="U68" i="135"/>
  <c r="K68" i="135"/>
  <c r="J68" i="135"/>
  <c r="H68" i="135"/>
  <c r="F68" i="135"/>
  <c r="E68" i="135"/>
  <c r="C68" i="135"/>
  <c r="X67" i="135"/>
  <c r="P67" i="135"/>
  <c r="O67" i="135"/>
  <c r="O74" i="135"/>
  <c r="O77" i="135"/>
  <c r="O79" i="135"/>
  <c r="N67" i="135"/>
  <c r="M67" i="135"/>
  <c r="M74" i="135"/>
  <c r="L67" i="135"/>
  <c r="K67" i="135"/>
  <c r="J67" i="135"/>
  <c r="H67" i="135"/>
  <c r="E67" i="135"/>
  <c r="D67" i="135"/>
  <c r="C67" i="135"/>
  <c r="B67" i="135"/>
  <c r="F67" i="135"/>
  <c r="AA66" i="135"/>
  <c r="X66" i="135"/>
  <c r="U66" i="135"/>
  <c r="K66" i="135"/>
  <c r="J66" i="135"/>
  <c r="H66" i="135"/>
  <c r="F66" i="135"/>
  <c r="E66" i="135"/>
  <c r="C66" i="135"/>
  <c r="X65" i="135"/>
  <c r="U65" i="135"/>
  <c r="J65" i="135"/>
  <c r="H65" i="135"/>
  <c r="F65" i="135"/>
  <c r="E65" i="135"/>
  <c r="C65" i="135"/>
  <c r="AA64" i="135"/>
  <c r="X64" i="135"/>
  <c r="U64" i="135"/>
  <c r="K64" i="135"/>
  <c r="J64" i="135"/>
  <c r="H64" i="135"/>
  <c r="F64" i="135"/>
  <c r="E64" i="135"/>
  <c r="C64" i="135"/>
  <c r="AA63" i="135"/>
  <c r="X63" i="135"/>
  <c r="U63" i="135"/>
  <c r="K63" i="135"/>
  <c r="J63" i="135"/>
  <c r="H63" i="135"/>
  <c r="F63" i="135"/>
  <c r="E63" i="135"/>
  <c r="C63" i="135"/>
  <c r="AA62" i="135"/>
  <c r="Z62" i="135"/>
  <c r="X62" i="135"/>
  <c r="U62" i="135"/>
  <c r="K62" i="135"/>
  <c r="J62" i="135"/>
  <c r="H62" i="135"/>
  <c r="F62" i="135"/>
  <c r="E62" i="135"/>
  <c r="C62" i="135"/>
  <c r="X61" i="135"/>
  <c r="T61" i="135"/>
  <c r="T67" i="135"/>
  <c r="P61" i="135"/>
  <c r="O61" i="135"/>
  <c r="N61" i="135"/>
  <c r="M61" i="135"/>
  <c r="L61" i="135"/>
  <c r="K61" i="135"/>
  <c r="J61" i="135"/>
  <c r="H61" i="135"/>
  <c r="F61" i="135"/>
  <c r="E61" i="135"/>
  <c r="D61" i="135"/>
  <c r="C61" i="135"/>
  <c r="B61" i="135"/>
  <c r="AA60" i="135"/>
  <c r="X60" i="135"/>
  <c r="K60" i="135"/>
  <c r="J60" i="135"/>
  <c r="H60" i="135"/>
  <c r="F60" i="135"/>
  <c r="E60" i="135"/>
  <c r="C60" i="135"/>
  <c r="AA59" i="135"/>
  <c r="Z59" i="135"/>
  <c r="Z82" i="135"/>
  <c r="X59" i="135"/>
  <c r="K59" i="135"/>
  <c r="J59" i="135"/>
  <c r="H59" i="135"/>
  <c r="F59" i="135"/>
  <c r="E59" i="135"/>
  <c r="C59" i="135"/>
  <c r="F49" i="135"/>
  <c r="J48" i="135"/>
  <c r="I48" i="135"/>
  <c r="H48" i="135"/>
  <c r="G48" i="135"/>
  <c r="F48" i="135"/>
  <c r="E48" i="135"/>
  <c r="D48" i="135"/>
  <c r="C48" i="135"/>
  <c r="B48" i="135"/>
  <c r="J47" i="135"/>
  <c r="G47" i="135"/>
  <c r="D47" i="135"/>
  <c r="J46" i="135"/>
  <c r="G46" i="135"/>
  <c r="D46" i="135"/>
  <c r="I44" i="135"/>
  <c r="I49" i="135"/>
  <c r="F44" i="135"/>
  <c r="J43" i="135"/>
  <c r="I43" i="135"/>
  <c r="H43" i="135"/>
  <c r="G43" i="135"/>
  <c r="F43" i="135"/>
  <c r="E43" i="135"/>
  <c r="D43" i="135"/>
  <c r="C43" i="135"/>
  <c r="B43" i="135"/>
  <c r="J42" i="135"/>
  <c r="G42" i="135"/>
  <c r="D42" i="135"/>
  <c r="J41" i="135"/>
  <c r="G41" i="135"/>
  <c r="D41" i="135"/>
  <c r="J40" i="135"/>
  <c r="G40" i="135"/>
  <c r="D40" i="135"/>
  <c r="J39" i="135"/>
  <c r="G39" i="135"/>
  <c r="D39" i="135"/>
  <c r="J38" i="135"/>
  <c r="G38" i="135"/>
  <c r="D38" i="135"/>
  <c r="I36" i="135"/>
  <c r="H36" i="135"/>
  <c r="H44" i="135"/>
  <c r="F36" i="135"/>
  <c r="E36" i="135"/>
  <c r="E44" i="135"/>
  <c r="E49" i="135"/>
  <c r="C36" i="135"/>
  <c r="C44" i="135"/>
  <c r="B36" i="135"/>
  <c r="B44" i="135"/>
  <c r="B49" i="135"/>
  <c r="J35" i="135"/>
  <c r="G35" i="135"/>
  <c r="D35" i="135"/>
  <c r="J34" i="135"/>
  <c r="G34" i="135"/>
  <c r="D34" i="135"/>
  <c r="J33" i="135"/>
  <c r="G33" i="135"/>
  <c r="D33" i="135"/>
  <c r="J32" i="135"/>
  <c r="G32" i="135"/>
  <c r="D32" i="135"/>
  <c r="J31" i="135"/>
  <c r="G31" i="135"/>
  <c r="D31" i="135"/>
  <c r="J30" i="135"/>
  <c r="G30" i="135"/>
  <c r="D30" i="135"/>
  <c r="J27" i="135"/>
  <c r="I27" i="135"/>
  <c r="H27" i="135"/>
  <c r="F27" i="135"/>
  <c r="E27" i="135"/>
  <c r="G27" i="135"/>
  <c r="C27" i="135"/>
  <c r="D27" i="135"/>
  <c r="B27" i="135"/>
  <c r="J26" i="135"/>
  <c r="I26" i="135"/>
  <c r="H26" i="135"/>
  <c r="G26" i="135"/>
  <c r="F26" i="135"/>
  <c r="E26" i="135"/>
  <c r="D26" i="135"/>
  <c r="C26" i="135"/>
  <c r="B26" i="135"/>
  <c r="J25" i="135"/>
  <c r="G25" i="135"/>
  <c r="D25" i="135"/>
  <c r="J24" i="135"/>
  <c r="G24" i="135"/>
  <c r="D24" i="135"/>
  <c r="J23" i="135"/>
  <c r="G23" i="135"/>
  <c r="D23" i="135"/>
  <c r="J22" i="135"/>
  <c r="G22" i="135"/>
  <c r="D22" i="135"/>
  <c r="J21" i="135"/>
  <c r="G21" i="135"/>
  <c r="D21" i="135"/>
  <c r="J20" i="135"/>
  <c r="G20" i="135"/>
  <c r="D20" i="135"/>
  <c r="J19" i="135"/>
  <c r="G19" i="135"/>
  <c r="D19" i="135"/>
  <c r="J18" i="135"/>
  <c r="G18" i="135"/>
  <c r="D18" i="135"/>
  <c r="J17" i="135"/>
  <c r="G17" i="135"/>
  <c r="D17" i="135"/>
  <c r="J15" i="135"/>
  <c r="I15" i="135"/>
  <c r="H15" i="135"/>
  <c r="G15" i="135"/>
  <c r="F15" i="135"/>
  <c r="E15" i="135"/>
  <c r="D15" i="135"/>
  <c r="C15" i="135"/>
  <c r="B15" i="135"/>
  <c r="J14" i="135"/>
  <c r="G14" i="135"/>
  <c r="D14" i="135"/>
  <c r="J13" i="135"/>
  <c r="G13" i="135"/>
  <c r="D13" i="135"/>
  <c r="J12" i="135"/>
  <c r="G12" i="135"/>
  <c r="D12" i="135"/>
  <c r="J11" i="135"/>
  <c r="G11" i="135"/>
  <c r="D11" i="135"/>
  <c r="J10" i="135"/>
  <c r="G10" i="135"/>
  <c r="D10" i="135"/>
  <c r="J9" i="135"/>
  <c r="G9" i="135"/>
  <c r="D9" i="135"/>
  <c r="J9" i="134"/>
  <c r="G9" i="134"/>
  <c r="H59" i="134"/>
  <c r="F59" i="134"/>
  <c r="K59" i="134"/>
  <c r="J85" i="134"/>
  <c r="J84" i="134"/>
  <c r="J83" i="134"/>
  <c r="J82" i="134"/>
  <c r="J79" i="134"/>
  <c r="J78" i="134"/>
  <c r="J77" i="134"/>
  <c r="J76" i="134"/>
  <c r="J75" i="134"/>
  <c r="J74" i="134"/>
  <c r="J73" i="134"/>
  <c r="J72" i="134"/>
  <c r="J71" i="134"/>
  <c r="J70" i="134"/>
  <c r="J69" i="134"/>
  <c r="J68" i="134"/>
  <c r="J67" i="134"/>
  <c r="J66" i="134"/>
  <c r="J65" i="134"/>
  <c r="J64" i="134"/>
  <c r="J63" i="134"/>
  <c r="J62" i="134"/>
  <c r="J61" i="134"/>
  <c r="J60" i="134"/>
  <c r="J59" i="134"/>
  <c r="H85" i="134"/>
  <c r="H84" i="134"/>
  <c r="H83" i="134"/>
  <c r="H82" i="134"/>
  <c r="H79" i="134"/>
  <c r="H78" i="134"/>
  <c r="H77" i="134"/>
  <c r="H76" i="134"/>
  <c r="H75" i="134"/>
  <c r="H74" i="134"/>
  <c r="H73" i="134"/>
  <c r="H72" i="134"/>
  <c r="H71" i="134"/>
  <c r="H70" i="134"/>
  <c r="H69" i="134"/>
  <c r="H68" i="134"/>
  <c r="H67" i="134"/>
  <c r="H66" i="134"/>
  <c r="H65" i="134"/>
  <c r="H64" i="134"/>
  <c r="H63" i="134"/>
  <c r="H62" i="134"/>
  <c r="H61" i="134"/>
  <c r="H60" i="134"/>
  <c r="Y76" i="134"/>
  <c r="Y75" i="134"/>
  <c r="Y71" i="134"/>
  <c r="Y70" i="134"/>
  <c r="W85" i="134"/>
  <c r="X85" i="134"/>
  <c r="W83" i="134"/>
  <c r="W82" i="134"/>
  <c r="Y82" i="134"/>
  <c r="W78" i="134"/>
  <c r="Y78" i="134"/>
  <c r="W76" i="134"/>
  <c r="W75" i="134"/>
  <c r="W73" i="134"/>
  <c r="Y73" i="134"/>
  <c r="W72" i="134"/>
  <c r="Y72" i="134"/>
  <c r="W71" i="134"/>
  <c r="W70" i="134"/>
  <c r="W69" i="134"/>
  <c r="Y69" i="134"/>
  <c r="W68" i="134"/>
  <c r="Y68" i="134"/>
  <c r="W66" i="134"/>
  <c r="W65" i="134"/>
  <c r="W64" i="134"/>
  <c r="Y64" i="134"/>
  <c r="W63" i="134"/>
  <c r="W62" i="134"/>
  <c r="W60" i="134"/>
  <c r="Y60" i="134"/>
  <c r="W59" i="134"/>
  <c r="Y59" i="134"/>
  <c r="V82" i="134"/>
  <c r="V76" i="134"/>
  <c r="V72" i="134"/>
  <c r="V68" i="134"/>
  <c r="V64" i="134"/>
  <c r="V60" i="134"/>
  <c r="U85" i="134"/>
  <c r="V85" i="134"/>
  <c r="U83" i="134"/>
  <c r="Y83" i="134"/>
  <c r="U82" i="134"/>
  <c r="U78" i="134"/>
  <c r="V78" i="134"/>
  <c r="U76" i="134"/>
  <c r="U75" i="134"/>
  <c r="V75" i="134"/>
  <c r="U73" i="134"/>
  <c r="V73" i="134"/>
  <c r="U72" i="134"/>
  <c r="U71" i="134"/>
  <c r="V71" i="134"/>
  <c r="U70" i="134"/>
  <c r="V70" i="134"/>
  <c r="U69" i="134"/>
  <c r="V69" i="134"/>
  <c r="U68" i="134"/>
  <c r="U66" i="134"/>
  <c r="V66" i="134"/>
  <c r="U65" i="134"/>
  <c r="V65" i="134"/>
  <c r="U64" i="134"/>
  <c r="U63" i="134"/>
  <c r="V63" i="134"/>
  <c r="U62" i="134"/>
  <c r="V62" i="134"/>
  <c r="U60" i="134"/>
  <c r="U59" i="134"/>
  <c r="V59" i="134"/>
  <c r="T85" i="134"/>
  <c r="T83" i="134"/>
  <c r="T82" i="134"/>
  <c r="T78" i="134"/>
  <c r="T76" i="134"/>
  <c r="T75" i="134"/>
  <c r="T72" i="134"/>
  <c r="T71" i="134"/>
  <c r="T69" i="134"/>
  <c r="T68" i="134"/>
  <c r="T64" i="134"/>
  <c r="T63" i="134"/>
  <c r="T62" i="134"/>
  <c r="T60" i="134"/>
  <c r="T59" i="134"/>
  <c r="S60" i="134"/>
  <c r="R84" i="134"/>
  <c r="R61" i="134"/>
  <c r="R67" i="134"/>
  <c r="Q85" i="134"/>
  <c r="X59" i="134"/>
  <c r="V83" i="134"/>
  <c r="Y65" i="134"/>
  <c r="Y62" i="134"/>
  <c r="Y66" i="134"/>
  <c r="Y85" i="134"/>
  <c r="Y63" i="134"/>
  <c r="X60" i="134"/>
  <c r="R74" i="134"/>
  <c r="R77" i="134"/>
  <c r="R79" i="134"/>
  <c r="Q83" i="134"/>
  <c r="Q82" i="134"/>
  <c r="Q78" i="134"/>
  <c r="Q76" i="134"/>
  <c r="Q75" i="134"/>
  <c r="Q73" i="134"/>
  <c r="Q72" i="134"/>
  <c r="Q71" i="134"/>
  <c r="Q70" i="134"/>
  <c r="Q69" i="134"/>
  <c r="Q68" i="134"/>
  <c r="Q66" i="134"/>
  <c r="Q65" i="134"/>
  <c r="Q64" i="134"/>
  <c r="Q63" i="134"/>
  <c r="Q62" i="134"/>
  <c r="Q60" i="134"/>
  <c r="Q59" i="134"/>
  <c r="P84" i="134"/>
  <c r="T84" i="134"/>
  <c r="P61" i="134"/>
  <c r="T61" i="134"/>
  <c r="K85" i="134"/>
  <c r="K84" i="134"/>
  <c r="K83" i="134"/>
  <c r="K82" i="134"/>
  <c r="K79" i="134"/>
  <c r="K78" i="134"/>
  <c r="K77" i="134"/>
  <c r="K76" i="134"/>
  <c r="K75" i="134"/>
  <c r="K74" i="134"/>
  <c r="K73" i="134"/>
  <c r="K72" i="134"/>
  <c r="K70" i="134"/>
  <c r="K69" i="134"/>
  <c r="K68" i="134"/>
  <c r="K67" i="134"/>
  <c r="K66" i="134"/>
  <c r="K64" i="134"/>
  <c r="K63" i="134"/>
  <c r="K62" i="134"/>
  <c r="K61" i="134"/>
  <c r="K60" i="134"/>
  <c r="Q84" i="134"/>
  <c r="P67" i="134"/>
  <c r="T67" i="134"/>
  <c r="Q61" i="134"/>
  <c r="Q67" i="134"/>
  <c r="P74" i="134"/>
  <c r="T74" i="134"/>
  <c r="P77" i="134"/>
  <c r="T77" i="134"/>
  <c r="Q74" i="134"/>
  <c r="P79" i="134"/>
  <c r="T79" i="134"/>
  <c r="Q77" i="134"/>
  <c r="Q79" i="134"/>
  <c r="I48" i="134"/>
  <c r="H48" i="134"/>
  <c r="J47" i="134"/>
  <c r="J46" i="134"/>
  <c r="I43" i="134"/>
  <c r="H43" i="134"/>
  <c r="J42" i="134"/>
  <c r="J41" i="134"/>
  <c r="J40" i="134"/>
  <c r="J39" i="134"/>
  <c r="J38" i="134"/>
  <c r="I36" i="134"/>
  <c r="H36" i="134"/>
  <c r="J35" i="134"/>
  <c r="J34" i="134"/>
  <c r="J33" i="134"/>
  <c r="J32" i="134"/>
  <c r="J31" i="134"/>
  <c r="J30" i="134"/>
  <c r="I26" i="134"/>
  <c r="H26" i="134"/>
  <c r="J25" i="134"/>
  <c r="J24" i="134"/>
  <c r="J23" i="134"/>
  <c r="J22" i="134"/>
  <c r="J21" i="134"/>
  <c r="J20" i="134"/>
  <c r="J19" i="134"/>
  <c r="J18" i="134"/>
  <c r="J17" i="134"/>
  <c r="I15" i="134"/>
  <c r="H15" i="134"/>
  <c r="J14" i="134"/>
  <c r="J13" i="134"/>
  <c r="J12" i="134"/>
  <c r="J11" i="134"/>
  <c r="J10" i="134"/>
  <c r="S85" i="134"/>
  <c r="F85" i="134"/>
  <c r="E85" i="134"/>
  <c r="C85" i="134"/>
  <c r="S84" i="134"/>
  <c r="O84" i="134"/>
  <c r="N84" i="134"/>
  <c r="M84" i="134"/>
  <c r="L84" i="134"/>
  <c r="D84" i="134"/>
  <c r="B84" i="134"/>
  <c r="C84" i="134"/>
  <c r="X83" i="134"/>
  <c r="S83" i="134"/>
  <c r="F83" i="134"/>
  <c r="E83" i="134"/>
  <c r="C83" i="134"/>
  <c r="X82" i="134"/>
  <c r="S82" i="134"/>
  <c r="F82" i="134"/>
  <c r="E82" i="134"/>
  <c r="C82" i="134"/>
  <c r="X78" i="134"/>
  <c r="S78" i="134"/>
  <c r="F78" i="134"/>
  <c r="E78" i="134"/>
  <c r="C78" i="134"/>
  <c r="X76" i="134"/>
  <c r="S76" i="134"/>
  <c r="F76" i="134"/>
  <c r="E76" i="134"/>
  <c r="C76" i="134"/>
  <c r="X75" i="134"/>
  <c r="S75" i="134"/>
  <c r="F75" i="134"/>
  <c r="E75" i="134"/>
  <c r="C75" i="134"/>
  <c r="X73" i="134"/>
  <c r="S73" i="134"/>
  <c r="E73" i="134"/>
  <c r="C73" i="134"/>
  <c r="X72" i="134"/>
  <c r="S72" i="134"/>
  <c r="F72" i="134"/>
  <c r="E72" i="134"/>
  <c r="C72" i="134"/>
  <c r="X71" i="134"/>
  <c r="S71" i="134"/>
  <c r="F71" i="134"/>
  <c r="E71" i="134"/>
  <c r="C71" i="134"/>
  <c r="X70" i="134"/>
  <c r="S70" i="134"/>
  <c r="F70" i="134"/>
  <c r="E70" i="134"/>
  <c r="C70" i="134"/>
  <c r="X69" i="134"/>
  <c r="S69" i="134"/>
  <c r="F69" i="134"/>
  <c r="E69" i="134"/>
  <c r="C69" i="134"/>
  <c r="X68" i="134"/>
  <c r="S68" i="134"/>
  <c r="F68" i="134"/>
  <c r="E68" i="134"/>
  <c r="C68" i="134"/>
  <c r="X66" i="134"/>
  <c r="S66" i="134"/>
  <c r="F66" i="134"/>
  <c r="E66" i="134"/>
  <c r="C66" i="134"/>
  <c r="X65" i="134"/>
  <c r="S65" i="134"/>
  <c r="F65" i="134"/>
  <c r="E65" i="134"/>
  <c r="C65" i="134"/>
  <c r="X64" i="134"/>
  <c r="S64" i="134"/>
  <c r="F64" i="134"/>
  <c r="E64" i="134"/>
  <c r="C64" i="134"/>
  <c r="X63" i="134"/>
  <c r="S63" i="134"/>
  <c r="F63" i="134"/>
  <c r="E63" i="134"/>
  <c r="C63" i="134"/>
  <c r="X62" i="134"/>
  <c r="S62" i="134"/>
  <c r="F62" i="134"/>
  <c r="E62" i="134"/>
  <c r="C62" i="134"/>
  <c r="S61" i="134"/>
  <c r="O61" i="134"/>
  <c r="O67" i="134"/>
  <c r="O74" i="134"/>
  <c r="N61" i="134"/>
  <c r="N67" i="134"/>
  <c r="N74" i="134"/>
  <c r="M61" i="134"/>
  <c r="L61" i="134"/>
  <c r="D61" i="134"/>
  <c r="D67" i="134"/>
  <c r="B61" i="134"/>
  <c r="B67" i="134"/>
  <c r="F60" i="134"/>
  <c r="E60" i="134"/>
  <c r="C60" i="134"/>
  <c r="S59" i="134"/>
  <c r="E59" i="134"/>
  <c r="C59" i="134"/>
  <c r="F48" i="134"/>
  <c r="E48" i="134"/>
  <c r="C48" i="134"/>
  <c r="B48" i="134"/>
  <c r="G47" i="134"/>
  <c r="D47" i="134"/>
  <c r="G46" i="134"/>
  <c r="D46" i="134"/>
  <c r="F43" i="134"/>
  <c r="E43" i="134"/>
  <c r="C43" i="134"/>
  <c r="B43" i="134"/>
  <c r="G42" i="134"/>
  <c r="D42" i="134"/>
  <c r="G41" i="134"/>
  <c r="D41" i="134"/>
  <c r="G40" i="134"/>
  <c r="D40" i="134"/>
  <c r="G39" i="134"/>
  <c r="D39" i="134"/>
  <c r="G38" i="134"/>
  <c r="D38" i="134"/>
  <c r="F36" i="134"/>
  <c r="E36" i="134"/>
  <c r="C36" i="134"/>
  <c r="B36" i="134"/>
  <c r="B44" i="134"/>
  <c r="B49" i="134"/>
  <c r="G35" i="134"/>
  <c r="D35" i="134"/>
  <c r="G34" i="134"/>
  <c r="D34" i="134"/>
  <c r="G33" i="134"/>
  <c r="D33" i="134"/>
  <c r="G32" i="134"/>
  <c r="D32" i="134"/>
  <c r="G31" i="134"/>
  <c r="D31" i="134"/>
  <c r="G30" i="134"/>
  <c r="D30" i="134"/>
  <c r="F26" i="134"/>
  <c r="E26" i="134"/>
  <c r="C26" i="134"/>
  <c r="B26" i="134"/>
  <c r="G25" i="134"/>
  <c r="D25" i="134"/>
  <c r="G24" i="134"/>
  <c r="D24" i="134"/>
  <c r="G23" i="134"/>
  <c r="D23" i="134"/>
  <c r="G22" i="134"/>
  <c r="D22" i="134"/>
  <c r="G21" i="134"/>
  <c r="D21" i="134"/>
  <c r="G20" i="134"/>
  <c r="D20" i="134"/>
  <c r="G19" i="134"/>
  <c r="D19" i="134"/>
  <c r="G18" i="134"/>
  <c r="D18" i="134"/>
  <c r="G17" i="134"/>
  <c r="D17" i="134"/>
  <c r="F15" i="134"/>
  <c r="E15" i="134"/>
  <c r="C15" i="134"/>
  <c r="B15" i="134"/>
  <c r="G14" i="134"/>
  <c r="D14" i="134"/>
  <c r="G13" i="134"/>
  <c r="D13" i="134"/>
  <c r="G12" i="134"/>
  <c r="D12" i="134"/>
  <c r="G11" i="134"/>
  <c r="D11" i="134"/>
  <c r="G10" i="134"/>
  <c r="D10" i="134"/>
  <c r="D9" i="134"/>
  <c r="F72" i="133"/>
  <c r="F66" i="133"/>
  <c r="J78" i="133"/>
  <c r="F78" i="133"/>
  <c r="R78" i="133"/>
  <c r="R73" i="133"/>
  <c r="M73" i="133"/>
  <c r="H84" i="133"/>
  <c r="H61" i="133"/>
  <c r="H67" i="133"/>
  <c r="H74" i="133"/>
  <c r="H77" i="133"/>
  <c r="H79" i="133"/>
  <c r="G84" i="133"/>
  <c r="G67" i="133"/>
  <c r="G74" i="133"/>
  <c r="G77" i="133"/>
  <c r="G79" i="133"/>
  <c r="G61" i="133"/>
  <c r="D61" i="133"/>
  <c r="B74" i="133"/>
  <c r="B61" i="133"/>
  <c r="C26" i="133"/>
  <c r="P85" i="133"/>
  <c r="N85" i="133"/>
  <c r="M85" i="133"/>
  <c r="L85" i="133"/>
  <c r="J85" i="133"/>
  <c r="F85" i="133"/>
  <c r="E85" i="133"/>
  <c r="C85" i="133"/>
  <c r="K84" i="133"/>
  <c r="I84" i="133"/>
  <c r="J84" i="133"/>
  <c r="D84" i="133"/>
  <c r="E84" i="133"/>
  <c r="B84" i="133"/>
  <c r="C84" i="133"/>
  <c r="P83" i="133"/>
  <c r="N83" i="133"/>
  <c r="M83" i="133"/>
  <c r="L83" i="133"/>
  <c r="J83" i="133"/>
  <c r="F83" i="133"/>
  <c r="E83" i="133"/>
  <c r="C83" i="133"/>
  <c r="P82" i="133"/>
  <c r="N82" i="133"/>
  <c r="M82" i="133"/>
  <c r="L82" i="133"/>
  <c r="J82" i="133"/>
  <c r="F82" i="133"/>
  <c r="E82" i="133"/>
  <c r="C82" i="133"/>
  <c r="P78" i="133"/>
  <c r="N78" i="133"/>
  <c r="O78" i="133"/>
  <c r="M78" i="133"/>
  <c r="L78" i="133"/>
  <c r="E78" i="133"/>
  <c r="C78" i="133"/>
  <c r="P76" i="133"/>
  <c r="N76" i="133"/>
  <c r="M76" i="133"/>
  <c r="L76" i="133"/>
  <c r="J76" i="133"/>
  <c r="F76" i="133"/>
  <c r="E76" i="133"/>
  <c r="C76" i="133"/>
  <c r="P75" i="133"/>
  <c r="N75" i="133"/>
  <c r="M75" i="133"/>
  <c r="L75" i="133"/>
  <c r="J75" i="133"/>
  <c r="E75" i="133"/>
  <c r="P73" i="133"/>
  <c r="N73" i="133"/>
  <c r="L73" i="133"/>
  <c r="J73" i="133"/>
  <c r="E73" i="133"/>
  <c r="C73" i="133"/>
  <c r="P72" i="133"/>
  <c r="N72" i="133"/>
  <c r="M72" i="133"/>
  <c r="L72" i="133"/>
  <c r="J72" i="133"/>
  <c r="E72" i="133"/>
  <c r="P71" i="133"/>
  <c r="N71" i="133"/>
  <c r="M71" i="133"/>
  <c r="L71" i="133"/>
  <c r="J71" i="133"/>
  <c r="F71" i="133"/>
  <c r="E71" i="133"/>
  <c r="C71" i="133"/>
  <c r="P70" i="133"/>
  <c r="N70" i="133"/>
  <c r="M70" i="133"/>
  <c r="L70" i="133"/>
  <c r="J70" i="133"/>
  <c r="F70" i="133"/>
  <c r="E70" i="133"/>
  <c r="C70" i="133"/>
  <c r="P69" i="133"/>
  <c r="N69" i="133"/>
  <c r="O69" i="133"/>
  <c r="M69" i="133"/>
  <c r="L69" i="133"/>
  <c r="J69" i="133"/>
  <c r="F69" i="133"/>
  <c r="E69" i="133"/>
  <c r="C69" i="133"/>
  <c r="P68" i="133"/>
  <c r="N68" i="133"/>
  <c r="M68" i="133"/>
  <c r="L68" i="133"/>
  <c r="J68" i="133"/>
  <c r="F68" i="133"/>
  <c r="E68" i="133"/>
  <c r="C68" i="133"/>
  <c r="D67" i="133"/>
  <c r="D74" i="133"/>
  <c r="B67" i="133"/>
  <c r="P66" i="133"/>
  <c r="N66" i="133"/>
  <c r="M66" i="133"/>
  <c r="L66" i="133"/>
  <c r="J66" i="133"/>
  <c r="E66" i="133"/>
  <c r="C66" i="133"/>
  <c r="P65" i="133"/>
  <c r="N65" i="133"/>
  <c r="M65" i="133"/>
  <c r="L65" i="133"/>
  <c r="J65" i="133"/>
  <c r="F65" i="133"/>
  <c r="E65" i="133"/>
  <c r="C65" i="133"/>
  <c r="P64" i="133"/>
  <c r="N64" i="133"/>
  <c r="M64" i="133"/>
  <c r="L64" i="133"/>
  <c r="J64" i="133"/>
  <c r="F64" i="133"/>
  <c r="E64" i="133"/>
  <c r="C64" i="133"/>
  <c r="P63" i="133"/>
  <c r="N63" i="133"/>
  <c r="M63" i="133"/>
  <c r="L63" i="133"/>
  <c r="J63" i="133"/>
  <c r="F63" i="133"/>
  <c r="E63" i="133"/>
  <c r="C63" i="133"/>
  <c r="P62" i="133"/>
  <c r="N62" i="133"/>
  <c r="M62" i="133"/>
  <c r="L62" i="133"/>
  <c r="J62" i="133"/>
  <c r="F62" i="133"/>
  <c r="E62" i="133"/>
  <c r="C62" i="133"/>
  <c r="L61" i="133"/>
  <c r="K61" i="133"/>
  <c r="K67" i="133"/>
  <c r="I61" i="133"/>
  <c r="E61" i="133"/>
  <c r="C61" i="133"/>
  <c r="P60" i="133"/>
  <c r="N60" i="133"/>
  <c r="M60" i="133"/>
  <c r="L60" i="133"/>
  <c r="J60" i="133"/>
  <c r="F60" i="133"/>
  <c r="E60" i="133"/>
  <c r="C60" i="133"/>
  <c r="P59" i="133"/>
  <c r="Q59" i="133"/>
  <c r="N59" i="133"/>
  <c r="M59" i="133"/>
  <c r="L59" i="133"/>
  <c r="J59" i="133"/>
  <c r="F59" i="133"/>
  <c r="E59" i="133"/>
  <c r="C59" i="133"/>
  <c r="F48" i="133"/>
  <c r="E48" i="133"/>
  <c r="C48" i="133"/>
  <c r="B48" i="133"/>
  <c r="G47" i="133"/>
  <c r="D47" i="133"/>
  <c r="G46" i="133"/>
  <c r="D46" i="133"/>
  <c r="F43" i="133"/>
  <c r="E43" i="133"/>
  <c r="C43" i="133"/>
  <c r="B43" i="133"/>
  <c r="G42" i="133"/>
  <c r="D42" i="133"/>
  <c r="G41" i="133"/>
  <c r="D41" i="133"/>
  <c r="G40" i="133"/>
  <c r="D40" i="133"/>
  <c r="G39" i="133"/>
  <c r="D39" i="133"/>
  <c r="G38" i="133"/>
  <c r="D38" i="133"/>
  <c r="F36" i="133"/>
  <c r="F44" i="133"/>
  <c r="E36" i="133"/>
  <c r="E44" i="133"/>
  <c r="E49" i="133"/>
  <c r="C36" i="133"/>
  <c r="B36" i="133"/>
  <c r="G35" i="133"/>
  <c r="D35" i="133"/>
  <c r="G34" i="133"/>
  <c r="D34" i="133"/>
  <c r="G33" i="133"/>
  <c r="D33" i="133"/>
  <c r="G32" i="133"/>
  <c r="D32" i="133"/>
  <c r="G31" i="133"/>
  <c r="D31" i="133"/>
  <c r="G30" i="133"/>
  <c r="D30" i="133"/>
  <c r="F26" i="133"/>
  <c r="E26" i="133"/>
  <c r="B26" i="133"/>
  <c r="D26" i="133"/>
  <c r="G25" i="133"/>
  <c r="D25" i="133"/>
  <c r="G24" i="133"/>
  <c r="D24" i="133"/>
  <c r="G23" i="133"/>
  <c r="D23" i="133"/>
  <c r="G22" i="133"/>
  <c r="D22" i="133"/>
  <c r="G21" i="133"/>
  <c r="D21" i="133"/>
  <c r="G20" i="133"/>
  <c r="D20" i="133"/>
  <c r="G19" i="133"/>
  <c r="D19" i="133"/>
  <c r="G18" i="133"/>
  <c r="D18" i="133"/>
  <c r="G17" i="133"/>
  <c r="D17" i="133"/>
  <c r="G15" i="133"/>
  <c r="F15" i="133"/>
  <c r="E15" i="133"/>
  <c r="C15" i="133"/>
  <c r="C27" i="133"/>
  <c r="B15" i="133"/>
  <c r="G14" i="133"/>
  <c r="D14" i="133"/>
  <c r="G13" i="133"/>
  <c r="D13" i="133"/>
  <c r="G12" i="133"/>
  <c r="D12" i="133"/>
  <c r="G11" i="133"/>
  <c r="D11" i="133"/>
  <c r="G10" i="133"/>
  <c r="D10" i="133"/>
  <c r="G9" i="133"/>
  <c r="D9" i="133"/>
  <c r="F77" i="132"/>
  <c r="F72" i="132"/>
  <c r="F66" i="132"/>
  <c r="C26" i="132"/>
  <c r="F84" i="132"/>
  <c r="E84" i="132"/>
  <c r="C84" i="132"/>
  <c r="D83" i="132"/>
  <c r="E83" i="132"/>
  <c r="B83" i="132"/>
  <c r="C83" i="132"/>
  <c r="F82" i="132"/>
  <c r="E82" i="132"/>
  <c r="C82" i="132"/>
  <c r="F81" i="132"/>
  <c r="E81" i="132"/>
  <c r="C81" i="132"/>
  <c r="E77" i="132"/>
  <c r="C77" i="132"/>
  <c r="F75" i="132"/>
  <c r="E75" i="132"/>
  <c r="C75" i="132"/>
  <c r="F74" i="132"/>
  <c r="E74" i="132"/>
  <c r="C74" i="132"/>
  <c r="E72" i="132"/>
  <c r="C72" i="132"/>
  <c r="F71" i="132"/>
  <c r="E71" i="132"/>
  <c r="C71" i="132"/>
  <c r="F70" i="132"/>
  <c r="E70" i="132"/>
  <c r="C70" i="132"/>
  <c r="F69" i="132"/>
  <c r="E69" i="132"/>
  <c r="C69" i="132"/>
  <c r="F68" i="132"/>
  <c r="E68" i="132"/>
  <c r="C68" i="132"/>
  <c r="E66" i="132"/>
  <c r="C66" i="132"/>
  <c r="F65" i="132"/>
  <c r="E65" i="132"/>
  <c r="C65" i="132"/>
  <c r="F64" i="132"/>
  <c r="E64" i="132"/>
  <c r="C64" i="132"/>
  <c r="F63" i="132"/>
  <c r="E63" i="132"/>
  <c r="C63" i="132"/>
  <c r="F62" i="132"/>
  <c r="E62" i="132"/>
  <c r="C62" i="132"/>
  <c r="D61" i="132"/>
  <c r="D67" i="132"/>
  <c r="B61" i="132"/>
  <c r="C61" i="132"/>
  <c r="F60" i="132"/>
  <c r="E60" i="132"/>
  <c r="C60" i="132"/>
  <c r="F59" i="132"/>
  <c r="E59" i="132"/>
  <c r="C59" i="132"/>
  <c r="C48" i="132"/>
  <c r="B48" i="132"/>
  <c r="D47" i="132"/>
  <c r="D46" i="132"/>
  <c r="C43" i="132"/>
  <c r="B43" i="132"/>
  <c r="D42" i="132"/>
  <c r="D41" i="132"/>
  <c r="D40" i="132"/>
  <c r="D39" i="132"/>
  <c r="D38" i="132"/>
  <c r="C36" i="132"/>
  <c r="B36" i="132"/>
  <c r="B44" i="132"/>
  <c r="D35" i="132"/>
  <c r="D34" i="132"/>
  <c r="D33" i="132"/>
  <c r="D32" i="132"/>
  <c r="D31" i="132"/>
  <c r="D30" i="132"/>
  <c r="B26" i="132"/>
  <c r="D25" i="132"/>
  <c r="D24" i="132"/>
  <c r="D23" i="132"/>
  <c r="D22" i="132"/>
  <c r="D21" i="132"/>
  <c r="D20" i="132"/>
  <c r="D19" i="132"/>
  <c r="D18" i="132"/>
  <c r="D17" i="132"/>
  <c r="C15" i="132"/>
  <c r="B15" i="132"/>
  <c r="B27" i="132"/>
  <c r="D14" i="132"/>
  <c r="D13" i="132"/>
  <c r="D12" i="132"/>
  <c r="D11" i="132"/>
  <c r="D10" i="132"/>
  <c r="D9" i="132"/>
  <c r="Y85" i="131"/>
  <c r="Y87" i="131"/>
  <c r="Y84" i="131"/>
  <c r="Y80" i="131"/>
  <c r="Y78" i="131"/>
  <c r="Y77" i="131"/>
  <c r="Z77" i="131"/>
  <c r="Y75" i="131"/>
  <c r="Y74" i="131"/>
  <c r="Y73" i="131"/>
  <c r="Y72" i="131"/>
  <c r="Y71" i="131"/>
  <c r="Y70" i="131"/>
  <c r="Y69" i="131"/>
  <c r="Y67" i="131"/>
  <c r="Y66" i="131"/>
  <c r="Y65" i="131"/>
  <c r="Y64" i="131"/>
  <c r="Y63" i="131"/>
  <c r="Y61" i="131"/>
  <c r="Y60" i="131"/>
  <c r="W60" i="131"/>
  <c r="X60" i="131"/>
  <c r="W87" i="131"/>
  <c r="AA87" i="131"/>
  <c r="W85" i="131"/>
  <c r="W84" i="131"/>
  <c r="W80" i="131"/>
  <c r="W78" i="131"/>
  <c r="W77" i="131"/>
  <c r="W75" i="131"/>
  <c r="W74" i="131"/>
  <c r="W73" i="131"/>
  <c r="W72" i="131"/>
  <c r="W71" i="131"/>
  <c r="W70" i="131"/>
  <c r="W69" i="131"/>
  <c r="W67" i="131"/>
  <c r="W66" i="131"/>
  <c r="W65" i="131"/>
  <c r="W64" i="131"/>
  <c r="W63" i="131"/>
  <c r="W61" i="131"/>
  <c r="V81" i="131"/>
  <c r="V87" i="131"/>
  <c r="V85" i="131"/>
  <c r="V84" i="131"/>
  <c r="V80" i="131"/>
  <c r="V79" i="131"/>
  <c r="V78" i="131"/>
  <c r="V77" i="131"/>
  <c r="V76" i="131"/>
  <c r="V75" i="131"/>
  <c r="V74" i="131"/>
  <c r="V71" i="131"/>
  <c r="V70" i="131"/>
  <c r="V69" i="131"/>
  <c r="V68" i="131"/>
  <c r="V67" i="131"/>
  <c r="V66" i="131"/>
  <c r="V65" i="131"/>
  <c r="V64" i="131"/>
  <c r="V63" i="131"/>
  <c r="V62" i="131"/>
  <c r="V61" i="131"/>
  <c r="V60" i="131"/>
  <c r="U60" i="131"/>
  <c r="U61" i="131"/>
  <c r="S87" i="131"/>
  <c r="S86" i="131"/>
  <c r="S85" i="131"/>
  <c r="S84" i="131"/>
  <c r="S81" i="131"/>
  <c r="S80" i="131"/>
  <c r="S79" i="131"/>
  <c r="S78" i="131"/>
  <c r="S77" i="131"/>
  <c r="S76" i="131"/>
  <c r="S75" i="131"/>
  <c r="S74" i="131"/>
  <c r="S73" i="131"/>
  <c r="S72" i="131"/>
  <c r="S71" i="131"/>
  <c r="S70" i="131"/>
  <c r="S69" i="131"/>
  <c r="S68" i="131"/>
  <c r="S67" i="131"/>
  <c r="S66" i="131"/>
  <c r="S65" i="131"/>
  <c r="S64" i="131"/>
  <c r="S63" i="131"/>
  <c r="S62" i="131"/>
  <c r="S61" i="131"/>
  <c r="S60" i="131"/>
  <c r="R86" i="131"/>
  <c r="Q86" i="131"/>
  <c r="J20" i="131"/>
  <c r="G20" i="131"/>
  <c r="D20" i="131"/>
  <c r="L48" i="131"/>
  <c r="K48" i="131"/>
  <c r="M47" i="131"/>
  <c r="M46" i="131"/>
  <c r="L43" i="131"/>
  <c r="K43" i="131"/>
  <c r="M42" i="131"/>
  <c r="M41" i="131"/>
  <c r="M40" i="131"/>
  <c r="M39" i="131"/>
  <c r="M38" i="131"/>
  <c r="L36" i="131"/>
  <c r="K36" i="131"/>
  <c r="M35" i="131"/>
  <c r="M33" i="131"/>
  <c r="M32" i="131"/>
  <c r="M31" i="131"/>
  <c r="M30" i="131"/>
  <c r="L26" i="131"/>
  <c r="K26" i="131"/>
  <c r="M25" i="131"/>
  <c r="M24" i="131"/>
  <c r="M23" i="131"/>
  <c r="M22" i="131"/>
  <c r="M21" i="131"/>
  <c r="M19" i="131"/>
  <c r="M18" i="131"/>
  <c r="M17" i="131"/>
  <c r="L15" i="131"/>
  <c r="K15" i="131"/>
  <c r="M14" i="131"/>
  <c r="M13" i="131"/>
  <c r="M12" i="131"/>
  <c r="M11" i="131"/>
  <c r="M10" i="131"/>
  <c r="M9" i="131"/>
  <c r="M15" i="131"/>
  <c r="K44" i="131"/>
  <c r="K49" i="131"/>
  <c r="M48" i="131"/>
  <c r="L44" i="131"/>
  <c r="K27" i="131"/>
  <c r="M36" i="131"/>
  <c r="L49" i="131"/>
  <c r="M44" i="131"/>
  <c r="M43" i="131"/>
  <c r="U87" i="131"/>
  <c r="K87" i="131"/>
  <c r="J87" i="131"/>
  <c r="H87" i="131"/>
  <c r="F87" i="131"/>
  <c r="E87" i="131"/>
  <c r="C87" i="131"/>
  <c r="T86" i="131"/>
  <c r="V86" i="131"/>
  <c r="U86" i="131"/>
  <c r="O86" i="131"/>
  <c r="N86" i="131"/>
  <c r="W86" i="131"/>
  <c r="M86" i="131"/>
  <c r="Y86" i="131"/>
  <c r="K86" i="131"/>
  <c r="J86" i="131"/>
  <c r="H86" i="131"/>
  <c r="D86" i="131"/>
  <c r="E86" i="131"/>
  <c r="B86" i="131"/>
  <c r="C86" i="131"/>
  <c r="U85" i="131"/>
  <c r="K85" i="131"/>
  <c r="J85" i="131"/>
  <c r="H85" i="131"/>
  <c r="F85" i="131"/>
  <c r="E85" i="131"/>
  <c r="C85" i="131"/>
  <c r="Z84" i="131"/>
  <c r="U84" i="131"/>
  <c r="K84" i="131"/>
  <c r="J84" i="131"/>
  <c r="H84" i="131"/>
  <c r="F84" i="131"/>
  <c r="E84" i="131"/>
  <c r="C84" i="131"/>
  <c r="U81" i="131"/>
  <c r="K81" i="131"/>
  <c r="J81" i="131"/>
  <c r="H81" i="131"/>
  <c r="U80" i="131"/>
  <c r="K80" i="131"/>
  <c r="J80" i="131"/>
  <c r="H80" i="131"/>
  <c r="E80" i="131"/>
  <c r="C80" i="131"/>
  <c r="U79" i="131"/>
  <c r="K79" i="131"/>
  <c r="J79" i="131"/>
  <c r="H79" i="131"/>
  <c r="U78" i="131"/>
  <c r="K78" i="131"/>
  <c r="J78" i="131"/>
  <c r="H78" i="131"/>
  <c r="F78" i="131"/>
  <c r="E78" i="131"/>
  <c r="C78" i="131"/>
  <c r="U77" i="131"/>
  <c r="K77" i="131"/>
  <c r="J77" i="131"/>
  <c r="H77" i="131"/>
  <c r="F77" i="131"/>
  <c r="E77" i="131"/>
  <c r="C77" i="131"/>
  <c r="U76" i="131"/>
  <c r="K76" i="131"/>
  <c r="J76" i="131"/>
  <c r="H76" i="131"/>
  <c r="U75" i="131"/>
  <c r="J75" i="131"/>
  <c r="H75" i="131"/>
  <c r="E75" i="131"/>
  <c r="C75" i="131"/>
  <c r="U74" i="131"/>
  <c r="K74" i="131"/>
  <c r="J74" i="131"/>
  <c r="H74" i="131"/>
  <c r="E74" i="131"/>
  <c r="C74" i="131"/>
  <c r="U73" i="131"/>
  <c r="K73" i="131"/>
  <c r="J73" i="131"/>
  <c r="H73" i="131"/>
  <c r="F73" i="131"/>
  <c r="E73" i="131"/>
  <c r="C73" i="131"/>
  <c r="U72" i="131"/>
  <c r="K72" i="131"/>
  <c r="J72" i="131"/>
  <c r="H72" i="131"/>
  <c r="F72" i="131"/>
  <c r="E72" i="131"/>
  <c r="C72" i="131"/>
  <c r="U71" i="131"/>
  <c r="K71" i="131"/>
  <c r="J71" i="131"/>
  <c r="H71" i="131"/>
  <c r="F71" i="131"/>
  <c r="E71" i="131"/>
  <c r="C71" i="131"/>
  <c r="U70" i="131"/>
  <c r="K70" i="131"/>
  <c r="J70" i="131"/>
  <c r="H70" i="131"/>
  <c r="F70" i="131"/>
  <c r="E70" i="131"/>
  <c r="C70" i="131"/>
  <c r="U69" i="131"/>
  <c r="K69" i="131"/>
  <c r="J69" i="131"/>
  <c r="H69" i="131"/>
  <c r="F69" i="131"/>
  <c r="E69" i="131"/>
  <c r="C69" i="131"/>
  <c r="U68" i="131"/>
  <c r="K68" i="131"/>
  <c r="J68" i="131"/>
  <c r="H68" i="131"/>
  <c r="AA67" i="131"/>
  <c r="U67" i="131"/>
  <c r="K67" i="131"/>
  <c r="J67" i="131"/>
  <c r="H67" i="131"/>
  <c r="E67" i="131"/>
  <c r="C67" i="131"/>
  <c r="U66" i="131"/>
  <c r="K66" i="131"/>
  <c r="J66" i="131"/>
  <c r="H66" i="131"/>
  <c r="F66" i="131"/>
  <c r="E66" i="131"/>
  <c r="C66" i="131"/>
  <c r="U65" i="131"/>
  <c r="K65" i="131"/>
  <c r="J65" i="131"/>
  <c r="H65" i="131"/>
  <c r="F65" i="131"/>
  <c r="E65" i="131"/>
  <c r="C65" i="131"/>
  <c r="U64" i="131"/>
  <c r="K64" i="131"/>
  <c r="J64" i="131"/>
  <c r="H64" i="131"/>
  <c r="F64" i="131"/>
  <c r="E64" i="131"/>
  <c r="C64" i="131"/>
  <c r="U63" i="131"/>
  <c r="K63" i="131"/>
  <c r="J63" i="131"/>
  <c r="H63" i="131"/>
  <c r="F63" i="131"/>
  <c r="E63" i="131"/>
  <c r="C63" i="131"/>
  <c r="U62" i="131"/>
  <c r="O62" i="131"/>
  <c r="O68" i="131"/>
  <c r="O76" i="131"/>
  <c r="O79" i="131"/>
  <c r="O81" i="131"/>
  <c r="N62" i="131"/>
  <c r="W62" i="131"/>
  <c r="M62" i="131"/>
  <c r="K62" i="131"/>
  <c r="J62" i="131"/>
  <c r="H62" i="131"/>
  <c r="D62" i="131"/>
  <c r="D68" i="131"/>
  <c r="B62" i="131"/>
  <c r="C62" i="131"/>
  <c r="K61" i="131"/>
  <c r="J61" i="131"/>
  <c r="H61" i="131"/>
  <c r="F61" i="131"/>
  <c r="E61" i="131"/>
  <c r="C61" i="131"/>
  <c r="Z60" i="131"/>
  <c r="K60" i="131"/>
  <c r="J60" i="131"/>
  <c r="H60" i="131"/>
  <c r="F60" i="131"/>
  <c r="E60" i="131"/>
  <c r="C60" i="131"/>
  <c r="I48" i="131"/>
  <c r="H48" i="131"/>
  <c r="F48" i="131"/>
  <c r="E48" i="131"/>
  <c r="C48" i="131"/>
  <c r="B48" i="131"/>
  <c r="J47" i="131"/>
  <c r="G47" i="131"/>
  <c r="D47" i="131"/>
  <c r="J46" i="131"/>
  <c r="G46" i="131"/>
  <c r="D46" i="131"/>
  <c r="I43" i="131"/>
  <c r="H43" i="131"/>
  <c r="F43" i="131"/>
  <c r="E43" i="131"/>
  <c r="C43" i="131"/>
  <c r="B43" i="131"/>
  <c r="J42" i="131"/>
  <c r="G42" i="131"/>
  <c r="D42" i="131"/>
  <c r="J41" i="131"/>
  <c r="G41" i="131"/>
  <c r="D41" i="131"/>
  <c r="J40" i="131"/>
  <c r="G40" i="131"/>
  <c r="D40" i="131"/>
  <c r="J39" i="131"/>
  <c r="G39" i="131"/>
  <c r="D39" i="131"/>
  <c r="J38" i="131"/>
  <c r="G38" i="131"/>
  <c r="D38" i="131"/>
  <c r="I36" i="131"/>
  <c r="H36" i="131"/>
  <c r="F36" i="131"/>
  <c r="F44" i="131"/>
  <c r="E36" i="131"/>
  <c r="C36" i="131"/>
  <c r="B36" i="131"/>
  <c r="J35" i="131"/>
  <c r="G35" i="131"/>
  <c r="D35" i="131"/>
  <c r="J34" i="131"/>
  <c r="G34" i="131"/>
  <c r="D34" i="131"/>
  <c r="J33" i="131"/>
  <c r="G33" i="131"/>
  <c r="D33" i="131"/>
  <c r="J32" i="131"/>
  <c r="G32" i="131"/>
  <c r="D32" i="131"/>
  <c r="J31" i="131"/>
  <c r="G31" i="131"/>
  <c r="D31" i="131"/>
  <c r="J30" i="131"/>
  <c r="G30" i="131"/>
  <c r="D30" i="131"/>
  <c r="I26" i="131"/>
  <c r="H26" i="131"/>
  <c r="F26" i="131"/>
  <c r="E26" i="131"/>
  <c r="B26" i="131"/>
  <c r="D26" i="131"/>
  <c r="J25" i="131"/>
  <c r="G25" i="131"/>
  <c r="D25" i="131"/>
  <c r="J24" i="131"/>
  <c r="G24" i="131"/>
  <c r="D24" i="131"/>
  <c r="J23" i="131"/>
  <c r="G23" i="131"/>
  <c r="D23" i="131"/>
  <c r="J22" i="131"/>
  <c r="G22" i="131"/>
  <c r="D22" i="131"/>
  <c r="J21" i="131"/>
  <c r="G21" i="131"/>
  <c r="D21" i="131"/>
  <c r="J19" i="131"/>
  <c r="G19" i="131"/>
  <c r="D19" i="131"/>
  <c r="J18" i="131"/>
  <c r="G18" i="131"/>
  <c r="D18" i="131"/>
  <c r="J17" i="131"/>
  <c r="G17" i="131"/>
  <c r="D17" i="131"/>
  <c r="I15" i="131"/>
  <c r="H15" i="131"/>
  <c r="F15" i="131"/>
  <c r="E15" i="131"/>
  <c r="C15" i="131"/>
  <c r="B15" i="131"/>
  <c r="J14" i="131"/>
  <c r="G14" i="131"/>
  <c r="D14" i="131"/>
  <c r="J13" i="131"/>
  <c r="G13" i="131"/>
  <c r="D13" i="131"/>
  <c r="J12" i="131"/>
  <c r="G12" i="131"/>
  <c r="D12" i="131"/>
  <c r="J11" i="131"/>
  <c r="G11" i="131"/>
  <c r="D11" i="131"/>
  <c r="J10" i="131"/>
  <c r="G10" i="131"/>
  <c r="D10" i="131"/>
  <c r="J9" i="131"/>
  <c r="G9" i="131"/>
  <c r="D9" i="131"/>
  <c r="W88" i="130"/>
  <c r="W86" i="130"/>
  <c r="W85" i="130"/>
  <c r="W81" i="130"/>
  <c r="W79" i="130"/>
  <c r="W78" i="130"/>
  <c r="W76" i="130"/>
  <c r="W75" i="130"/>
  <c r="W74" i="130"/>
  <c r="W73" i="130"/>
  <c r="W72" i="130"/>
  <c r="W71" i="130"/>
  <c r="W70" i="130"/>
  <c r="W68" i="130"/>
  <c r="W67" i="130"/>
  <c r="W66" i="130"/>
  <c r="W65" i="130"/>
  <c r="W64" i="130"/>
  <c r="W62" i="130"/>
  <c r="W61" i="130"/>
  <c r="X61" i="130"/>
  <c r="U88" i="130"/>
  <c r="U86" i="130"/>
  <c r="U85" i="130"/>
  <c r="U81" i="130"/>
  <c r="U79" i="130"/>
  <c r="U78" i="130"/>
  <c r="U76" i="130"/>
  <c r="U75" i="130"/>
  <c r="U74" i="130"/>
  <c r="U73" i="130"/>
  <c r="U72" i="130"/>
  <c r="U71" i="130"/>
  <c r="U70" i="130"/>
  <c r="U68" i="130"/>
  <c r="U67" i="130"/>
  <c r="U66" i="130"/>
  <c r="U65" i="130"/>
  <c r="U64" i="130"/>
  <c r="U62" i="130"/>
  <c r="U61" i="130"/>
  <c r="V61" i="130"/>
  <c r="T88" i="130"/>
  <c r="T86" i="130"/>
  <c r="T85" i="130"/>
  <c r="T82" i="130"/>
  <c r="T80" i="130"/>
  <c r="T78" i="130"/>
  <c r="T77" i="130"/>
  <c r="T75" i="130"/>
  <c r="T74" i="130"/>
  <c r="T71" i="130"/>
  <c r="T70" i="130"/>
  <c r="T69" i="130"/>
  <c r="T68" i="130"/>
  <c r="T67" i="130"/>
  <c r="T66" i="130"/>
  <c r="T65" i="130"/>
  <c r="T64" i="130"/>
  <c r="T63" i="130"/>
  <c r="T62" i="130"/>
  <c r="T61" i="130"/>
  <c r="S88" i="130"/>
  <c r="S86" i="130"/>
  <c r="S85" i="130"/>
  <c r="S82" i="130"/>
  <c r="S81" i="130"/>
  <c r="S80" i="130"/>
  <c r="S79" i="130"/>
  <c r="S78" i="130"/>
  <c r="S77" i="130"/>
  <c r="S76" i="130"/>
  <c r="S75" i="130"/>
  <c r="S74" i="130"/>
  <c r="S73" i="130"/>
  <c r="S72" i="130"/>
  <c r="S71" i="130"/>
  <c r="S70" i="130"/>
  <c r="S69" i="130"/>
  <c r="S68" i="130"/>
  <c r="S67" i="130"/>
  <c r="S66" i="130"/>
  <c r="S65" i="130"/>
  <c r="S64" i="130"/>
  <c r="S63" i="130"/>
  <c r="S62" i="130"/>
  <c r="S61" i="130"/>
  <c r="R87" i="130"/>
  <c r="T87" i="130"/>
  <c r="Q88" i="130"/>
  <c r="Q87" i="130"/>
  <c r="Q86" i="130"/>
  <c r="Q85" i="130"/>
  <c r="Q82" i="130"/>
  <c r="Q81" i="130"/>
  <c r="Q80" i="130"/>
  <c r="Q79" i="130"/>
  <c r="Q78" i="130"/>
  <c r="Q77" i="130"/>
  <c r="Q75" i="130"/>
  <c r="Q74" i="130"/>
  <c r="Q73" i="130"/>
  <c r="Q72" i="130"/>
  <c r="Q71" i="130"/>
  <c r="Q70" i="130"/>
  <c r="Q69" i="130"/>
  <c r="Q68" i="130"/>
  <c r="Q67" i="130"/>
  <c r="Q66" i="130"/>
  <c r="Q65" i="130"/>
  <c r="Q64" i="130"/>
  <c r="Q63" i="130"/>
  <c r="Q62" i="130"/>
  <c r="Q61" i="130"/>
  <c r="M87" i="130"/>
  <c r="M63" i="130"/>
  <c r="K88" i="130"/>
  <c r="K87" i="130"/>
  <c r="K86" i="130"/>
  <c r="K85" i="130"/>
  <c r="K82" i="130"/>
  <c r="K81" i="130"/>
  <c r="K80" i="130"/>
  <c r="K79" i="130"/>
  <c r="K78" i="130"/>
  <c r="K77" i="130"/>
  <c r="K75" i="130"/>
  <c r="K74" i="130"/>
  <c r="K73" i="130"/>
  <c r="K72" i="130"/>
  <c r="K71" i="130"/>
  <c r="K70" i="130"/>
  <c r="K69" i="130"/>
  <c r="K68" i="130"/>
  <c r="K67" i="130"/>
  <c r="K66" i="130"/>
  <c r="K65" i="130"/>
  <c r="K64" i="130"/>
  <c r="K63" i="130"/>
  <c r="K62" i="130"/>
  <c r="K61" i="130"/>
  <c r="J88" i="130"/>
  <c r="J87" i="130"/>
  <c r="J86" i="130"/>
  <c r="J85" i="130"/>
  <c r="J82" i="130"/>
  <c r="J81" i="130"/>
  <c r="J80" i="130"/>
  <c r="J79" i="130"/>
  <c r="J78" i="130"/>
  <c r="J77" i="130"/>
  <c r="J76" i="130"/>
  <c r="J75" i="130"/>
  <c r="J74" i="130"/>
  <c r="J73" i="130"/>
  <c r="J72" i="130"/>
  <c r="J71" i="130"/>
  <c r="J70" i="130"/>
  <c r="J69" i="130"/>
  <c r="J68" i="130"/>
  <c r="J67" i="130"/>
  <c r="J66" i="130"/>
  <c r="J65" i="130"/>
  <c r="J64" i="130"/>
  <c r="J63" i="130"/>
  <c r="J62" i="130"/>
  <c r="J61" i="130"/>
  <c r="H88" i="130"/>
  <c r="H87" i="130"/>
  <c r="H86" i="130"/>
  <c r="H85" i="130"/>
  <c r="H82" i="130"/>
  <c r="H81" i="130"/>
  <c r="H80" i="130"/>
  <c r="H79" i="130"/>
  <c r="H78" i="130"/>
  <c r="H77" i="130"/>
  <c r="H76" i="130"/>
  <c r="H75" i="130"/>
  <c r="H74" i="130"/>
  <c r="H73" i="130"/>
  <c r="H72" i="130"/>
  <c r="H71" i="130"/>
  <c r="H70" i="130"/>
  <c r="H69" i="130"/>
  <c r="H68" i="130"/>
  <c r="H67" i="130"/>
  <c r="H66" i="130"/>
  <c r="H65" i="130"/>
  <c r="H64" i="130"/>
  <c r="H63" i="130"/>
  <c r="H62" i="130"/>
  <c r="H61" i="130"/>
  <c r="S87" i="130"/>
  <c r="M69" i="130"/>
  <c r="M77" i="130"/>
  <c r="M80" i="130"/>
  <c r="M82" i="130"/>
  <c r="I49" i="130"/>
  <c r="H49" i="130"/>
  <c r="J48" i="130"/>
  <c r="J47" i="130"/>
  <c r="I44" i="130"/>
  <c r="H44" i="130"/>
  <c r="J43" i="130"/>
  <c r="J42" i="130"/>
  <c r="J41" i="130"/>
  <c r="J40" i="130"/>
  <c r="J39" i="130"/>
  <c r="I37" i="130"/>
  <c r="H37" i="130"/>
  <c r="J36" i="130"/>
  <c r="J35" i="130"/>
  <c r="J34" i="130"/>
  <c r="J33" i="130"/>
  <c r="J32" i="130"/>
  <c r="J31" i="130"/>
  <c r="I27" i="130"/>
  <c r="H27" i="130"/>
  <c r="J26" i="130"/>
  <c r="J25" i="130"/>
  <c r="J24" i="130"/>
  <c r="J23" i="130"/>
  <c r="J22" i="130"/>
  <c r="J21" i="130"/>
  <c r="J20" i="130"/>
  <c r="J19" i="130"/>
  <c r="J18" i="130"/>
  <c r="J17" i="130"/>
  <c r="I15" i="130"/>
  <c r="I28" i="130"/>
  <c r="H15" i="130"/>
  <c r="H28" i="130"/>
  <c r="J14" i="130"/>
  <c r="J13" i="130"/>
  <c r="J12" i="130"/>
  <c r="J11" i="130"/>
  <c r="J10" i="130"/>
  <c r="J9" i="130"/>
  <c r="F88" i="130"/>
  <c r="E88" i="130"/>
  <c r="C88" i="130"/>
  <c r="O87" i="130"/>
  <c r="W87" i="130"/>
  <c r="N87" i="130"/>
  <c r="U87" i="130"/>
  <c r="D87" i="130"/>
  <c r="E87" i="130"/>
  <c r="B87" i="130"/>
  <c r="C87" i="130"/>
  <c r="F86" i="130"/>
  <c r="E86" i="130"/>
  <c r="C86" i="130"/>
  <c r="F85" i="130"/>
  <c r="E85" i="130"/>
  <c r="C85" i="130"/>
  <c r="E81" i="130"/>
  <c r="C81" i="130"/>
  <c r="F79" i="130"/>
  <c r="E79" i="130"/>
  <c r="C79" i="130"/>
  <c r="F78" i="130"/>
  <c r="E78" i="130"/>
  <c r="C78" i="130"/>
  <c r="E76" i="130"/>
  <c r="C76" i="130"/>
  <c r="E75" i="130"/>
  <c r="C75" i="130"/>
  <c r="F74" i="130"/>
  <c r="E74" i="130"/>
  <c r="C74" i="130"/>
  <c r="F73" i="130"/>
  <c r="E73" i="130"/>
  <c r="C73" i="130"/>
  <c r="F72" i="130"/>
  <c r="E72" i="130"/>
  <c r="C72" i="130"/>
  <c r="F71" i="130"/>
  <c r="E71" i="130"/>
  <c r="C71" i="130"/>
  <c r="F70" i="130"/>
  <c r="E70" i="130"/>
  <c r="C70" i="130"/>
  <c r="E68" i="130"/>
  <c r="C68" i="130"/>
  <c r="F67" i="130"/>
  <c r="E67" i="130"/>
  <c r="C67" i="130"/>
  <c r="Y66" i="130"/>
  <c r="F66" i="130"/>
  <c r="E66" i="130"/>
  <c r="C66" i="130"/>
  <c r="F65" i="130"/>
  <c r="E65" i="130"/>
  <c r="C65" i="130"/>
  <c r="F64" i="130"/>
  <c r="E64" i="130"/>
  <c r="C64" i="130"/>
  <c r="O63" i="130"/>
  <c r="N63" i="130"/>
  <c r="U63" i="130"/>
  <c r="D63" i="130"/>
  <c r="B63" i="130"/>
  <c r="B69" i="130"/>
  <c r="F62" i="130"/>
  <c r="E62" i="130"/>
  <c r="C62" i="130"/>
  <c r="V81" i="130"/>
  <c r="F61" i="130"/>
  <c r="E61" i="130"/>
  <c r="C61" i="130"/>
  <c r="F49" i="130"/>
  <c r="E49" i="130"/>
  <c r="C49" i="130"/>
  <c r="B49" i="130"/>
  <c r="G48" i="130"/>
  <c r="D48" i="130"/>
  <c r="G47" i="130"/>
  <c r="D47" i="130"/>
  <c r="F44" i="130"/>
  <c r="E44" i="130"/>
  <c r="C44" i="130"/>
  <c r="B44" i="130"/>
  <c r="G43" i="130"/>
  <c r="D43" i="130"/>
  <c r="G42" i="130"/>
  <c r="D42" i="130"/>
  <c r="G41" i="130"/>
  <c r="D41" i="130"/>
  <c r="G40" i="130"/>
  <c r="D40" i="130"/>
  <c r="G39" i="130"/>
  <c r="D39" i="130"/>
  <c r="F37" i="130"/>
  <c r="E37" i="130"/>
  <c r="C37" i="130"/>
  <c r="B37" i="130"/>
  <c r="G36" i="130"/>
  <c r="D36" i="130"/>
  <c r="G35" i="130"/>
  <c r="D35" i="130"/>
  <c r="G34" i="130"/>
  <c r="D34" i="130"/>
  <c r="G33" i="130"/>
  <c r="D33" i="130"/>
  <c r="G32" i="130"/>
  <c r="D32" i="130"/>
  <c r="G31" i="130"/>
  <c r="D31" i="130"/>
  <c r="F27" i="130"/>
  <c r="E27" i="130"/>
  <c r="B27" i="130"/>
  <c r="D27" i="130"/>
  <c r="G26" i="130"/>
  <c r="D26" i="130"/>
  <c r="G25" i="130"/>
  <c r="D25" i="130"/>
  <c r="G24" i="130"/>
  <c r="D24" i="130"/>
  <c r="G23" i="130"/>
  <c r="D23" i="130"/>
  <c r="G22" i="130"/>
  <c r="D22" i="130"/>
  <c r="G21" i="130"/>
  <c r="D21" i="130"/>
  <c r="G20" i="130"/>
  <c r="D20" i="130"/>
  <c r="G19" i="130"/>
  <c r="D19" i="130"/>
  <c r="G18" i="130"/>
  <c r="D18" i="130"/>
  <c r="G17" i="130"/>
  <c r="D17" i="130"/>
  <c r="F15" i="130"/>
  <c r="E15" i="130"/>
  <c r="C15" i="130"/>
  <c r="B15" i="130"/>
  <c r="B28" i="130"/>
  <c r="G14" i="130"/>
  <c r="D14" i="130"/>
  <c r="G13" i="130"/>
  <c r="D13" i="130"/>
  <c r="G12" i="130"/>
  <c r="D12" i="130"/>
  <c r="G11" i="130"/>
  <c r="D11" i="130"/>
  <c r="G10" i="130"/>
  <c r="D10" i="130"/>
  <c r="G9" i="130"/>
  <c r="D9" i="130"/>
  <c r="P87" i="129"/>
  <c r="P85" i="129"/>
  <c r="P84" i="129"/>
  <c r="P80" i="129"/>
  <c r="P78" i="129"/>
  <c r="P77" i="129"/>
  <c r="P75" i="129"/>
  <c r="P74" i="129"/>
  <c r="P73" i="129"/>
  <c r="P72" i="129"/>
  <c r="P71" i="129"/>
  <c r="P70" i="129"/>
  <c r="P69" i="129"/>
  <c r="P67" i="129"/>
  <c r="R67" i="129"/>
  <c r="P66" i="129"/>
  <c r="P65" i="129"/>
  <c r="P64" i="129"/>
  <c r="P63" i="129"/>
  <c r="P61" i="129"/>
  <c r="P60" i="129"/>
  <c r="N87" i="129"/>
  <c r="N85" i="129"/>
  <c r="N84" i="129"/>
  <c r="O84" i="129"/>
  <c r="N80" i="129"/>
  <c r="N78" i="129"/>
  <c r="N77" i="129"/>
  <c r="R77" i="129"/>
  <c r="N75" i="129"/>
  <c r="O75" i="129"/>
  <c r="N74" i="129"/>
  <c r="N73" i="129"/>
  <c r="N72" i="129"/>
  <c r="R72" i="129"/>
  <c r="N71" i="129"/>
  <c r="N70" i="129"/>
  <c r="N69" i="129"/>
  <c r="N67" i="129"/>
  <c r="N66" i="129"/>
  <c r="N65" i="129"/>
  <c r="N64" i="129"/>
  <c r="N63" i="129"/>
  <c r="N61" i="129"/>
  <c r="R61" i="129"/>
  <c r="N60" i="129"/>
  <c r="O85" i="129"/>
  <c r="O71" i="129"/>
  <c r="O67" i="129"/>
  <c r="O63" i="129"/>
  <c r="L60" i="129"/>
  <c r="L87" i="129"/>
  <c r="L85" i="129"/>
  <c r="L84" i="129"/>
  <c r="L80" i="129"/>
  <c r="L78" i="129"/>
  <c r="L77" i="129"/>
  <c r="L75" i="129"/>
  <c r="L74" i="129"/>
  <c r="L73" i="129"/>
  <c r="L72" i="129"/>
  <c r="L71" i="129"/>
  <c r="L70" i="129"/>
  <c r="L69" i="129"/>
  <c r="L67" i="129"/>
  <c r="L66" i="129"/>
  <c r="L65" i="129"/>
  <c r="L64" i="129"/>
  <c r="L63" i="129"/>
  <c r="L61" i="129"/>
  <c r="J60" i="129"/>
  <c r="J87" i="129"/>
  <c r="J85" i="129"/>
  <c r="J84" i="129"/>
  <c r="J80" i="129"/>
  <c r="J78" i="129"/>
  <c r="J77" i="129"/>
  <c r="J75" i="129"/>
  <c r="J74" i="129"/>
  <c r="J73" i="129"/>
  <c r="J72" i="129"/>
  <c r="J71" i="129"/>
  <c r="J70" i="129"/>
  <c r="J69" i="129"/>
  <c r="J67" i="129"/>
  <c r="J66" i="129"/>
  <c r="J65" i="129"/>
  <c r="J64" i="129"/>
  <c r="J63" i="129"/>
  <c r="J61" i="129"/>
  <c r="M60" i="129"/>
  <c r="E75" i="129"/>
  <c r="C75" i="129"/>
  <c r="R85" i="129"/>
  <c r="M87" i="129"/>
  <c r="K86" i="129"/>
  <c r="L86" i="129"/>
  <c r="I86" i="129"/>
  <c r="J86" i="129"/>
  <c r="M85" i="129"/>
  <c r="M84" i="129"/>
  <c r="R74" i="129"/>
  <c r="R71" i="129"/>
  <c r="R70" i="129"/>
  <c r="R69" i="129"/>
  <c r="R66" i="129"/>
  <c r="M80" i="129"/>
  <c r="M78" i="129"/>
  <c r="M77" i="129"/>
  <c r="M74" i="129"/>
  <c r="M73" i="129"/>
  <c r="M72" i="129"/>
  <c r="M71" i="129"/>
  <c r="M70" i="129"/>
  <c r="M69" i="129"/>
  <c r="M67" i="129"/>
  <c r="M66" i="129"/>
  <c r="M65" i="129"/>
  <c r="M64" i="129"/>
  <c r="M63" i="129"/>
  <c r="K62" i="129"/>
  <c r="L62" i="129"/>
  <c r="I62" i="129"/>
  <c r="M61" i="129"/>
  <c r="H86" i="129"/>
  <c r="P86" i="129"/>
  <c r="H62" i="129"/>
  <c r="P62" i="129"/>
  <c r="H68" i="129"/>
  <c r="G86" i="129"/>
  <c r="N86" i="129"/>
  <c r="O86" i="129"/>
  <c r="G68" i="129"/>
  <c r="G76" i="129"/>
  <c r="G62" i="129"/>
  <c r="R73" i="129"/>
  <c r="R65" i="129"/>
  <c r="O80" i="129"/>
  <c r="O72" i="129"/>
  <c r="O77" i="129"/>
  <c r="O87" i="129"/>
  <c r="O61" i="129"/>
  <c r="O65" i="129"/>
  <c r="O69" i="129"/>
  <c r="O73" i="129"/>
  <c r="O78" i="129"/>
  <c r="O60" i="129"/>
  <c r="O66" i="129"/>
  <c r="O70" i="129"/>
  <c r="O74" i="129"/>
  <c r="M86" i="129"/>
  <c r="F27" i="129"/>
  <c r="G9" i="129"/>
  <c r="F49" i="129"/>
  <c r="E49" i="129"/>
  <c r="G48" i="129"/>
  <c r="G47" i="129"/>
  <c r="F44" i="129"/>
  <c r="E44" i="129"/>
  <c r="G43" i="129"/>
  <c r="G42" i="129"/>
  <c r="G41" i="129"/>
  <c r="G40" i="129"/>
  <c r="G39" i="129"/>
  <c r="F37" i="129"/>
  <c r="E37" i="129"/>
  <c r="G36" i="129"/>
  <c r="G35" i="129"/>
  <c r="G34" i="129"/>
  <c r="G33" i="129"/>
  <c r="G32" i="129"/>
  <c r="G31" i="129"/>
  <c r="E27" i="129"/>
  <c r="G26" i="129"/>
  <c r="G25" i="129"/>
  <c r="G24" i="129"/>
  <c r="G23" i="129"/>
  <c r="G22" i="129"/>
  <c r="G21" i="129"/>
  <c r="G20" i="129"/>
  <c r="G19" i="129"/>
  <c r="G18" i="129"/>
  <c r="G17" i="129"/>
  <c r="F15" i="129"/>
  <c r="E15" i="129"/>
  <c r="G14" i="129"/>
  <c r="G13" i="129"/>
  <c r="G12" i="129"/>
  <c r="G11" i="129"/>
  <c r="G10" i="129"/>
  <c r="F87" i="129"/>
  <c r="E87" i="129"/>
  <c r="C87" i="129"/>
  <c r="D86" i="129"/>
  <c r="E86" i="129"/>
  <c r="B86" i="129"/>
  <c r="C86" i="129"/>
  <c r="F85" i="129"/>
  <c r="E85" i="129"/>
  <c r="C85" i="129"/>
  <c r="F84" i="129"/>
  <c r="E84" i="129"/>
  <c r="C84" i="129"/>
  <c r="E80" i="129"/>
  <c r="C80" i="129"/>
  <c r="F78" i="129"/>
  <c r="E78" i="129"/>
  <c r="C78" i="129"/>
  <c r="F77" i="129"/>
  <c r="E77" i="129"/>
  <c r="C77" i="129"/>
  <c r="E74" i="129"/>
  <c r="C74" i="129"/>
  <c r="F73" i="129"/>
  <c r="E73" i="129"/>
  <c r="C73" i="129"/>
  <c r="F72" i="129"/>
  <c r="E72" i="129"/>
  <c r="C72" i="129"/>
  <c r="F71" i="129"/>
  <c r="E71" i="129"/>
  <c r="C71" i="129"/>
  <c r="F70" i="129"/>
  <c r="E70" i="129"/>
  <c r="C70" i="129"/>
  <c r="F69" i="129"/>
  <c r="E69" i="129"/>
  <c r="C69" i="129"/>
  <c r="E67" i="129"/>
  <c r="C67" i="129"/>
  <c r="F66" i="129"/>
  <c r="E66" i="129"/>
  <c r="C66" i="129"/>
  <c r="F65" i="129"/>
  <c r="E65" i="129"/>
  <c r="C65" i="129"/>
  <c r="F64" i="129"/>
  <c r="E64" i="129"/>
  <c r="C64" i="129"/>
  <c r="F63" i="129"/>
  <c r="E63" i="129"/>
  <c r="C63" i="129"/>
  <c r="D62" i="129"/>
  <c r="D68" i="129"/>
  <c r="D76" i="129"/>
  <c r="B62" i="129"/>
  <c r="B68" i="129"/>
  <c r="B76" i="129"/>
  <c r="F61" i="129"/>
  <c r="E61" i="129"/>
  <c r="C61" i="129"/>
  <c r="F60" i="129"/>
  <c r="E60" i="129"/>
  <c r="C60" i="129"/>
  <c r="C49" i="129"/>
  <c r="B49" i="129"/>
  <c r="D48" i="129"/>
  <c r="D47" i="129"/>
  <c r="C44" i="129"/>
  <c r="D44" i="129"/>
  <c r="B44" i="129"/>
  <c r="D43" i="129"/>
  <c r="D42" i="129"/>
  <c r="D41" i="129"/>
  <c r="D40" i="129"/>
  <c r="D39" i="129"/>
  <c r="C37" i="129"/>
  <c r="B37" i="129"/>
  <c r="D36" i="129"/>
  <c r="D35" i="129"/>
  <c r="D34" i="129"/>
  <c r="D33" i="129"/>
  <c r="D32" i="129"/>
  <c r="D31" i="129"/>
  <c r="C28" i="129"/>
  <c r="B27" i="129"/>
  <c r="D27" i="129"/>
  <c r="D26" i="129"/>
  <c r="D25" i="129"/>
  <c r="D24" i="129"/>
  <c r="D23" i="129"/>
  <c r="D22" i="129"/>
  <c r="D21" i="129"/>
  <c r="D20" i="129"/>
  <c r="D19" i="129"/>
  <c r="D18" i="129"/>
  <c r="D17" i="129"/>
  <c r="C15" i="129"/>
  <c r="B15" i="129"/>
  <c r="B28" i="129"/>
  <c r="D14" i="129"/>
  <c r="D13" i="129"/>
  <c r="D12" i="129"/>
  <c r="D11" i="129"/>
  <c r="D10" i="129"/>
  <c r="D9" i="129"/>
  <c r="D43" i="128"/>
  <c r="D85" i="128"/>
  <c r="F85" i="128"/>
  <c r="B85" i="128"/>
  <c r="C85" i="128"/>
  <c r="B75" i="128"/>
  <c r="B62" i="128"/>
  <c r="B68" i="128"/>
  <c r="C68" i="128"/>
  <c r="D78" i="128"/>
  <c r="D68" i="128"/>
  <c r="D75" i="128"/>
  <c r="F75" i="128"/>
  <c r="D62" i="128"/>
  <c r="F86" i="128"/>
  <c r="E86" i="128"/>
  <c r="C86" i="128"/>
  <c r="F84" i="128"/>
  <c r="E84" i="128"/>
  <c r="C84" i="128"/>
  <c r="F83" i="128"/>
  <c r="E83" i="128"/>
  <c r="C83" i="128"/>
  <c r="E79" i="128"/>
  <c r="C79" i="128"/>
  <c r="F77" i="128"/>
  <c r="E77" i="128"/>
  <c r="C77" i="128"/>
  <c r="F76" i="128"/>
  <c r="E76" i="128"/>
  <c r="C76" i="128"/>
  <c r="E75" i="128"/>
  <c r="E74" i="128"/>
  <c r="C74" i="128"/>
  <c r="F73" i="128"/>
  <c r="E73" i="128"/>
  <c r="C73" i="128"/>
  <c r="F72" i="128"/>
  <c r="E72" i="128"/>
  <c r="C72" i="128"/>
  <c r="F71" i="128"/>
  <c r="E71" i="128"/>
  <c r="C71" i="128"/>
  <c r="F70" i="128"/>
  <c r="E70" i="128"/>
  <c r="C70" i="128"/>
  <c r="F69" i="128"/>
  <c r="E69" i="128"/>
  <c r="C69" i="128"/>
  <c r="E68" i="128"/>
  <c r="E67" i="128"/>
  <c r="C67" i="128"/>
  <c r="F66" i="128"/>
  <c r="E66" i="128"/>
  <c r="C66" i="128"/>
  <c r="F65" i="128"/>
  <c r="E65" i="128"/>
  <c r="C65" i="128"/>
  <c r="F64" i="128"/>
  <c r="E64" i="128"/>
  <c r="C64" i="128"/>
  <c r="F63" i="128"/>
  <c r="E63" i="128"/>
  <c r="C63" i="128"/>
  <c r="F62" i="128"/>
  <c r="E62" i="128"/>
  <c r="C62" i="128"/>
  <c r="F61" i="128"/>
  <c r="E61" i="128"/>
  <c r="C61" i="128"/>
  <c r="F60" i="128"/>
  <c r="E60" i="128"/>
  <c r="C60" i="128"/>
  <c r="C49" i="128"/>
  <c r="B49" i="128"/>
  <c r="D48" i="128"/>
  <c r="D47" i="128"/>
  <c r="C44" i="128"/>
  <c r="B44" i="128"/>
  <c r="D42" i="128"/>
  <c r="D41" i="128"/>
  <c r="D40" i="128"/>
  <c r="D39" i="128"/>
  <c r="C37" i="128"/>
  <c r="B37" i="128"/>
  <c r="D36" i="128"/>
  <c r="D35" i="128"/>
  <c r="D34" i="128"/>
  <c r="D33" i="128"/>
  <c r="D32" i="128"/>
  <c r="D31" i="128"/>
  <c r="B27" i="128"/>
  <c r="D26" i="128"/>
  <c r="D25" i="128"/>
  <c r="D24" i="128"/>
  <c r="D23" i="128"/>
  <c r="D22" i="128"/>
  <c r="D21" i="128"/>
  <c r="D20" i="128"/>
  <c r="D19" i="128"/>
  <c r="D18" i="128"/>
  <c r="D17" i="128"/>
  <c r="C15" i="128"/>
  <c r="C28" i="128"/>
  <c r="D28" i="128"/>
  <c r="B15" i="128"/>
  <c r="B28" i="128"/>
  <c r="D14" i="128"/>
  <c r="D13" i="128"/>
  <c r="D12" i="128"/>
  <c r="D11" i="128"/>
  <c r="D10" i="128"/>
  <c r="D9" i="128"/>
  <c r="S60" i="127"/>
  <c r="V60" i="127"/>
  <c r="U60" i="127"/>
  <c r="S87" i="127"/>
  <c r="S85" i="127"/>
  <c r="S84" i="127"/>
  <c r="S80" i="127"/>
  <c r="S78" i="127"/>
  <c r="S77" i="127"/>
  <c r="S75" i="127"/>
  <c r="S74" i="127"/>
  <c r="S73" i="127"/>
  <c r="S72" i="127"/>
  <c r="S71" i="127"/>
  <c r="S70" i="127"/>
  <c r="S69" i="127"/>
  <c r="S67" i="127"/>
  <c r="S66" i="127"/>
  <c r="S65" i="127"/>
  <c r="S64" i="127"/>
  <c r="S63" i="127"/>
  <c r="S61" i="127"/>
  <c r="U61" i="127"/>
  <c r="V87" i="127"/>
  <c r="V86" i="127"/>
  <c r="V85" i="127"/>
  <c r="V84" i="127"/>
  <c r="V80" i="127"/>
  <c r="V78" i="127"/>
  <c r="V77" i="127"/>
  <c r="V75" i="127"/>
  <c r="V74" i="127"/>
  <c r="V73" i="127"/>
  <c r="V72" i="127"/>
  <c r="V71" i="127"/>
  <c r="V70" i="127"/>
  <c r="V69" i="127"/>
  <c r="V67" i="127"/>
  <c r="V66" i="127"/>
  <c r="V65" i="127"/>
  <c r="V64" i="127"/>
  <c r="V63" i="127"/>
  <c r="V61" i="127"/>
  <c r="M9" i="127"/>
  <c r="W78" i="127"/>
  <c r="W77" i="127"/>
  <c r="Y87" i="127"/>
  <c r="Y85" i="127"/>
  <c r="Y84" i="127"/>
  <c r="Y78" i="127"/>
  <c r="Y77" i="127"/>
  <c r="Y80" i="127"/>
  <c r="Y75" i="127"/>
  <c r="Y74" i="127"/>
  <c r="Y73" i="127"/>
  <c r="Y72" i="127"/>
  <c r="Y71" i="127"/>
  <c r="Y70" i="127"/>
  <c r="Y69" i="127"/>
  <c r="Y67" i="127"/>
  <c r="Y66" i="127"/>
  <c r="Y65" i="127"/>
  <c r="Y64" i="127"/>
  <c r="Y63" i="127"/>
  <c r="Y61" i="127"/>
  <c r="Y60" i="127"/>
  <c r="Z60" i="127"/>
  <c r="W87" i="127"/>
  <c r="W85" i="127"/>
  <c r="W84" i="127"/>
  <c r="W80" i="127"/>
  <c r="W75" i="127"/>
  <c r="W74" i="127"/>
  <c r="W73" i="127"/>
  <c r="W72" i="127"/>
  <c r="W71" i="127"/>
  <c r="W70" i="127"/>
  <c r="W69" i="127"/>
  <c r="W67" i="127"/>
  <c r="W66" i="127"/>
  <c r="W65" i="127"/>
  <c r="W64" i="127"/>
  <c r="W63" i="127"/>
  <c r="W61" i="127"/>
  <c r="X61" i="127"/>
  <c r="W60" i="127"/>
  <c r="X60" i="127"/>
  <c r="R86" i="127"/>
  <c r="S86" i="127"/>
  <c r="R62" i="127"/>
  <c r="S62" i="127"/>
  <c r="R68" i="127"/>
  <c r="S68" i="127"/>
  <c r="Q86" i="127"/>
  <c r="Q62" i="127"/>
  <c r="Q68" i="127"/>
  <c r="Q76" i="127"/>
  <c r="Q79" i="127"/>
  <c r="Q81" i="127"/>
  <c r="L49" i="127"/>
  <c r="M49" i="127"/>
  <c r="K49" i="127"/>
  <c r="M48" i="127"/>
  <c r="M47" i="127"/>
  <c r="L44" i="127"/>
  <c r="M44" i="127"/>
  <c r="K44" i="127"/>
  <c r="M42" i="127"/>
  <c r="M41" i="127"/>
  <c r="M40" i="127"/>
  <c r="M39" i="127"/>
  <c r="L37" i="127"/>
  <c r="K37" i="127"/>
  <c r="M36" i="127"/>
  <c r="M35" i="127"/>
  <c r="M34" i="127"/>
  <c r="M33" i="127"/>
  <c r="M32" i="127"/>
  <c r="M31" i="127"/>
  <c r="L27" i="127"/>
  <c r="K27" i="127"/>
  <c r="M26" i="127"/>
  <c r="M25" i="127"/>
  <c r="M24" i="127"/>
  <c r="M23" i="127"/>
  <c r="M22" i="127"/>
  <c r="M21" i="127"/>
  <c r="M20" i="127"/>
  <c r="M19" i="127"/>
  <c r="M18" i="127"/>
  <c r="M17" i="127"/>
  <c r="L15" i="127"/>
  <c r="K15" i="127"/>
  <c r="K28" i="127"/>
  <c r="M14" i="127"/>
  <c r="M13" i="127"/>
  <c r="M12" i="127"/>
  <c r="M11" i="127"/>
  <c r="M10" i="127"/>
  <c r="U87" i="127"/>
  <c r="K87" i="127"/>
  <c r="J87" i="127"/>
  <c r="H87" i="127"/>
  <c r="F87" i="127"/>
  <c r="E87" i="127"/>
  <c r="C87" i="127"/>
  <c r="U86" i="127"/>
  <c r="P86" i="127"/>
  <c r="O86" i="127"/>
  <c r="N86" i="127"/>
  <c r="M86" i="127"/>
  <c r="Y86" i="127"/>
  <c r="L86" i="127"/>
  <c r="W86" i="127"/>
  <c r="I86" i="127"/>
  <c r="J86" i="127"/>
  <c r="G86" i="127"/>
  <c r="H86" i="127"/>
  <c r="D86" i="127"/>
  <c r="E86" i="127"/>
  <c r="B86" i="127"/>
  <c r="C86" i="127"/>
  <c r="U85" i="127"/>
  <c r="K85" i="127"/>
  <c r="J85" i="127"/>
  <c r="H85" i="127"/>
  <c r="F85" i="127"/>
  <c r="E85" i="127"/>
  <c r="C85" i="127"/>
  <c r="U84" i="127"/>
  <c r="K84" i="127"/>
  <c r="J84" i="127"/>
  <c r="H84" i="127"/>
  <c r="F84" i="127"/>
  <c r="E84" i="127"/>
  <c r="C84" i="127"/>
  <c r="U80" i="127"/>
  <c r="K80" i="127"/>
  <c r="J80" i="127"/>
  <c r="H80" i="127"/>
  <c r="F80" i="127"/>
  <c r="E80" i="127"/>
  <c r="C80" i="127"/>
  <c r="U78" i="127"/>
  <c r="K78" i="127"/>
  <c r="J78" i="127"/>
  <c r="H78" i="127"/>
  <c r="F78" i="127"/>
  <c r="E78" i="127"/>
  <c r="C78" i="127"/>
  <c r="U77" i="127"/>
  <c r="K77" i="127"/>
  <c r="J77" i="127"/>
  <c r="H77" i="127"/>
  <c r="F77" i="127"/>
  <c r="E77" i="127"/>
  <c r="C77" i="127"/>
  <c r="U75" i="127"/>
  <c r="K75" i="127"/>
  <c r="J75" i="127"/>
  <c r="H75" i="127"/>
  <c r="E75" i="127"/>
  <c r="C75" i="127"/>
  <c r="U74" i="127"/>
  <c r="K74" i="127"/>
  <c r="J74" i="127"/>
  <c r="H74" i="127"/>
  <c r="F74" i="127"/>
  <c r="E74" i="127"/>
  <c r="C74" i="127"/>
  <c r="U73" i="127"/>
  <c r="K73" i="127"/>
  <c r="J73" i="127"/>
  <c r="H73" i="127"/>
  <c r="F73" i="127"/>
  <c r="E73" i="127"/>
  <c r="C73" i="127"/>
  <c r="U72" i="127"/>
  <c r="K72" i="127"/>
  <c r="J72" i="127"/>
  <c r="H72" i="127"/>
  <c r="F72" i="127"/>
  <c r="E72" i="127"/>
  <c r="C72" i="127"/>
  <c r="U71" i="127"/>
  <c r="K71" i="127"/>
  <c r="J71" i="127"/>
  <c r="H71" i="127"/>
  <c r="F71" i="127"/>
  <c r="E71" i="127"/>
  <c r="C71" i="127"/>
  <c r="U70" i="127"/>
  <c r="K70" i="127"/>
  <c r="J70" i="127"/>
  <c r="H70" i="127"/>
  <c r="F70" i="127"/>
  <c r="E70" i="127"/>
  <c r="C70" i="127"/>
  <c r="U69" i="127"/>
  <c r="K69" i="127"/>
  <c r="J69" i="127"/>
  <c r="H69" i="127"/>
  <c r="F69" i="127"/>
  <c r="E69" i="127"/>
  <c r="C69" i="127"/>
  <c r="U67" i="127"/>
  <c r="K67" i="127"/>
  <c r="J67" i="127"/>
  <c r="H67" i="127"/>
  <c r="F67" i="127"/>
  <c r="E67" i="127"/>
  <c r="C67" i="127"/>
  <c r="U66" i="127"/>
  <c r="K66" i="127"/>
  <c r="J66" i="127"/>
  <c r="H66" i="127"/>
  <c r="F66" i="127"/>
  <c r="E66" i="127"/>
  <c r="C66" i="127"/>
  <c r="U65" i="127"/>
  <c r="K65" i="127"/>
  <c r="J65" i="127"/>
  <c r="H65" i="127"/>
  <c r="F65" i="127"/>
  <c r="E65" i="127"/>
  <c r="C65" i="127"/>
  <c r="U64" i="127"/>
  <c r="K64" i="127"/>
  <c r="J64" i="127"/>
  <c r="H64" i="127"/>
  <c r="F64" i="127"/>
  <c r="E64" i="127"/>
  <c r="C64" i="127"/>
  <c r="U63" i="127"/>
  <c r="K63" i="127"/>
  <c r="J63" i="127"/>
  <c r="H63" i="127"/>
  <c r="F63" i="127"/>
  <c r="E63" i="127"/>
  <c r="C63" i="127"/>
  <c r="T62" i="127"/>
  <c r="P62" i="127"/>
  <c r="P68" i="127"/>
  <c r="O62" i="127"/>
  <c r="O68" i="127"/>
  <c r="O76" i="127"/>
  <c r="O79" i="127"/>
  <c r="O81" i="127"/>
  <c r="N62" i="127"/>
  <c r="N68" i="127"/>
  <c r="M62" i="127"/>
  <c r="M68" i="127"/>
  <c r="L62" i="127"/>
  <c r="L68" i="127"/>
  <c r="I62" i="127"/>
  <c r="J62" i="127"/>
  <c r="G62" i="127"/>
  <c r="G68" i="127"/>
  <c r="D62" i="127"/>
  <c r="E62" i="127"/>
  <c r="B62" i="127"/>
  <c r="C62" i="127"/>
  <c r="K61" i="127"/>
  <c r="J61" i="127"/>
  <c r="H61" i="127"/>
  <c r="F61" i="127"/>
  <c r="E61" i="127"/>
  <c r="C61" i="127"/>
  <c r="K60" i="127"/>
  <c r="J60" i="127"/>
  <c r="H60" i="127"/>
  <c r="F60" i="127"/>
  <c r="E60" i="127"/>
  <c r="C60" i="127"/>
  <c r="I49" i="127"/>
  <c r="H49" i="127"/>
  <c r="F49" i="127"/>
  <c r="E49" i="127"/>
  <c r="C49" i="127"/>
  <c r="B49" i="127"/>
  <c r="J48" i="127"/>
  <c r="G48" i="127"/>
  <c r="D48" i="127"/>
  <c r="J47" i="127"/>
  <c r="G47" i="127"/>
  <c r="D47" i="127"/>
  <c r="I44" i="127"/>
  <c r="J44" i="127"/>
  <c r="H44" i="127"/>
  <c r="F44" i="127"/>
  <c r="E44" i="127"/>
  <c r="C44" i="127"/>
  <c r="B44" i="127"/>
  <c r="J42" i="127"/>
  <c r="G42" i="127"/>
  <c r="D42" i="127"/>
  <c r="J41" i="127"/>
  <c r="G41" i="127"/>
  <c r="D41" i="127"/>
  <c r="J40" i="127"/>
  <c r="G40" i="127"/>
  <c r="D40" i="127"/>
  <c r="J39" i="127"/>
  <c r="G39" i="127"/>
  <c r="D39" i="127"/>
  <c r="I37" i="127"/>
  <c r="H37" i="127"/>
  <c r="F37" i="127"/>
  <c r="F45" i="127"/>
  <c r="E37" i="127"/>
  <c r="G37" i="127"/>
  <c r="C37" i="127"/>
  <c r="B37" i="127"/>
  <c r="J36" i="127"/>
  <c r="G36" i="127"/>
  <c r="D36" i="127"/>
  <c r="J35" i="127"/>
  <c r="G35" i="127"/>
  <c r="D35" i="127"/>
  <c r="J34" i="127"/>
  <c r="G34" i="127"/>
  <c r="D34" i="127"/>
  <c r="J33" i="127"/>
  <c r="G33" i="127"/>
  <c r="D33" i="127"/>
  <c r="J32" i="127"/>
  <c r="G32" i="127"/>
  <c r="D32" i="127"/>
  <c r="J31" i="127"/>
  <c r="G31" i="127"/>
  <c r="D31" i="127"/>
  <c r="I27" i="127"/>
  <c r="H27" i="127"/>
  <c r="F27" i="127"/>
  <c r="G27" i="127"/>
  <c r="E27" i="127"/>
  <c r="C27" i="127"/>
  <c r="B27" i="127"/>
  <c r="B28" i="127"/>
  <c r="J26" i="127"/>
  <c r="G26" i="127"/>
  <c r="D26" i="127"/>
  <c r="J25" i="127"/>
  <c r="G25" i="127"/>
  <c r="D25" i="127"/>
  <c r="J24" i="127"/>
  <c r="G24" i="127"/>
  <c r="D24" i="127"/>
  <c r="J23" i="127"/>
  <c r="G23" i="127"/>
  <c r="D23" i="127"/>
  <c r="J22" i="127"/>
  <c r="G22" i="127"/>
  <c r="D22" i="127"/>
  <c r="J21" i="127"/>
  <c r="G21" i="127"/>
  <c r="D21" i="127"/>
  <c r="J20" i="127"/>
  <c r="G20" i="127"/>
  <c r="D20" i="127"/>
  <c r="J19" i="127"/>
  <c r="G19" i="127"/>
  <c r="D19" i="127"/>
  <c r="J18" i="127"/>
  <c r="G18" i="127"/>
  <c r="D18" i="127"/>
  <c r="J17" i="127"/>
  <c r="G17" i="127"/>
  <c r="D17" i="127"/>
  <c r="I15" i="127"/>
  <c r="H15" i="127"/>
  <c r="H28" i="127"/>
  <c r="F15" i="127"/>
  <c r="E15" i="127"/>
  <c r="G15" i="127"/>
  <c r="C15" i="127"/>
  <c r="B15" i="127"/>
  <c r="J14" i="127"/>
  <c r="G14" i="127"/>
  <c r="D14" i="127"/>
  <c r="J13" i="127"/>
  <c r="G13" i="127"/>
  <c r="D13" i="127"/>
  <c r="J12" i="127"/>
  <c r="G12" i="127"/>
  <c r="D12" i="127"/>
  <c r="J11" i="127"/>
  <c r="G11" i="127"/>
  <c r="D11" i="127"/>
  <c r="J10" i="127"/>
  <c r="G10" i="127"/>
  <c r="D10" i="127"/>
  <c r="J9" i="127"/>
  <c r="G9" i="127"/>
  <c r="D9" i="127"/>
  <c r="B15" i="120"/>
  <c r="B28" i="120"/>
  <c r="B27" i="120"/>
  <c r="B37" i="120"/>
  <c r="B45" i="120"/>
  <c r="B44" i="120"/>
  <c r="B49" i="120"/>
  <c r="B62" i="120"/>
  <c r="B68" i="120"/>
  <c r="B76" i="120"/>
  <c r="B79" i="120"/>
  <c r="B81" i="120"/>
  <c r="B84" i="120"/>
  <c r="B86" i="120"/>
  <c r="D14" i="124"/>
  <c r="W87" i="126"/>
  <c r="W85" i="126"/>
  <c r="Y85" i="126"/>
  <c r="W84" i="126"/>
  <c r="W80" i="126"/>
  <c r="W78" i="126"/>
  <c r="W77" i="126"/>
  <c r="Y77" i="126"/>
  <c r="W75" i="126"/>
  <c r="W74" i="126"/>
  <c r="W73" i="126"/>
  <c r="W72" i="126"/>
  <c r="W71" i="126"/>
  <c r="W70" i="126"/>
  <c r="W69" i="126"/>
  <c r="W67" i="126"/>
  <c r="W66" i="126"/>
  <c r="W65" i="126"/>
  <c r="W64" i="126"/>
  <c r="W63" i="126"/>
  <c r="Y63" i="126"/>
  <c r="W61" i="126"/>
  <c r="W60" i="126"/>
  <c r="X60" i="126"/>
  <c r="U87" i="126"/>
  <c r="Y87" i="126"/>
  <c r="U85" i="126"/>
  <c r="U84" i="126"/>
  <c r="U80" i="126"/>
  <c r="U78" i="126"/>
  <c r="U77" i="126"/>
  <c r="U75" i="126"/>
  <c r="U74" i="126"/>
  <c r="U73" i="126"/>
  <c r="U72" i="126"/>
  <c r="U71" i="126"/>
  <c r="U70" i="126"/>
  <c r="U69" i="126"/>
  <c r="U67" i="126"/>
  <c r="U66" i="126"/>
  <c r="U65" i="126"/>
  <c r="U64" i="126"/>
  <c r="U63" i="126"/>
  <c r="U61" i="126"/>
  <c r="U60" i="126"/>
  <c r="T60" i="126"/>
  <c r="S60" i="126"/>
  <c r="S87" i="126"/>
  <c r="S85" i="126"/>
  <c r="S84" i="126"/>
  <c r="S80" i="126"/>
  <c r="S78" i="126"/>
  <c r="S77" i="126"/>
  <c r="S75" i="126"/>
  <c r="S74" i="126"/>
  <c r="S73" i="126"/>
  <c r="S72" i="126"/>
  <c r="S71" i="126"/>
  <c r="S70" i="126"/>
  <c r="S69" i="126"/>
  <c r="S67" i="126"/>
  <c r="S66" i="126"/>
  <c r="S65" i="126"/>
  <c r="S64" i="126"/>
  <c r="S63" i="126"/>
  <c r="S61" i="126"/>
  <c r="Q60" i="126"/>
  <c r="Q87" i="126"/>
  <c r="Q85" i="126"/>
  <c r="Q84" i="126"/>
  <c r="Q80" i="126"/>
  <c r="Q78" i="126"/>
  <c r="Q77" i="126"/>
  <c r="Q75" i="126"/>
  <c r="Q74" i="126"/>
  <c r="Q73" i="126"/>
  <c r="Q72" i="126"/>
  <c r="Q71" i="126"/>
  <c r="Q70" i="126"/>
  <c r="Q69" i="126"/>
  <c r="Q67" i="126"/>
  <c r="Q66" i="126"/>
  <c r="Q65" i="126"/>
  <c r="Q64" i="126"/>
  <c r="Q63" i="126"/>
  <c r="Q61" i="126"/>
  <c r="T87" i="126"/>
  <c r="R86" i="126"/>
  <c r="P86" i="126"/>
  <c r="Q86" i="126"/>
  <c r="T85" i="126"/>
  <c r="T84" i="126"/>
  <c r="T80" i="126"/>
  <c r="T78" i="126"/>
  <c r="T77" i="126"/>
  <c r="T74" i="126"/>
  <c r="T73" i="126"/>
  <c r="T72" i="126"/>
  <c r="T70" i="126"/>
  <c r="T69" i="126"/>
  <c r="T67" i="126"/>
  <c r="T66" i="126"/>
  <c r="T65" i="126"/>
  <c r="T64" i="126"/>
  <c r="T63" i="126"/>
  <c r="R62" i="126"/>
  <c r="R68" i="126"/>
  <c r="S68" i="126"/>
  <c r="P62" i="126"/>
  <c r="Q62" i="126"/>
  <c r="T61" i="126"/>
  <c r="O86" i="126"/>
  <c r="O62" i="126"/>
  <c r="O68" i="126"/>
  <c r="O76" i="126"/>
  <c r="O79" i="126"/>
  <c r="O81" i="126"/>
  <c r="N86" i="126"/>
  <c r="N62" i="126"/>
  <c r="N68" i="126"/>
  <c r="N76" i="126"/>
  <c r="N79" i="126"/>
  <c r="N81" i="126"/>
  <c r="M86" i="126"/>
  <c r="M62" i="126"/>
  <c r="M68" i="126"/>
  <c r="M76" i="126"/>
  <c r="M79" i="126"/>
  <c r="M81" i="126"/>
  <c r="L86" i="126"/>
  <c r="L62" i="126"/>
  <c r="K87" i="126"/>
  <c r="K85" i="126"/>
  <c r="K84" i="126"/>
  <c r="K80" i="126"/>
  <c r="K78" i="126"/>
  <c r="K77" i="126"/>
  <c r="K75" i="126"/>
  <c r="K74" i="126"/>
  <c r="K73" i="126"/>
  <c r="K72" i="126"/>
  <c r="K71" i="126"/>
  <c r="K70" i="126"/>
  <c r="K69" i="126"/>
  <c r="K67" i="126"/>
  <c r="K66" i="126"/>
  <c r="K65" i="126"/>
  <c r="K64" i="126"/>
  <c r="K63" i="126"/>
  <c r="K61" i="126"/>
  <c r="K60" i="126"/>
  <c r="J60" i="126"/>
  <c r="J87" i="126"/>
  <c r="J85" i="126"/>
  <c r="J84" i="126"/>
  <c r="J80" i="126"/>
  <c r="J78" i="126"/>
  <c r="J77" i="126"/>
  <c r="J75" i="126"/>
  <c r="J74" i="126"/>
  <c r="J73" i="126"/>
  <c r="J72" i="126"/>
  <c r="J71" i="126"/>
  <c r="J70" i="126"/>
  <c r="J69" i="126"/>
  <c r="J67" i="126"/>
  <c r="J66" i="126"/>
  <c r="J65" i="126"/>
  <c r="J64" i="126"/>
  <c r="J63" i="126"/>
  <c r="J61" i="126"/>
  <c r="G86" i="126"/>
  <c r="H86" i="126"/>
  <c r="G62" i="126"/>
  <c r="G68" i="126"/>
  <c r="H87" i="126"/>
  <c r="H85" i="126"/>
  <c r="H84" i="126"/>
  <c r="H80" i="126"/>
  <c r="H78" i="126"/>
  <c r="H77" i="126"/>
  <c r="H75" i="126"/>
  <c r="H74" i="126"/>
  <c r="H73" i="126"/>
  <c r="H72" i="126"/>
  <c r="H71" i="126"/>
  <c r="H70" i="126"/>
  <c r="H69" i="126"/>
  <c r="H67" i="126"/>
  <c r="H66" i="126"/>
  <c r="H65" i="126"/>
  <c r="H64" i="126"/>
  <c r="H63" i="126"/>
  <c r="H61" i="126"/>
  <c r="H60" i="126"/>
  <c r="J9" i="126"/>
  <c r="V65" i="126"/>
  <c r="I49" i="126"/>
  <c r="H49" i="126"/>
  <c r="J49" i="126"/>
  <c r="J48" i="126"/>
  <c r="J47" i="126"/>
  <c r="I44" i="126"/>
  <c r="H44" i="126"/>
  <c r="J42" i="126"/>
  <c r="J41" i="126"/>
  <c r="J40" i="126"/>
  <c r="J39" i="126"/>
  <c r="I37" i="126"/>
  <c r="H37" i="126"/>
  <c r="J36" i="126"/>
  <c r="J35" i="126"/>
  <c r="J34" i="126"/>
  <c r="J33" i="126"/>
  <c r="J32" i="126"/>
  <c r="J31" i="126"/>
  <c r="I27" i="126"/>
  <c r="H27" i="126"/>
  <c r="J26" i="126"/>
  <c r="J25" i="126"/>
  <c r="J24" i="126"/>
  <c r="J23" i="126"/>
  <c r="J22" i="126"/>
  <c r="J21" i="126"/>
  <c r="J20" i="126"/>
  <c r="J19" i="126"/>
  <c r="J18" i="126"/>
  <c r="J17" i="126"/>
  <c r="I15" i="126"/>
  <c r="H15" i="126"/>
  <c r="H28" i="126"/>
  <c r="J14" i="126"/>
  <c r="J13" i="126"/>
  <c r="J12" i="126"/>
  <c r="J11" i="126"/>
  <c r="J10" i="126"/>
  <c r="F87" i="126"/>
  <c r="E87" i="126"/>
  <c r="C87" i="126"/>
  <c r="I86" i="126"/>
  <c r="D86" i="126"/>
  <c r="B86" i="126"/>
  <c r="C86" i="126"/>
  <c r="F85" i="126"/>
  <c r="E85" i="126"/>
  <c r="C85" i="126"/>
  <c r="F84" i="126"/>
  <c r="E84" i="126"/>
  <c r="C84" i="126"/>
  <c r="F80" i="126"/>
  <c r="E80" i="126"/>
  <c r="C80" i="126"/>
  <c r="F78" i="126"/>
  <c r="E78" i="126"/>
  <c r="C78" i="126"/>
  <c r="F77" i="126"/>
  <c r="E77" i="126"/>
  <c r="C77" i="126"/>
  <c r="E75" i="126"/>
  <c r="C75" i="126"/>
  <c r="F74" i="126"/>
  <c r="E74" i="126"/>
  <c r="C74" i="126"/>
  <c r="F73" i="126"/>
  <c r="E73" i="126"/>
  <c r="C73" i="126"/>
  <c r="F72" i="126"/>
  <c r="E72" i="126"/>
  <c r="C72" i="126"/>
  <c r="F71" i="126"/>
  <c r="E71" i="126"/>
  <c r="C71" i="126"/>
  <c r="F70" i="126"/>
  <c r="E70" i="126"/>
  <c r="C70" i="126"/>
  <c r="F69" i="126"/>
  <c r="E69" i="126"/>
  <c r="C69" i="126"/>
  <c r="F67" i="126"/>
  <c r="E67" i="126"/>
  <c r="C67" i="126"/>
  <c r="F66" i="126"/>
  <c r="E66" i="126"/>
  <c r="C66" i="126"/>
  <c r="F65" i="126"/>
  <c r="E65" i="126"/>
  <c r="C65" i="126"/>
  <c r="F64" i="126"/>
  <c r="E64" i="126"/>
  <c r="C64" i="126"/>
  <c r="F63" i="126"/>
  <c r="E63" i="126"/>
  <c r="C63" i="126"/>
  <c r="I62" i="126"/>
  <c r="I68" i="126"/>
  <c r="J68" i="126"/>
  <c r="D62" i="126"/>
  <c r="E62" i="126"/>
  <c r="B62" i="126"/>
  <c r="C62" i="126"/>
  <c r="F61" i="126"/>
  <c r="E61" i="126"/>
  <c r="C61" i="126"/>
  <c r="F60" i="126"/>
  <c r="E60" i="126"/>
  <c r="C60" i="126"/>
  <c r="F49" i="126"/>
  <c r="E49" i="126"/>
  <c r="C49" i="126"/>
  <c r="B49" i="126"/>
  <c r="G48" i="126"/>
  <c r="D48" i="126"/>
  <c r="G47" i="126"/>
  <c r="D47" i="126"/>
  <c r="F44" i="126"/>
  <c r="E44" i="126"/>
  <c r="C44" i="126"/>
  <c r="B44" i="126"/>
  <c r="G42" i="126"/>
  <c r="D42" i="126"/>
  <c r="G41" i="126"/>
  <c r="D41" i="126"/>
  <c r="G40" i="126"/>
  <c r="D40" i="126"/>
  <c r="G39" i="126"/>
  <c r="D39" i="126"/>
  <c r="F37" i="126"/>
  <c r="F45" i="126"/>
  <c r="E37" i="126"/>
  <c r="E45" i="126"/>
  <c r="C37" i="126"/>
  <c r="B37" i="126"/>
  <c r="G36" i="126"/>
  <c r="D36" i="126"/>
  <c r="G35" i="126"/>
  <c r="D35" i="126"/>
  <c r="G34" i="126"/>
  <c r="D34" i="126"/>
  <c r="G33" i="126"/>
  <c r="D33" i="126"/>
  <c r="G32" i="126"/>
  <c r="D32" i="126"/>
  <c r="G31" i="126"/>
  <c r="D31" i="126"/>
  <c r="F27" i="126"/>
  <c r="E27" i="126"/>
  <c r="C27" i="126"/>
  <c r="B27" i="126"/>
  <c r="G26" i="126"/>
  <c r="D26" i="126"/>
  <c r="G25" i="126"/>
  <c r="D25" i="126"/>
  <c r="G24" i="126"/>
  <c r="D24" i="126"/>
  <c r="G23" i="126"/>
  <c r="D23" i="126"/>
  <c r="G22" i="126"/>
  <c r="D22" i="126"/>
  <c r="G21" i="126"/>
  <c r="D21" i="126"/>
  <c r="G20" i="126"/>
  <c r="D20" i="126"/>
  <c r="G19" i="126"/>
  <c r="D19" i="126"/>
  <c r="G18" i="126"/>
  <c r="D18" i="126"/>
  <c r="G17" i="126"/>
  <c r="D17" i="126"/>
  <c r="F15" i="126"/>
  <c r="F28" i="126"/>
  <c r="E15" i="126"/>
  <c r="E28" i="126"/>
  <c r="C15" i="126"/>
  <c r="B15" i="126"/>
  <c r="G14" i="126"/>
  <c r="D14" i="126"/>
  <c r="G13" i="126"/>
  <c r="D13" i="126"/>
  <c r="G12" i="126"/>
  <c r="D12" i="126"/>
  <c r="G11" i="126"/>
  <c r="D11" i="126"/>
  <c r="G10" i="126"/>
  <c r="D10" i="126"/>
  <c r="G9" i="126"/>
  <c r="D9" i="126"/>
  <c r="L87" i="125"/>
  <c r="L85" i="125"/>
  <c r="L84" i="125"/>
  <c r="L80" i="125"/>
  <c r="L78" i="125"/>
  <c r="L77" i="125"/>
  <c r="L75" i="125"/>
  <c r="L74" i="125"/>
  <c r="L73" i="125"/>
  <c r="L72" i="125"/>
  <c r="L71" i="125"/>
  <c r="L70" i="125"/>
  <c r="L69" i="125"/>
  <c r="L67" i="125"/>
  <c r="L66" i="125"/>
  <c r="L65" i="125"/>
  <c r="L64" i="125"/>
  <c r="L63" i="125"/>
  <c r="L61" i="125"/>
  <c r="L60" i="125"/>
  <c r="J87" i="125"/>
  <c r="J85" i="125"/>
  <c r="J84" i="125"/>
  <c r="J80" i="125"/>
  <c r="J78" i="125"/>
  <c r="J77" i="125"/>
  <c r="J75" i="125"/>
  <c r="J74" i="125"/>
  <c r="J73" i="125"/>
  <c r="J72" i="125"/>
  <c r="J71" i="125"/>
  <c r="J70" i="125"/>
  <c r="J69" i="125"/>
  <c r="J67" i="125"/>
  <c r="J66" i="125"/>
  <c r="J65" i="125"/>
  <c r="J64" i="125"/>
  <c r="J63" i="125"/>
  <c r="J61" i="125"/>
  <c r="J60" i="125"/>
  <c r="N60" i="125"/>
  <c r="O60" i="125"/>
  <c r="N61" i="125"/>
  <c r="N63" i="125"/>
  <c r="N64" i="125"/>
  <c r="N65" i="125"/>
  <c r="O65" i="125"/>
  <c r="N66" i="125"/>
  <c r="N67" i="125"/>
  <c r="H86" i="125"/>
  <c r="E75" i="125"/>
  <c r="C75" i="125"/>
  <c r="P87" i="125"/>
  <c r="N87" i="125"/>
  <c r="M87" i="125"/>
  <c r="P85" i="125"/>
  <c r="N85" i="125"/>
  <c r="M85" i="125"/>
  <c r="P80" i="125"/>
  <c r="N80" i="125"/>
  <c r="M80" i="125"/>
  <c r="P78" i="125"/>
  <c r="N78" i="125"/>
  <c r="M78" i="125"/>
  <c r="P77" i="125"/>
  <c r="N77" i="125"/>
  <c r="M77" i="125"/>
  <c r="N75" i="125"/>
  <c r="M75" i="125"/>
  <c r="P74" i="125"/>
  <c r="N74" i="125"/>
  <c r="O74" i="125"/>
  <c r="M74" i="125"/>
  <c r="P73" i="125"/>
  <c r="N73" i="125"/>
  <c r="M73" i="125"/>
  <c r="P72" i="125"/>
  <c r="N72" i="125"/>
  <c r="M72" i="125"/>
  <c r="P71" i="125"/>
  <c r="N71" i="125"/>
  <c r="P70" i="125"/>
  <c r="N70" i="125"/>
  <c r="M70" i="125"/>
  <c r="P69" i="125"/>
  <c r="N69" i="125"/>
  <c r="M69" i="125"/>
  <c r="P67" i="125"/>
  <c r="P66" i="125"/>
  <c r="R66" i="125"/>
  <c r="P65" i="125"/>
  <c r="M65" i="125"/>
  <c r="P64" i="125"/>
  <c r="M64" i="125"/>
  <c r="P63" i="125"/>
  <c r="M63" i="125"/>
  <c r="K62" i="125"/>
  <c r="I62" i="125"/>
  <c r="H62" i="125"/>
  <c r="H68" i="125"/>
  <c r="H76" i="125"/>
  <c r="H79" i="125"/>
  <c r="G62" i="125"/>
  <c r="G68" i="125"/>
  <c r="P61" i="125"/>
  <c r="M61" i="125"/>
  <c r="P60" i="125"/>
  <c r="Q60" i="125"/>
  <c r="M60" i="125"/>
  <c r="D86" i="125"/>
  <c r="E86" i="125"/>
  <c r="D62" i="125"/>
  <c r="B86" i="125"/>
  <c r="C86" i="125"/>
  <c r="B62" i="125"/>
  <c r="B68" i="125"/>
  <c r="G14" i="125"/>
  <c r="D14" i="125"/>
  <c r="F49" i="125"/>
  <c r="E49" i="125"/>
  <c r="G48" i="125"/>
  <c r="G47" i="125"/>
  <c r="F44" i="125"/>
  <c r="E44" i="125"/>
  <c r="G42" i="125"/>
  <c r="G41" i="125"/>
  <c r="G40" i="125"/>
  <c r="G39" i="125"/>
  <c r="F37" i="125"/>
  <c r="E37" i="125"/>
  <c r="E45" i="125"/>
  <c r="G36" i="125"/>
  <c r="G35" i="125"/>
  <c r="G34" i="125"/>
  <c r="G33" i="125"/>
  <c r="G32" i="125"/>
  <c r="G31" i="125"/>
  <c r="F27" i="125"/>
  <c r="E27" i="125"/>
  <c r="G26" i="125"/>
  <c r="G25" i="125"/>
  <c r="G24" i="125"/>
  <c r="G23" i="125"/>
  <c r="G22" i="125"/>
  <c r="G21" i="125"/>
  <c r="G20" i="125"/>
  <c r="G19" i="125"/>
  <c r="G18" i="125"/>
  <c r="G17" i="125"/>
  <c r="F15" i="125"/>
  <c r="E15" i="125"/>
  <c r="G13" i="125"/>
  <c r="G12" i="125"/>
  <c r="G11" i="125"/>
  <c r="G10" i="125"/>
  <c r="G9" i="125"/>
  <c r="I86" i="125"/>
  <c r="J86" i="125"/>
  <c r="K86" i="125"/>
  <c r="L86" i="125"/>
  <c r="M84" i="125"/>
  <c r="P84" i="125"/>
  <c r="G86" i="125"/>
  <c r="N86" i="125"/>
  <c r="N84" i="125"/>
  <c r="F87" i="125"/>
  <c r="E87" i="125"/>
  <c r="C87" i="125"/>
  <c r="F85" i="125"/>
  <c r="E85" i="125"/>
  <c r="C85" i="125"/>
  <c r="F84" i="125"/>
  <c r="E84" i="125"/>
  <c r="C84" i="125"/>
  <c r="F80" i="125"/>
  <c r="E80" i="125"/>
  <c r="C80" i="125"/>
  <c r="F78" i="125"/>
  <c r="E78" i="125"/>
  <c r="C78" i="125"/>
  <c r="F77" i="125"/>
  <c r="E77" i="125"/>
  <c r="C77" i="125"/>
  <c r="F74" i="125"/>
  <c r="E74" i="125"/>
  <c r="C74" i="125"/>
  <c r="F73" i="125"/>
  <c r="E73" i="125"/>
  <c r="C73" i="125"/>
  <c r="F72" i="125"/>
  <c r="E72" i="125"/>
  <c r="C72" i="125"/>
  <c r="F71" i="125"/>
  <c r="E71" i="125"/>
  <c r="C71" i="125"/>
  <c r="F70" i="125"/>
  <c r="E70" i="125"/>
  <c r="C70" i="125"/>
  <c r="F69" i="125"/>
  <c r="E69" i="125"/>
  <c r="C69" i="125"/>
  <c r="F67" i="125"/>
  <c r="E67" i="125"/>
  <c r="C67" i="125"/>
  <c r="F66" i="125"/>
  <c r="E66" i="125"/>
  <c r="C66" i="125"/>
  <c r="F65" i="125"/>
  <c r="E65" i="125"/>
  <c r="C65" i="125"/>
  <c r="F64" i="125"/>
  <c r="E64" i="125"/>
  <c r="C64" i="125"/>
  <c r="F63" i="125"/>
  <c r="E63" i="125"/>
  <c r="C63" i="125"/>
  <c r="C62" i="125"/>
  <c r="F61" i="125"/>
  <c r="E61" i="125"/>
  <c r="C61" i="125"/>
  <c r="F60" i="125"/>
  <c r="E60" i="125"/>
  <c r="C60" i="125"/>
  <c r="C49" i="125"/>
  <c r="B49" i="125"/>
  <c r="D48" i="125"/>
  <c r="D47" i="125"/>
  <c r="C44" i="125"/>
  <c r="B44" i="125"/>
  <c r="D42" i="125"/>
  <c r="D41" i="125"/>
  <c r="D40" i="125"/>
  <c r="D39" i="125"/>
  <c r="C37" i="125"/>
  <c r="B37" i="125"/>
  <c r="D36" i="125"/>
  <c r="D35" i="125"/>
  <c r="D34" i="125"/>
  <c r="D33" i="125"/>
  <c r="D32" i="125"/>
  <c r="D31" i="125"/>
  <c r="C27" i="125"/>
  <c r="B27" i="125"/>
  <c r="D26" i="125"/>
  <c r="D25" i="125"/>
  <c r="D24" i="125"/>
  <c r="D23" i="125"/>
  <c r="D22" i="125"/>
  <c r="D21" i="125"/>
  <c r="D20" i="125"/>
  <c r="D19" i="125"/>
  <c r="D18" i="125"/>
  <c r="D17" i="125"/>
  <c r="C15" i="125"/>
  <c r="C28" i="125"/>
  <c r="B15" i="125"/>
  <c r="D13" i="125"/>
  <c r="D12" i="125"/>
  <c r="D11" i="125"/>
  <c r="D10" i="125"/>
  <c r="D9" i="125"/>
  <c r="L27" i="123"/>
  <c r="K27" i="123"/>
  <c r="I27" i="123"/>
  <c r="H27" i="123"/>
  <c r="F27" i="123"/>
  <c r="E27" i="123"/>
  <c r="C27" i="123"/>
  <c r="B27" i="123"/>
  <c r="B44" i="124"/>
  <c r="C49" i="124"/>
  <c r="C44" i="124"/>
  <c r="C37" i="124"/>
  <c r="B27" i="124"/>
  <c r="C27" i="124"/>
  <c r="F86" i="124"/>
  <c r="E86" i="124"/>
  <c r="C86" i="124"/>
  <c r="F85" i="124"/>
  <c r="E85" i="124"/>
  <c r="C85" i="124"/>
  <c r="F84" i="124"/>
  <c r="E84" i="124"/>
  <c r="C84" i="124"/>
  <c r="F83" i="124"/>
  <c r="E83" i="124"/>
  <c r="C83" i="124"/>
  <c r="F80" i="124"/>
  <c r="E80" i="124"/>
  <c r="C80" i="124"/>
  <c r="F79" i="124"/>
  <c r="E79" i="124"/>
  <c r="C79" i="124"/>
  <c r="F78" i="124"/>
  <c r="E78" i="124"/>
  <c r="C78" i="124"/>
  <c r="F77" i="124"/>
  <c r="E77" i="124"/>
  <c r="C77" i="124"/>
  <c r="F76" i="124"/>
  <c r="E76" i="124"/>
  <c r="C76" i="124"/>
  <c r="F75" i="124"/>
  <c r="E75" i="124"/>
  <c r="C75" i="124"/>
  <c r="F74" i="124"/>
  <c r="E74" i="124"/>
  <c r="C74" i="124"/>
  <c r="F73" i="124"/>
  <c r="E73" i="124"/>
  <c r="C73" i="124"/>
  <c r="F72" i="124"/>
  <c r="E72" i="124"/>
  <c r="C72" i="124"/>
  <c r="F71" i="124"/>
  <c r="E71" i="124"/>
  <c r="C71" i="124"/>
  <c r="F70" i="124"/>
  <c r="E70" i="124"/>
  <c r="C70" i="124"/>
  <c r="F69" i="124"/>
  <c r="E69" i="124"/>
  <c r="C69" i="124"/>
  <c r="F68" i="124"/>
  <c r="E68" i="124"/>
  <c r="C68" i="124"/>
  <c r="F67" i="124"/>
  <c r="E67" i="124"/>
  <c r="C67" i="124"/>
  <c r="F66" i="124"/>
  <c r="E66" i="124"/>
  <c r="C66" i="124"/>
  <c r="F65" i="124"/>
  <c r="E65" i="124"/>
  <c r="C65" i="124"/>
  <c r="F64" i="124"/>
  <c r="E64" i="124"/>
  <c r="C64" i="124"/>
  <c r="F63" i="124"/>
  <c r="E63" i="124"/>
  <c r="C63" i="124"/>
  <c r="F62" i="124"/>
  <c r="E62" i="124"/>
  <c r="C62" i="124"/>
  <c r="F61" i="124"/>
  <c r="E61" i="124"/>
  <c r="C61" i="124"/>
  <c r="F60" i="124"/>
  <c r="E60" i="124"/>
  <c r="C60" i="124"/>
  <c r="B49" i="124"/>
  <c r="D49" i="124"/>
  <c r="D48" i="124"/>
  <c r="D47" i="124"/>
  <c r="D42" i="124"/>
  <c r="D41" i="124"/>
  <c r="D40" i="124"/>
  <c r="D39" i="124"/>
  <c r="B37" i="124"/>
  <c r="B45" i="124"/>
  <c r="D36" i="124"/>
  <c r="D35" i="124"/>
  <c r="D34" i="124"/>
  <c r="D33" i="124"/>
  <c r="D32" i="124"/>
  <c r="D31" i="124"/>
  <c r="D26" i="124"/>
  <c r="D25" i="124"/>
  <c r="D24" i="124"/>
  <c r="D23" i="124"/>
  <c r="D22" i="124"/>
  <c r="D21" i="124"/>
  <c r="D20" i="124"/>
  <c r="D19" i="124"/>
  <c r="D18" i="124"/>
  <c r="D17" i="124"/>
  <c r="C15" i="124"/>
  <c r="B15" i="124"/>
  <c r="D13" i="124"/>
  <c r="D12" i="124"/>
  <c r="D11" i="124"/>
  <c r="D10" i="124"/>
  <c r="D9" i="124"/>
  <c r="AA87" i="123"/>
  <c r="Z87" i="123"/>
  <c r="X87" i="123"/>
  <c r="T87" i="123"/>
  <c r="R87" i="123"/>
  <c r="K87" i="123"/>
  <c r="J87" i="123"/>
  <c r="H87" i="123"/>
  <c r="F87" i="123"/>
  <c r="E87" i="123"/>
  <c r="C87" i="123"/>
  <c r="AA85" i="123"/>
  <c r="Z85" i="123"/>
  <c r="X85" i="123"/>
  <c r="T85" i="123"/>
  <c r="R85" i="123"/>
  <c r="K85" i="123"/>
  <c r="J85" i="123"/>
  <c r="H85" i="123"/>
  <c r="F85" i="123"/>
  <c r="E85" i="123"/>
  <c r="C85" i="123"/>
  <c r="AA80" i="123"/>
  <c r="Z80" i="123"/>
  <c r="X80" i="123"/>
  <c r="T80" i="123"/>
  <c r="R80" i="123"/>
  <c r="K80" i="123"/>
  <c r="J80" i="123"/>
  <c r="H80" i="123"/>
  <c r="F80" i="123"/>
  <c r="E80" i="123"/>
  <c r="C80" i="123"/>
  <c r="AA78" i="123"/>
  <c r="Z78" i="123"/>
  <c r="X78" i="123"/>
  <c r="T78" i="123"/>
  <c r="R78" i="123"/>
  <c r="K78" i="123"/>
  <c r="J78" i="123"/>
  <c r="H78" i="123"/>
  <c r="F78" i="123"/>
  <c r="E78" i="123"/>
  <c r="C78" i="123"/>
  <c r="AA77" i="123"/>
  <c r="Z77" i="123"/>
  <c r="X77" i="123"/>
  <c r="T77" i="123"/>
  <c r="R77" i="123"/>
  <c r="K77" i="123"/>
  <c r="J77" i="123"/>
  <c r="H77" i="123"/>
  <c r="F77" i="123"/>
  <c r="E77" i="123"/>
  <c r="C77" i="123"/>
  <c r="AA75" i="123"/>
  <c r="Z75" i="123"/>
  <c r="X75" i="123"/>
  <c r="T75" i="123"/>
  <c r="R75" i="123"/>
  <c r="K75" i="123"/>
  <c r="J75" i="123"/>
  <c r="H75" i="123"/>
  <c r="C75" i="123"/>
  <c r="AA74" i="123"/>
  <c r="Z74" i="123"/>
  <c r="X74" i="123"/>
  <c r="T74" i="123"/>
  <c r="R74" i="123"/>
  <c r="K74" i="123"/>
  <c r="J74" i="123"/>
  <c r="H74" i="123"/>
  <c r="F74" i="123"/>
  <c r="E74" i="123"/>
  <c r="C74" i="123"/>
  <c r="AA73" i="123"/>
  <c r="Z73" i="123"/>
  <c r="X73" i="123"/>
  <c r="T73" i="123"/>
  <c r="R73" i="123"/>
  <c r="K73" i="123"/>
  <c r="J73" i="123"/>
  <c r="H73" i="123"/>
  <c r="F73" i="123"/>
  <c r="E73" i="123"/>
  <c r="C73" i="123"/>
  <c r="AA72" i="123"/>
  <c r="Z72" i="123"/>
  <c r="X72" i="123"/>
  <c r="T72" i="123"/>
  <c r="R72" i="123"/>
  <c r="K72" i="123"/>
  <c r="J72" i="123"/>
  <c r="H72" i="123"/>
  <c r="F72" i="123"/>
  <c r="E72" i="123"/>
  <c r="C72" i="123"/>
  <c r="AA71" i="123"/>
  <c r="Z71" i="123"/>
  <c r="X71" i="123"/>
  <c r="T71" i="123"/>
  <c r="R71" i="123"/>
  <c r="J71" i="123"/>
  <c r="H71" i="123"/>
  <c r="F71" i="123"/>
  <c r="E71" i="123"/>
  <c r="C71" i="123"/>
  <c r="AA70" i="123"/>
  <c r="Z70" i="123"/>
  <c r="X70" i="123"/>
  <c r="T70" i="123"/>
  <c r="R70" i="123"/>
  <c r="K70" i="123"/>
  <c r="J70" i="123"/>
  <c r="H70" i="123"/>
  <c r="F70" i="123"/>
  <c r="E70" i="123"/>
  <c r="C70" i="123"/>
  <c r="AA69" i="123"/>
  <c r="Z69" i="123"/>
  <c r="X69" i="123"/>
  <c r="T69" i="123"/>
  <c r="R69" i="123"/>
  <c r="K69" i="123"/>
  <c r="J69" i="123"/>
  <c r="H69" i="123"/>
  <c r="F69" i="123"/>
  <c r="E69" i="123"/>
  <c r="C69" i="123"/>
  <c r="AA67" i="123"/>
  <c r="Z67" i="123"/>
  <c r="X67" i="123"/>
  <c r="T67" i="123"/>
  <c r="R67" i="123"/>
  <c r="K67" i="123"/>
  <c r="J67" i="123"/>
  <c r="H67" i="123"/>
  <c r="F67" i="123"/>
  <c r="E67" i="123"/>
  <c r="C67" i="123"/>
  <c r="AA66" i="123"/>
  <c r="Z66" i="123"/>
  <c r="X66" i="123"/>
  <c r="T66" i="123"/>
  <c r="R66" i="123"/>
  <c r="K66" i="123"/>
  <c r="J66" i="123"/>
  <c r="H66" i="123"/>
  <c r="F66" i="123"/>
  <c r="E66" i="123"/>
  <c r="C66" i="123"/>
  <c r="AA65" i="123"/>
  <c r="Z65" i="123"/>
  <c r="X65" i="123"/>
  <c r="T65" i="123"/>
  <c r="R65" i="123"/>
  <c r="K65" i="123"/>
  <c r="J65" i="123"/>
  <c r="H65" i="123"/>
  <c r="F65" i="123"/>
  <c r="E65" i="123"/>
  <c r="C65" i="123"/>
  <c r="AA64" i="123"/>
  <c r="Z64" i="123"/>
  <c r="X64" i="123"/>
  <c r="T64" i="123"/>
  <c r="R64" i="123"/>
  <c r="K64" i="123"/>
  <c r="J64" i="123"/>
  <c r="H64" i="123"/>
  <c r="F64" i="123"/>
  <c r="E64" i="123"/>
  <c r="C64" i="123"/>
  <c r="AA63" i="123"/>
  <c r="Z63" i="123"/>
  <c r="X63" i="123"/>
  <c r="T63" i="123"/>
  <c r="R63" i="123"/>
  <c r="K63" i="123"/>
  <c r="J63" i="123"/>
  <c r="H63" i="123"/>
  <c r="F63" i="123"/>
  <c r="E63" i="123"/>
  <c r="C63" i="123"/>
  <c r="Y62" i="123"/>
  <c r="Z62" i="123"/>
  <c r="W62" i="123"/>
  <c r="X62" i="123"/>
  <c r="Q62" i="123"/>
  <c r="Q68" i="123"/>
  <c r="Q76" i="123"/>
  <c r="Q79" i="123"/>
  <c r="Q81" i="123"/>
  <c r="Q84" i="123"/>
  <c r="P62" i="123"/>
  <c r="P68" i="123"/>
  <c r="P76" i="123"/>
  <c r="P79" i="123"/>
  <c r="P81" i="123"/>
  <c r="P84" i="123"/>
  <c r="O62" i="123"/>
  <c r="O68" i="123"/>
  <c r="O76" i="123"/>
  <c r="O79" i="123"/>
  <c r="O81" i="123"/>
  <c r="O84" i="123"/>
  <c r="O86" i="123"/>
  <c r="N62" i="123"/>
  <c r="M62" i="123"/>
  <c r="M68" i="123"/>
  <c r="M76" i="123"/>
  <c r="M79" i="123"/>
  <c r="L62" i="123"/>
  <c r="L68" i="123"/>
  <c r="L76" i="123"/>
  <c r="I62" i="123"/>
  <c r="I68" i="123"/>
  <c r="J68" i="123"/>
  <c r="G62" i="123"/>
  <c r="D62" i="123"/>
  <c r="B62" i="123"/>
  <c r="C62" i="123"/>
  <c r="AA61" i="123"/>
  <c r="Z61" i="123"/>
  <c r="X61" i="123"/>
  <c r="T61" i="123"/>
  <c r="R61" i="123"/>
  <c r="K61" i="123"/>
  <c r="J61" i="123"/>
  <c r="H61" i="123"/>
  <c r="F61" i="123"/>
  <c r="E61" i="123"/>
  <c r="C61" i="123"/>
  <c r="AA60" i="123"/>
  <c r="Z60" i="123"/>
  <c r="X60" i="123"/>
  <c r="T60" i="123"/>
  <c r="R60" i="123"/>
  <c r="K60" i="123"/>
  <c r="J60" i="123"/>
  <c r="H60" i="123"/>
  <c r="F60" i="123"/>
  <c r="E60" i="123"/>
  <c r="C60" i="123"/>
  <c r="L49" i="123"/>
  <c r="M49" i="123"/>
  <c r="K49" i="123"/>
  <c r="I49" i="123"/>
  <c r="H49" i="123"/>
  <c r="F49" i="123"/>
  <c r="E49" i="123"/>
  <c r="C49" i="123"/>
  <c r="B49" i="123"/>
  <c r="M48" i="123"/>
  <c r="J48" i="123"/>
  <c r="G48" i="123"/>
  <c r="D48" i="123"/>
  <c r="M47" i="123"/>
  <c r="J47" i="123"/>
  <c r="G47" i="123"/>
  <c r="D47" i="123"/>
  <c r="L44" i="123"/>
  <c r="K44" i="123"/>
  <c r="I44" i="123"/>
  <c r="H44" i="123"/>
  <c r="F44" i="123"/>
  <c r="E44" i="123"/>
  <c r="C44" i="123"/>
  <c r="B44" i="123"/>
  <c r="M42" i="123"/>
  <c r="J42" i="123"/>
  <c r="G42" i="123"/>
  <c r="D42" i="123"/>
  <c r="M41" i="123"/>
  <c r="J41" i="123"/>
  <c r="G41" i="123"/>
  <c r="D41" i="123"/>
  <c r="M40" i="123"/>
  <c r="J40" i="123"/>
  <c r="G40" i="123"/>
  <c r="D40" i="123"/>
  <c r="M39" i="123"/>
  <c r="J39" i="123"/>
  <c r="G39" i="123"/>
  <c r="D39" i="123"/>
  <c r="L37" i="123"/>
  <c r="K37" i="123"/>
  <c r="K45" i="123"/>
  <c r="K50" i="123"/>
  <c r="I37" i="123"/>
  <c r="H37" i="123"/>
  <c r="F37" i="123"/>
  <c r="E37" i="123"/>
  <c r="E45" i="123"/>
  <c r="C37" i="123"/>
  <c r="B37" i="123"/>
  <c r="B45" i="123"/>
  <c r="B50" i="123"/>
  <c r="M36" i="123"/>
  <c r="J36" i="123"/>
  <c r="G36" i="123"/>
  <c r="D36" i="123"/>
  <c r="M35" i="123"/>
  <c r="J35" i="123"/>
  <c r="G35" i="123"/>
  <c r="D35" i="123"/>
  <c r="M34" i="123"/>
  <c r="J34" i="123"/>
  <c r="G34" i="123"/>
  <c r="D34" i="123"/>
  <c r="M33" i="123"/>
  <c r="J33" i="123"/>
  <c r="G33" i="123"/>
  <c r="D33" i="123"/>
  <c r="M32" i="123"/>
  <c r="J32" i="123"/>
  <c r="G32" i="123"/>
  <c r="D32" i="123"/>
  <c r="M31" i="123"/>
  <c r="J31" i="123"/>
  <c r="G31" i="123"/>
  <c r="D31" i="123"/>
  <c r="M26" i="123"/>
  <c r="J26" i="123"/>
  <c r="G26" i="123"/>
  <c r="D26" i="123"/>
  <c r="M25" i="123"/>
  <c r="J25" i="123"/>
  <c r="G25" i="123"/>
  <c r="D25" i="123"/>
  <c r="M24" i="123"/>
  <c r="J24" i="123"/>
  <c r="G24" i="123"/>
  <c r="D24" i="123"/>
  <c r="M23" i="123"/>
  <c r="J23" i="123"/>
  <c r="G23" i="123"/>
  <c r="D23" i="123"/>
  <c r="M22" i="123"/>
  <c r="J22" i="123"/>
  <c r="G22" i="123"/>
  <c r="D22" i="123"/>
  <c r="M21" i="123"/>
  <c r="J21" i="123"/>
  <c r="G21" i="123"/>
  <c r="D21" i="123"/>
  <c r="M20" i="123"/>
  <c r="J20" i="123"/>
  <c r="G20" i="123"/>
  <c r="D20" i="123"/>
  <c r="M19" i="123"/>
  <c r="J19" i="123"/>
  <c r="G19" i="123"/>
  <c r="D19" i="123"/>
  <c r="M18" i="123"/>
  <c r="J18" i="123"/>
  <c r="G18" i="123"/>
  <c r="D18" i="123"/>
  <c r="M17" i="123"/>
  <c r="J17" i="123"/>
  <c r="G17" i="123"/>
  <c r="D17" i="123"/>
  <c r="L15" i="123"/>
  <c r="K15" i="123"/>
  <c r="K28" i="123"/>
  <c r="I15" i="123"/>
  <c r="I28" i="123"/>
  <c r="H15" i="123"/>
  <c r="F15" i="123"/>
  <c r="E15" i="123"/>
  <c r="E28" i="123"/>
  <c r="C15" i="123"/>
  <c r="B15" i="123"/>
  <c r="M13" i="123"/>
  <c r="J13" i="123"/>
  <c r="G13" i="123"/>
  <c r="D13" i="123"/>
  <c r="M12" i="123"/>
  <c r="J12" i="123"/>
  <c r="G12" i="123"/>
  <c r="D12" i="123"/>
  <c r="M11" i="123"/>
  <c r="J11" i="123"/>
  <c r="G11" i="123"/>
  <c r="D11" i="123"/>
  <c r="M10" i="123"/>
  <c r="J10" i="123"/>
  <c r="G10" i="123"/>
  <c r="D10" i="123"/>
  <c r="M9" i="123"/>
  <c r="J9" i="123"/>
  <c r="G9" i="123"/>
  <c r="D9" i="123"/>
  <c r="Y87" i="122"/>
  <c r="X87" i="122"/>
  <c r="V87" i="122"/>
  <c r="T87" i="122"/>
  <c r="S87" i="122"/>
  <c r="Q87" i="122"/>
  <c r="K87" i="122"/>
  <c r="J87" i="122"/>
  <c r="H87" i="122"/>
  <c r="F87" i="122"/>
  <c r="E87" i="122"/>
  <c r="C87" i="122"/>
  <c r="R86" i="122"/>
  <c r="Q86" i="122"/>
  <c r="Y85" i="122"/>
  <c r="X85" i="122"/>
  <c r="V85" i="122"/>
  <c r="T85" i="122"/>
  <c r="S85" i="122"/>
  <c r="Q85" i="122"/>
  <c r="K85" i="122"/>
  <c r="J85" i="122"/>
  <c r="H85" i="122"/>
  <c r="F85" i="122"/>
  <c r="E85" i="122"/>
  <c r="C85" i="122"/>
  <c r="S84" i="122"/>
  <c r="Y80" i="122"/>
  <c r="X80" i="122"/>
  <c r="V80" i="122"/>
  <c r="T80" i="122"/>
  <c r="S80" i="122"/>
  <c r="Q80" i="122"/>
  <c r="K80" i="122"/>
  <c r="J80" i="122"/>
  <c r="H80" i="122"/>
  <c r="F80" i="122"/>
  <c r="E80" i="122"/>
  <c r="C80" i="122"/>
  <c r="Y78" i="122"/>
  <c r="X78" i="122"/>
  <c r="V78" i="122"/>
  <c r="T78" i="122"/>
  <c r="S78" i="122"/>
  <c r="Q78" i="122"/>
  <c r="K78" i="122"/>
  <c r="J78" i="122"/>
  <c r="H78" i="122"/>
  <c r="F78" i="122"/>
  <c r="E78" i="122"/>
  <c r="C78" i="122"/>
  <c r="Y77" i="122"/>
  <c r="X77" i="122"/>
  <c r="V77" i="122"/>
  <c r="T77" i="122"/>
  <c r="S77" i="122"/>
  <c r="Q77" i="122"/>
  <c r="K77" i="122"/>
  <c r="J77" i="122"/>
  <c r="H77" i="122"/>
  <c r="F77" i="122"/>
  <c r="E77" i="122"/>
  <c r="C77" i="122"/>
  <c r="Y75" i="122"/>
  <c r="X75" i="122"/>
  <c r="V75" i="122"/>
  <c r="T75" i="122"/>
  <c r="S75" i="122"/>
  <c r="Q75" i="122"/>
  <c r="K75" i="122"/>
  <c r="J75" i="122"/>
  <c r="H75" i="122"/>
  <c r="C75" i="122"/>
  <c r="Y74" i="122"/>
  <c r="X74" i="122"/>
  <c r="V74" i="122"/>
  <c r="T74" i="122"/>
  <c r="S74" i="122"/>
  <c r="Q74" i="122"/>
  <c r="K74" i="122"/>
  <c r="J74" i="122"/>
  <c r="H74" i="122"/>
  <c r="F74" i="122"/>
  <c r="E74" i="122"/>
  <c r="C74" i="122"/>
  <c r="Y73" i="122"/>
  <c r="X73" i="122"/>
  <c r="V73" i="122"/>
  <c r="T73" i="122"/>
  <c r="S73" i="122"/>
  <c r="Q73" i="122"/>
  <c r="K73" i="122"/>
  <c r="J73" i="122"/>
  <c r="H73" i="122"/>
  <c r="F73" i="122"/>
  <c r="E73" i="122"/>
  <c r="C73" i="122"/>
  <c r="Y72" i="122"/>
  <c r="X72" i="122"/>
  <c r="V72" i="122"/>
  <c r="T72" i="122"/>
  <c r="S72" i="122"/>
  <c r="Q72" i="122"/>
  <c r="K72" i="122"/>
  <c r="J72" i="122"/>
  <c r="H72" i="122"/>
  <c r="F72" i="122"/>
  <c r="E72" i="122"/>
  <c r="C72" i="122"/>
  <c r="X71" i="122"/>
  <c r="V71" i="122"/>
  <c r="S71" i="122"/>
  <c r="Q71" i="122"/>
  <c r="J71" i="122"/>
  <c r="H71" i="122"/>
  <c r="F71" i="122"/>
  <c r="E71" i="122"/>
  <c r="C71" i="122"/>
  <c r="Y70" i="122"/>
  <c r="X70" i="122"/>
  <c r="V70" i="122"/>
  <c r="T70" i="122"/>
  <c r="S70" i="122"/>
  <c r="Q70" i="122"/>
  <c r="K70" i="122"/>
  <c r="J70" i="122"/>
  <c r="H70" i="122"/>
  <c r="F70" i="122"/>
  <c r="E70" i="122"/>
  <c r="C70" i="122"/>
  <c r="Y69" i="122"/>
  <c r="X69" i="122"/>
  <c r="V69" i="122"/>
  <c r="T69" i="122"/>
  <c r="S69" i="122"/>
  <c r="Q69" i="122"/>
  <c r="K69" i="122"/>
  <c r="J69" i="122"/>
  <c r="H69" i="122"/>
  <c r="F69" i="122"/>
  <c r="E69" i="122"/>
  <c r="C69" i="122"/>
  <c r="Y67" i="122"/>
  <c r="X67" i="122"/>
  <c r="V67" i="122"/>
  <c r="T67" i="122"/>
  <c r="S67" i="122"/>
  <c r="Q67" i="122"/>
  <c r="K67" i="122"/>
  <c r="J67" i="122"/>
  <c r="H67" i="122"/>
  <c r="F67" i="122"/>
  <c r="E67" i="122"/>
  <c r="C67" i="122"/>
  <c r="Y66" i="122"/>
  <c r="X66" i="122"/>
  <c r="V66" i="122"/>
  <c r="T66" i="122"/>
  <c r="S66" i="122"/>
  <c r="Q66" i="122"/>
  <c r="K66" i="122"/>
  <c r="J66" i="122"/>
  <c r="H66" i="122"/>
  <c r="F66" i="122"/>
  <c r="E66" i="122"/>
  <c r="C66" i="122"/>
  <c r="Y65" i="122"/>
  <c r="X65" i="122"/>
  <c r="V65" i="122"/>
  <c r="T65" i="122"/>
  <c r="S65" i="122"/>
  <c r="Q65" i="122"/>
  <c r="K65" i="122"/>
  <c r="J65" i="122"/>
  <c r="H65" i="122"/>
  <c r="F65" i="122"/>
  <c r="E65" i="122"/>
  <c r="C65" i="122"/>
  <c r="Y64" i="122"/>
  <c r="X64" i="122"/>
  <c r="V64" i="122"/>
  <c r="T64" i="122"/>
  <c r="S64" i="122"/>
  <c r="Q64" i="122"/>
  <c r="K64" i="122"/>
  <c r="J64" i="122"/>
  <c r="H64" i="122"/>
  <c r="F64" i="122"/>
  <c r="E64" i="122"/>
  <c r="C64" i="122"/>
  <c r="Y63" i="122"/>
  <c r="X63" i="122"/>
  <c r="V63" i="122"/>
  <c r="T63" i="122"/>
  <c r="S63" i="122"/>
  <c r="Q63" i="122"/>
  <c r="K63" i="122"/>
  <c r="J63" i="122"/>
  <c r="H63" i="122"/>
  <c r="F63" i="122"/>
  <c r="E63" i="122"/>
  <c r="C63" i="122"/>
  <c r="W62" i="122"/>
  <c r="U62" i="122"/>
  <c r="R62" i="122"/>
  <c r="P62" i="122"/>
  <c r="O62" i="122"/>
  <c r="O68" i="122"/>
  <c r="O76" i="122"/>
  <c r="O79" i="122"/>
  <c r="O81" i="122"/>
  <c r="O84" i="122"/>
  <c r="O86" i="122"/>
  <c r="N62" i="122"/>
  <c r="N68" i="122"/>
  <c r="N76" i="122"/>
  <c r="N79" i="122"/>
  <c r="N81" i="122"/>
  <c r="N84" i="122"/>
  <c r="N86" i="122"/>
  <c r="M62" i="122"/>
  <c r="M68" i="122"/>
  <c r="M76" i="122"/>
  <c r="M79" i="122"/>
  <c r="M81" i="122"/>
  <c r="M84" i="122"/>
  <c r="M86" i="122"/>
  <c r="L62" i="122"/>
  <c r="L68" i="122"/>
  <c r="L76" i="122"/>
  <c r="L79" i="122"/>
  <c r="L81" i="122"/>
  <c r="L84" i="122"/>
  <c r="L86" i="122"/>
  <c r="I62" i="122"/>
  <c r="I68" i="122"/>
  <c r="G62" i="122"/>
  <c r="D62" i="122"/>
  <c r="E62" i="122"/>
  <c r="B62" i="122"/>
  <c r="Y61" i="122"/>
  <c r="X61" i="122"/>
  <c r="V61" i="122"/>
  <c r="T61" i="122"/>
  <c r="S61" i="122"/>
  <c r="Q61" i="122"/>
  <c r="K61" i="122"/>
  <c r="J61" i="122"/>
  <c r="H61" i="122"/>
  <c r="F61" i="122"/>
  <c r="E61" i="122"/>
  <c r="C61" i="122"/>
  <c r="Y60" i="122"/>
  <c r="X60" i="122"/>
  <c r="V60" i="122"/>
  <c r="T60" i="122"/>
  <c r="S60" i="122"/>
  <c r="Q60" i="122"/>
  <c r="K60" i="122"/>
  <c r="J60" i="122"/>
  <c r="H60" i="122"/>
  <c r="F60" i="122"/>
  <c r="E60" i="122"/>
  <c r="C60" i="122"/>
  <c r="I49" i="122"/>
  <c r="H49" i="122"/>
  <c r="F49" i="122"/>
  <c r="E49" i="122"/>
  <c r="C49" i="122"/>
  <c r="B49" i="122"/>
  <c r="J48" i="122"/>
  <c r="G48" i="122"/>
  <c r="D48" i="122"/>
  <c r="J47" i="122"/>
  <c r="G47" i="122"/>
  <c r="D47" i="122"/>
  <c r="I44" i="122"/>
  <c r="H44" i="122"/>
  <c r="F44" i="122"/>
  <c r="E44" i="122"/>
  <c r="C44" i="122"/>
  <c r="B44" i="122"/>
  <c r="J42" i="122"/>
  <c r="G42" i="122"/>
  <c r="D42" i="122"/>
  <c r="J41" i="122"/>
  <c r="G41" i="122"/>
  <c r="D41" i="122"/>
  <c r="J40" i="122"/>
  <c r="G40" i="122"/>
  <c r="D40" i="122"/>
  <c r="J39" i="122"/>
  <c r="G39" i="122"/>
  <c r="D39" i="122"/>
  <c r="I37" i="122"/>
  <c r="H37" i="122"/>
  <c r="F37" i="122"/>
  <c r="E37" i="122"/>
  <c r="C37" i="122"/>
  <c r="B37" i="122"/>
  <c r="J36" i="122"/>
  <c r="G36" i="122"/>
  <c r="D36" i="122"/>
  <c r="J35" i="122"/>
  <c r="G35" i="122"/>
  <c r="D35" i="122"/>
  <c r="J34" i="122"/>
  <c r="G34" i="122"/>
  <c r="D34" i="122"/>
  <c r="J33" i="122"/>
  <c r="G33" i="122"/>
  <c r="D33" i="122"/>
  <c r="J32" i="122"/>
  <c r="G32" i="122"/>
  <c r="D32" i="122"/>
  <c r="J31" i="122"/>
  <c r="G31" i="122"/>
  <c r="D31" i="122"/>
  <c r="I27" i="122"/>
  <c r="H27" i="122"/>
  <c r="F27" i="122"/>
  <c r="E27" i="122"/>
  <c r="C27" i="122"/>
  <c r="B27" i="122"/>
  <c r="J26" i="122"/>
  <c r="G26" i="122"/>
  <c r="D26" i="122"/>
  <c r="J25" i="122"/>
  <c r="G25" i="122"/>
  <c r="D25" i="122"/>
  <c r="J24" i="122"/>
  <c r="G24" i="122"/>
  <c r="D24" i="122"/>
  <c r="J23" i="122"/>
  <c r="G23" i="122"/>
  <c r="D23" i="122"/>
  <c r="J22" i="122"/>
  <c r="G22" i="122"/>
  <c r="D22" i="122"/>
  <c r="J21" i="122"/>
  <c r="G21" i="122"/>
  <c r="D21" i="122"/>
  <c r="J20" i="122"/>
  <c r="G20" i="122"/>
  <c r="D20" i="122"/>
  <c r="J19" i="122"/>
  <c r="G19" i="122"/>
  <c r="D19" i="122"/>
  <c r="J18" i="122"/>
  <c r="G18" i="122"/>
  <c r="D18" i="122"/>
  <c r="J17" i="122"/>
  <c r="G17" i="122"/>
  <c r="D17" i="122"/>
  <c r="I15" i="122"/>
  <c r="I28" i="122"/>
  <c r="H15" i="122"/>
  <c r="F15" i="122"/>
  <c r="E15" i="122"/>
  <c r="C15" i="122"/>
  <c r="B15" i="122"/>
  <c r="J13" i="122"/>
  <c r="G13" i="122"/>
  <c r="D13" i="122"/>
  <c r="J12" i="122"/>
  <c r="G12" i="122"/>
  <c r="D12" i="122"/>
  <c r="J11" i="122"/>
  <c r="G11" i="122"/>
  <c r="D11" i="122"/>
  <c r="J10" i="122"/>
  <c r="G10" i="122"/>
  <c r="D10" i="122"/>
  <c r="J9" i="122"/>
  <c r="G9" i="122"/>
  <c r="D9" i="122"/>
  <c r="P87" i="121"/>
  <c r="N87" i="121"/>
  <c r="M87" i="121"/>
  <c r="L87" i="121"/>
  <c r="J87" i="121"/>
  <c r="F87" i="121"/>
  <c r="E87" i="121"/>
  <c r="C87" i="121"/>
  <c r="P85" i="121"/>
  <c r="N85" i="121"/>
  <c r="M85" i="121"/>
  <c r="L85" i="121"/>
  <c r="J85" i="121"/>
  <c r="F85" i="121"/>
  <c r="E85" i="121"/>
  <c r="C85" i="121"/>
  <c r="P80" i="121"/>
  <c r="N80" i="121"/>
  <c r="M80" i="121"/>
  <c r="L80" i="121"/>
  <c r="J80" i="121"/>
  <c r="F80" i="121"/>
  <c r="E80" i="121"/>
  <c r="C80" i="121"/>
  <c r="P78" i="121"/>
  <c r="N78" i="121"/>
  <c r="M78" i="121"/>
  <c r="L78" i="121"/>
  <c r="J78" i="121"/>
  <c r="F78" i="121"/>
  <c r="E78" i="121"/>
  <c r="C78" i="121"/>
  <c r="P77" i="121"/>
  <c r="N77" i="121"/>
  <c r="M77" i="121"/>
  <c r="L77" i="121"/>
  <c r="J77" i="121"/>
  <c r="F77" i="121"/>
  <c r="E77" i="121"/>
  <c r="C77" i="121"/>
  <c r="N75" i="121"/>
  <c r="R75" i="121"/>
  <c r="M75" i="121"/>
  <c r="L75" i="121"/>
  <c r="J75" i="121"/>
  <c r="C75" i="121"/>
  <c r="P74" i="121"/>
  <c r="N74" i="121"/>
  <c r="M74" i="121"/>
  <c r="L74" i="121"/>
  <c r="J74" i="121"/>
  <c r="F74" i="121"/>
  <c r="E74" i="121"/>
  <c r="C74" i="121"/>
  <c r="P73" i="121"/>
  <c r="N73" i="121"/>
  <c r="M73" i="121"/>
  <c r="L73" i="121"/>
  <c r="J73" i="121"/>
  <c r="F73" i="121"/>
  <c r="E73" i="121"/>
  <c r="C73" i="121"/>
  <c r="P72" i="121"/>
  <c r="N72" i="121"/>
  <c r="M72" i="121"/>
  <c r="L72" i="121"/>
  <c r="J72" i="121"/>
  <c r="F72" i="121"/>
  <c r="E72" i="121"/>
  <c r="C72" i="121"/>
  <c r="P71" i="121"/>
  <c r="N71" i="121"/>
  <c r="L71" i="121"/>
  <c r="J71" i="121"/>
  <c r="F71" i="121"/>
  <c r="E71" i="121"/>
  <c r="C71" i="121"/>
  <c r="P70" i="121"/>
  <c r="N70" i="121"/>
  <c r="M70" i="121"/>
  <c r="L70" i="121"/>
  <c r="J70" i="121"/>
  <c r="F70" i="121"/>
  <c r="E70" i="121"/>
  <c r="C70" i="121"/>
  <c r="P69" i="121"/>
  <c r="N69" i="121"/>
  <c r="M69" i="121"/>
  <c r="L69" i="121"/>
  <c r="J69" i="121"/>
  <c r="F69" i="121"/>
  <c r="E69" i="121"/>
  <c r="C69" i="121"/>
  <c r="P67" i="121"/>
  <c r="N67" i="121"/>
  <c r="M67" i="121"/>
  <c r="L67" i="121"/>
  <c r="J67" i="121"/>
  <c r="F67" i="121"/>
  <c r="E67" i="121"/>
  <c r="C67" i="121"/>
  <c r="P66" i="121"/>
  <c r="N66" i="121"/>
  <c r="M66" i="121"/>
  <c r="L66" i="121"/>
  <c r="J66" i="121"/>
  <c r="F66" i="121"/>
  <c r="E66" i="121"/>
  <c r="C66" i="121"/>
  <c r="P65" i="121"/>
  <c r="N65" i="121"/>
  <c r="M65" i="121"/>
  <c r="L65" i="121"/>
  <c r="J65" i="121"/>
  <c r="F65" i="121"/>
  <c r="E65" i="121"/>
  <c r="C65" i="121"/>
  <c r="P64" i="121"/>
  <c r="N64" i="121"/>
  <c r="M64" i="121"/>
  <c r="L64" i="121"/>
  <c r="J64" i="121"/>
  <c r="F64" i="121"/>
  <c r="E64" i="121"/>
  <c r="C64" i="121"/>
  <c r="P63" i="121"/>
  <c r="N63" i="121"/>
  <c r="M63" i="121"/>
  <c r="L63" i="121"/>
  <c r="J63" i="121"/>
  <c r="F63" i="121"/>
  <c r="E63" i="121"/>
  <c r="C63" i="121"/>
  <c r="K62" i="121"/>
  <c r="L62" i="121"/>
  <c r="I62" i="121"/>
  <c r="J62" i="121"/>
  <c r="H62" i="121"/>
  <c r="H68" i="121"/>
  <c r="G62" i="121"/>
  <c r="D62" i="121"/>
  <c r="E62" i="121"/>
  <c r="B62" i="121"/>
  <c r="C62" i="121"/>
  <c r="P61" i="121"/>
  <c r="N61" i="121"/>
  <c r="M61" i="121"/>
  <c r="L61" i="121"/>
  <c r="J61" i="121"/>
  <c r="F61" i="121"/>
  <c r="E61" i="121"/>
  <c r="C61" i="121"/>
  <c r="P60" i="121"/>
  <c r="N60" i="121"/>
  <c r="O60" i="121"/>
  <c r="M60" i="121"/>
  <c r="L60" i="121"/>
  <c r="J60" i="121"/>
  <c r="F60" i="121"/>
  <c r="E60" i="121"/>
  <c r="C60" i="121"/>
  <c r="F49" i="121"/>
  <c r="E49" i="121"/>
  <c r="C49" i="121"/>
  <c r="B49" i="121"/>
  <c r="G48" i="121"/>
  <c r="D48" i="121"/>
  <c r="G47" i="121"/>
  <c r="D47" i="121"/>
  <c r="F44" i="121"/>
  <c r="E44" i="121"/>
  <c r="C44" i="121"/>
  <c r="B44" i="121"/>
  <c r="G42" i="121"/>
  <c r="D42" i="121"/>
  <c r="G41" i="121"/>
  <c r="D41" i="121"/>
  <c r="G40" i="121"/>
  <c r="D40" i="121"/>
  <c r="G39" i="121"/>
  <c r="D39" i="121"/>
  <c r="F37" i="121"/>
  <c r="E37" i="121"/>
  <c r="E45" i="121"/>
  <c r="E50" i="121"/>
  <c r="C37" i="121"/>
  <c r="C45" i="121"/>
  <c r="C50" i="121"/>
  <c r="B37" i="121"/>
  <c r="B45" i="121"/>
  <c r="G36" i="121"/>
  <c r="D36" i="121"/>
  <c r="G35" i="121"/>
  <c r="D35" i="121"/>
  <c r="G34" i="121"/>
  <c r="D34" i="121"/>
  <c r="G33" i="121"/>
  <c r="D33" i="121"/>
  <c r="G32" i="121"/>
  <c r="D32" i="121"/>
  <c r="G31" i="121"/>
  <c r="D31" i="121"/>
  <c r="F27" i="121"/>
  <c r="E27" i="121"/>
  <c r="C27" i="121"/>
  <c r="B27" i="121"/>
  <c r="G26" i="121"/>
  <c r="D26" i="121"/>
  <c r="G25" i="121"/>
  <c r="D25" i="121"/>
  <c r="G24" i="121"/>
  <c r="D24" i="121"/>
  <c r="G23" i="121"/>
  <c r="D23" i="121"/>
  <c r="G22" i="121"/>
  <c r="D22" i="121"/>
  <c r="G21" i="121"/>
  <c r="D21" i="121"/>
  <c r="G20" i="121"/>
  <c r="D20" i="121"/>
  <c r="G19" i="121"/>
  <c r="D19" i="121"/>
  <c r="G18" i="121"/>
  <c r="D18" i="121"/>
  <c r="G17" i="121"/>
  <c r="D17" i="121"/>
  <c r="F15" i="121"/>
  <c r="E15" i="121"/>
  <c r="E28" i="121"/>
  <c r="C15" i="121"/>
  <c r="B15" i="121"/>
  <c r="G13" i="121"/>
  <c r="D13" i="121"/>
  <c r="G12" i="121"/>
  <c r="D12" i="121"/>
  <c r="G11" i="121"/>
  <c r="D11" i="121"/>
  <c r="G10" i="121"/>
  <c r="D10" i="121"/>
  <c r="G9" i="121"/>
  <c r="D9" i="121"/>
  <c r="F87" i="120"/>
  <c r="E87" i="120"/>
  <c r="C87" i="120"/>
  <c r="F85" i="120"/>
  <c r="E85" i="120"/>
  <c r="C85" i="120"/>
  <c r="F80" i="120"/>
  <c r="E80" i="120"/>
  <c r="C80" i="120"/>
  <c r="F78" i="120"/>
  <c r="E78" i="120"/>
  <c r="C78" i="120"/>
  <c r="F77" i="120"/>
  <c r="E77" i="120"/>
  <c r="C77" i="120"/>
  <c r="C75" i="120"/>
  <c r="F74" i="120"/>
  <c r="E74" i="120"/>
  <c r="C74" i="120"/>
  <c r="F73" i="120"/>
  <c r="E73" i="120"/>
  <c r="C73" i="120"/>
  <c r="F72" i="120"/>
  <c r="E72" i="120"/>
  <c r="C72" i="120"/>
  <c r="F71" i="120"/>
  <c r="E71" i="120"/>
  <c r="C71" i="120"/>
  <c r="F70" i="120"/>
  <c r="E70" i="120"/>
  <c r="C70" i="120"/>
  <c r="F69" i="120"/>
  <c r="E69" i="120"/>
  <c r="C69" i="120"/>
  <c r="F67" i="120"/>
  <c r="E67" i="120"/>
  <c r="C67" i="120"/>
  <c r="F66" i="120"/>
  <c r="E66" i="120"/>
  <c r="C66" i="120"/>
  <c r="F65" i="120"/>
  <c r="E65" i="120"/>
  <c r="C65" i="120"/>
  <c r="F64" i="120"/>
  <c r="E64" i="120"/>
  <c r="C64" i="120"/>
  <c r="F63" i="120"/>
  <c r="E63" i="120"/>
  <c r="C63" i="120"/>
  <c r="D62" i="120"/>
  <c r="F61" i="120"/>
  <c r="E61" i="120"/>
  <c r="C61" i="120"/>
  <c r="F60" i="120"/>
  <c r="E60" i="120"/>
  <c r="C60" i="120"/>
  <c r="D48" i="120"/>
  <c r="C47" i="120"/>
  <c r="D47" i="120"/>
  <c r="C44" i="120"/>
  <c r="D42" i="120"/>
  <c r="D41" i="120"/>
  <c r="D40" i="120"/>
  <c r="D39" i="120"/>
  <c r="C37" i="120"/>
  <c r="D36" i="120"/>
  <c r="D35" i="120"/>
  <c r="D34" i="120"/>
  <c r="D33" i="120"/>
  <c r="D32" i="120"/>
  <c r="D31" i="120"/>
  <c r="C27" i="120"/>
  <c r="D26" i="120"/>
  <c r="D25" i="120"/>
  <c r="D24" i="120"/>
  <c r="D23" i="120"/>
  <c r="D22" i="120"/>
  <c r="D21" i="120"/>
  <c r="D20" i="120"/>
  <c r="D19" i="120"/>
  <c r="D18" i="120"/>
  <c r="D17" i="120"/>
  <c r="C15" i="120"/>
  <c r="D13" i="120"/>
  <c r="D12" i="120"/>
  <c r="D11" i="120"/>
  <c r="D10" i="120"/>
  <c r="D9" i="120"/>
  <c r="Q60" i="121"/>
  <c r="S69" i="123"/>
  <c r="V64" i="123"/>
  <c r="T62" i="122"/>
  <c r="W68" i="123"/>
  <c r="X68" i="123"/>
  <c r="K11" i="111"/>
  <c r="N11" i="111"/>
  <c r="K12" i="111"/>
  <c r="N12" i="111"/>
  <c r="K13" i="111"/>
  <c r="N13" i="111"/>
  <c r="K14" i="111"/>
  <c r="N14" i="111"/>
  <c r="K15" i="111"/>
  <c r="N15" i="111"/>
  <c r="K16" i="111"/>
  <c r="N16" i="111"/>
  <c r="K17" i="111"/>
  <c r="N17" i="111"/>
  <c r="K18" i="111"/>
  <c r="N18" i="111"/>
  <c r="K19" i="111"/>
  <c r="N19" i="111"/>
  <c r="H20" i="111"/>
  <c r="I20" i="111"/>
  <c r="J20" i="111"/>
  <c r="K20" i="111"/>
  <c r="L20" i="111"/>
  <c r="M20" i="111"/>
  <c r="K23" i="111"/>
  <c r="N23" i="111"/>
  <c r="K24" i="111"/>
  <c r="N24" i="111"/>
  <c r="K25" i="111"/>
  <c r="N25" i="111"/>
  <c r="K26" i="111"/>
  <c r="N26" i="111"/>
  <c r="K27" i="111"/>
  <c r="N27" i="111"/>
  <c r="K28" i="111"/>
  <c r="N28" i="111"/>
  <c r="K29" i="111"/>
  <c r="N29" i="111"/>
  <c r="K30" i="111"/>
  <c r="N30" i="111"/>
  <c r="H31" i="111"/>
  <c r="H34" i="111"/>
  <c r="I31" i="111"/>
  <c r="J31" i="111"/>
  <c r="K31" i="111"/>
  <c r="L31" i="111"/>
  <c r="M31" i="111"/>
  <c r="M33" i="111"/>
  <c r="K32" i="111"/>
  <c r="N32" i="111"/>
  <c r="S40" i="111"/>
  <c r="Z40" i="111"/>
  <c r="R41" i="111"/>
  <c r="S41" i="111"/>
  <c r="W41" i="111"/>
  <c r="Y41" i="111"/>
  <c r="Z41" i="111"/>
  <c r="H42" i="111"/>
  <c r="H47" i="111"/>
  <c r="H55" i="111"/>
  <c r="H58" i="111"/>
  <c r="I42" i="111"/>
  <c r="I47" i="111"/>
  <c r="I55" i="111"/>
  <c r="I58" i="111"/>
  <c r="J42" i="111"/>
  <c r="K42" i="111"/>
  <c r="K47" i="111"/>
  <c r="K55" i="111"/>
  <c r="K58" i="111"/>
  <c r="L42" i="111"/>
  <c r="M42" i="111"/>
  <c r="N42" i="111"/>
  <c r="O42" i="111"/>
  <c r="P42" i="111"/>
  <c r="Q42" i="111"/>
  <c r="Q47" i="111"/>
  <c r="R42" i="111"/>
  <c r="V42" i="111"/>
  <c r="X42" i="111"/>
  <c r="Y42" i="111"/>
  <c r="R43" i="111"/>
  <c r="S43" i="111"/>
  <c r="T43" i="111"/>
  <c r="W43" i="111"/>
  <c r="Y43" i="111"/>
  <c r="Z43" i="111"/>
  <c r="R44" i="111"/>
  <c r="S44" i="111"/>
  <c r="U44" i="111"/>
  <c r="W44" i="111"/>
  <c r="Y44" i="111"/>
  <c r="Z44" i="111"/>
  <c r="R45" i="111"/>
  <c r="S45" i="111"/>
  <c r="W45" i="111"/>
  <c r="Y45" i="111"/>
  <c r="Z45" i="111"/>
  <c r="H46" i="111"/>
  <c r="I46" i="111"/>
  <c r="J46" i="111"/>
  <c r="J47" i="111"/>
  <c r="K46" i="111"/>
  <c r="L46" i="111"/>
  <c r="L47" i="111"/>
  <c r="L55" i="111"/>
  <c r="L58" i="111"/>
  <c r="M46" i="111"/>
  <c r="N46" i="111"/>
  <c r="N47" i="111"/>
  <c r="O46" i="111"/>
  <c r="O47" i="111"/>
  <c r="O55" i="111"/>
  <c r="O58" i="111"/>
  <c r="P46" i="111"/>
  <c r="R46" i="111"/>
  <c r="Q46" i="111"/>
  <c r="V46" i="111"/>
  <c r="X46" i="111"/>
  <c r="Y46" i="111"/>
  <c r="R48" i="111"/>
  <c r="S48" i="111"/>
  <c r="W48" i="111"/>
  <c r="Y48" i="111"/>
  <c r="Z48" i="111"/>
  <c r="R49" i="111"/>
  <c r="S49" i="111"/>
  <c r="T49" i="111"/>
  <c r="W49" i="111"/>
  <c r="Y49" i="111"/>
  <c r="Z49" i="111"/>
  <c r="R50" i="111"/>
  <c r="S50" i="111"/>
  <c r="T50" i="111"/>
  <c r="W50" i="111"/>
  <c r="Y50" i="111"/>
  <c r="Z50" i="111"/>
  <c r="Q51" i="111"/>
  <c r="R51" i="111"/>
  <c r="S51" i="111"/>
  <c r="T51" i="111"/>
  <c r="W51" i="111"/>
  <c r="Y51" i="111"/>
  <c r="Z51" i="111"/>
  <c r="R52" i="111"/>
  <c r="S52" i="111"/>
  <c r="W52" i="111"/>
  <c r="Y52" i="111"/>
  <c r="Z52" i="111"/>
  <c r="R53" i="111"/>
  <c r="W53" i="111"/>
  <c r="Y53" i="111"/>
  <c r="Z53" i="111"/>
  <c r="H54" i="111"/>
  <c r="I54" i="111"/>
  <c r="J54" i="111"/>
  <c r="K54" i="111"/>
  <c r="L54" i="111"/>
  <c r="M54" i="111"/>
  <c r="N54" i="111"/>
  <c r="O54" i="111"/>
  <c r="P54" i="111"/>
  <c r="R54" i="111"/>
  <c r="V54" i="111"/>
  <c r="W54" i="111"/>
  <c r="X54" i="111"/>
  <c r="Y54" i="111"/>
  <c r="R56" i="111"/>
  <c r="S56" i="111"/>
  <c r="T56" i="111"/>
  <c r="W56" i="111"/>
  <c r="Y56" i="111"/>
  <c r="Z56" i="111"/>
  <c r="R57" i="111"/>
  <c r="S57" i="111"/>
  <c r="U57" i="111"/>
  <c r="W57" i="111"/>
  <c r="Y57" i="111"/>
  <c r="R59" i="111"/>
  <c r="S59" i="111"/>
  <c r="W59" i="111"/>
  <c r="Y59" i="111"/>
  <c r="Z59" i="111"/>
  <c r="K11" i="110"/>
  <c r="N11" i="110"/>
  <c r="K12" i="110"/>
  <c r="N12" i="110"/>
  <c r="K13" i="110"/>
  <c r="N13" i="110"/>
  <c r="N14" i="110"/>
  <c r="H15" i="110"/>
  <c r="H17" i="110"/>
  <c r="N15" i="110"/>
  <c r="K16" i="110"/>
  <c r="N16" i="110"/>
  <c r="B17" i="110"/>
  <c r="C17" i="110"/>
  <c r="D17" i="110"/>
  <c r="E17" i="110"/>
  <c r="F17" i="110"/>
  <c r="G17" i="110"/>
  <c r="I17" i="110"/>
  <c r="J17" i="110"/>
  <c r="L17" i="110"/>
  <c r="M17" i="110"/>
  <c r="K20" i="110"/>
  <c r="N20" i="110"/>
  <c r="K21" i="110"/>
  <c r="N21" i="110"/>
  <c r="K22" i="110"/>
  <c r="N22" i="110"/>
  <c r="K23" i="110"/>
  <c r="N23" i="110"/>
  <c r="N24" i="110"/>
  <c r="K25" i="110"/>
  <c r="N25" i="110"/>
  <c r="B26" i="110"/>
  <c r="B28" i="110"/>
  <c r="C26" i="110"/>
  <c r="C28" i="110"/>
  <c r="D26" i="110"/>
  <c r="D28" i="110"/>
  <c r="E26" i="110"/>
  <c r="E28" i="110"/>
  <c r="F26" i="110"/>
  <c r="F28" i="110"/>
  <c r="G26" i="110"/>
  <c r="G28" i="110"/>
  <c r="H26" i="110"/>
  <c r="H28" i="110"/>
  <c r="I26" i="110"/>
  <c r="J26" i="110"/>
  <c r="M26" i="110"/>
  <c r="N26" i="110"/>
  <c r="H29" i="110"/>
  <c r="H30" i="110"/>
  <c r="I29" i="110"/>
  <c r="J29" i="110"/>
  <c r="L29" i="110"/>
  <c r="M29" i="110"/>
  <c r="B30" i="110"/>
  <c r="C30" i="110"/>
  <c r="D30" i="110"/>
  <c r="E30" i="110"/>
  <c r="F30" i="110"/>
  <c r="G30" i="110"/>
  <c r="Q38" i="110"/>
  <c r="R38" i="110"/>
  <c r="V38" i="110"/>
  <c r="Q39" i="110"/>
  <c r="R39" i="110"/>
  <c r="R42" i="110"/>
  <c r="V39" i="110"/>
  <c r="Q40" i="110"/>
  <c r="R40" i="110"/>
  <c r="V40" i="110"/>
  <c r="Q41" i="110"/>
  <c r="R41" i="110"/>
  <c r="V41" i="110"/>
  <c r="B42" i="110"/>
  <c r="B44" i="110"/>
  <c r="B47" i="110"/>
  <c r="B49" i="110"/>
  <c r="C42" i="110"/>
  <c r="C44" i="110"/>
  <c r="C47" i="110"/>
  <c r="C49" i="110"/>
  <c r="D42" i="110"/>
  <c r="E42" i="110"/>
  <c r="E44" i="110"/>
  <c r="E47" i="110"/>
  <c r="E49" i="110"/>
  <c r="F42" i="110"/>
  <c r="F44" i="110"/>
  <c r="F47" i="110"/>
  <c r="F49" i="110"/>
  <c r="G42" i="110"/>
  <c r="G44" i="110"/>
  <c r="G47" i="110"/>
  <c r="G49" i="110"/>
  <c r="H42" i="110"/>
  <c r="H44" i="110"/>
  <c r="H47" i="110"/>
  <c r="H49" i="110"/>
  <c r="I42" i="110"/>
  <c r="I44" i="110"/>
  <c r="I47" i="110"/>
  <c r="I49" i="110"/>
  <c r="J42" i="110"/>
  <c r="J44" i="110"/>
  <c r="J47" i="110"/>
  <c r="J49" i="110"/>
  <c r="K42" i="110"/>
  <c r="L42" i="110"/>
  <c r="M42" i="110"/>
  <c r="M44" i="110"/>
  <c r="M47" i="110"/>
  <c r="M49" i="110"/>
  <c r="N42" i="110"/>
  <c r="N44" i="110"/>
  <c r="N47" i="110"/>
  <c r="N49" i="110"/>
  <c r="O42" i="110"/>
  <c r="O44" i="110"/>
  <c r="O47" i="110"/>
  <c r="O49" i="110"/>
  <c r="P42" i="110"/>
  <c r="P44" i="110"/>
  <c r="P47" i="110"/>
  <c r="P49" i="110"/>
  <c r="T42" i="110"/>
  <c r="T44" i="110"/>
  <c r="T47" i="110"/>
  <c r="U42" i="110"/>
  <c r="V42" i="110"/>
  <c r="K43" i="110"/>
  <c r="Q43" i="110"/>
  <c r="R43" i="110"/>
  <c r="V43" i="110"/>
  <c r="D44" i="110"/>
  <c r="D47" i="110"/>
  <c r="D49" i="110"/>
  <c r="L44" i="110"/>
  <c r="Q45" i="110"/>
  <c r="R45" i="110"/>
  <c r="S45" i="110"/>
  <c r="Q46" i="110"/>
  <c r="R46" i="110"/>
  <c r="V46" i="110"/>
  <c r="L47" i="110"/>
  <c r="L49" i="110"/>
  <c r="Q48" i="110"/>
  <c r="R48" i="110"/>
  <c r="S48" i="110"/>
  <c r="V48" i="110"/>
  <c r="K11" i="109"/>
  <c r="N11" i="109"/>
  <c r="K12" i="109"/>
  <c r="N12" i="109"/>
  <c r="K13" i="109"/>
  <c r="N13" i="109"/>
  <c r="K14" i="109"/>
  <c r="N14" i="109"/>
  <c r="K15" i="109"/>
  <c r="N15" i="109"/>
  <c r="K16" i="109"/>
  <c r="N16" i="109"/>
  <c r="K17" i="109"/>
  <c r="N17" i="109"/>
  <c r="K18" i="109"/>
  <c r="N18" i="109"/>
  <c r="K19" i="109"/>
  <c r="N19" i="109"/>
  <c r="H20" i="109"/>
  <c r="I20" i="109"/>
  <c r="I33" i="109"/>
  <c r="J20" i="109"/>
  <c r="L20" i="109"/>
  <c r="M20" i="109"/>
  <c r="N20" i="109"/>
  <c r="K23" i="109"/>
  <c r="N23" i="109"/>
  <c r="K24" i="109"/>
  <c r="N24" i="109"/>
  <c r="K25" i="109"/>
  <c r="N25" i="109"/>
  <c r="K26" i="109"/>
  <c r="N26" i="109"/>
  <c r="K27" i="109"/>
  <c r="N27" i="109"/>
  <c r="K28" i="109"/>
  <c r="N28" i="109"/>
  <c r="K29" i="109"/>
  <c r="N29" i="109"/>
  <c r="K30" i="109"/>
  <c r="N30" i="109"/>
  <c r="H31" i="109"/>
  <c r="H34" i="109"/>
  <c r="I31" i="109"/>
  <c r="J31" i="109"/>
  <c r="K31" i="109"/>
  <c r="L31" i="109"/>
  <c r="M31" i="109"/>
  <c r="N31" i="109"/>
  <c r="K32" i="109"/>
  <c r="N32" i="109"/>
  <c r="M33" i="109"/>
  <c r="Q40" i="109"/>
  <c r="S40" i="109"/>
  <c r="X40" i="109"/>
  <c r="P41" i="109"/>
  <c r="Q41" i="109"/>
  <c r="S41" i="109"/>
  <c r="R41" i="109"/>
  <c r="U41" i="109"/>
  <c r="W41" i="109"/>
  <c r="X41" i="109"/>
  <c r="H42" i="109"/>
  <c r="H47" i="109"/>
  <c r="I42" i="109"/>
  <c r="I47" i="109"/>
  <c r="J42" i="109"/>
  <c r="K42" i="109"/>
  <c r="L42" i="109"/>
  <c r="M42" i="109"/>
  <c r="N42" i="109"/>
  <c r="O42" i="109"/>
  <c r="P42" i="109"/>
  <c r="Q42" i="109"/>
  <c r="R42" i="109"/>
  <c r="T42" i="109"/>
  <c r="U42" i="109"/>
  <c r="V42" i="109"/>
  <c r="W42" i="109"/>
  <c r="P43" i="109"/>
  <c r="Q43" i="109"/>
  <c r="U43" i="109"/>
  <c r="W43" i="109"/>
  <c r="X43" i="109"/>
  <c r="P44" i="109"/>
  <c r="Q44" i="109"/>
  <c r="S44" i="109"/>
  <c r="U44" i="109"/>
  <c r="W44" i="109"/>
  <c r="X44" i="109"/>
  <c r="P45" i="109"/>
  <c r="Q45" i="109"/>
  <c r="U45" i="109"/>
  <c r="W45" i="109"/>
  <c r="X45" i="109"/>
  <c r="H46" i="109"/>
  <c r="I46" i="109"/>
  <c r="J46" i="109"/>
  <c r="J47" i="109"/>
  <c r="J55" i="109"/>
  <c r="J58" i="109"/>
  <c r="K46" i="109"/>
  <c r="L46" i="109"/>
  <c r="M46" i="109"/>
  <c r="M47" i="109"/>
  <c r="N46" i="109"/>
  <c r="O46" i="109"/>
  <c r="P46" i="109"/>
  <c r="T46" i="109"/>
  <c r="X46" i="109"/>
  <c r="U46" i="109"/>
  <c r="V46" i="109"/>
  <c r="P48" i="109"/>
  <c r="Q48" i="109"/>
  <c r="U48" i="109"/>
  <c r="W48" i="109"/>
  <c r="X48" i="109"/>
  <c r="P49" i="109"/>
  <c r="Q49" i="109"/>
  <c r="U49" i="109"/>
  <c r="W49" i="109"/>
  <c r="X49" i="109"/>
  <c r="P50" i="109"/>
  <c r="Q50" i="109"/>
  <c r="U50" i="109"/>
  <c r="W50" i="109"/>
  <c r="X50" i="109"/>
  <c r="P51" i="109"/>
  <c r="Q51" i="109"/>
  <c r="U51" i="109"/>
  <c r="W51" i="109"/>
  <c r="X51" i="109"/>
  <c r="P52" i="109"/>
  <c r="Q52" i="109"/>
  <c r="U52" i="109"/>
  <c r="W52" i="109"/>
  <c r="X52" i="109"/>
  <c r="P53" i="109"/>
  <c r="R53" i="109"/>
  <c r="U53" i="109"/>
  <c r="W53" i="109"/>
  <c r="X53" i="109"/>
  <c r="H54" i="109"/>
  <c r="I54" i="109"/>
  <c r="J54" i="109"/>
  <c r="K54" i="109"/>
  <c r="L54" i="109"/>
  <c r="M54" i="109"/>
  <c r="N54" i="109"/>
  <c r="O54" i="109"/>
  <c r="P54" i="109"/>
  <c r="T54" i="109"/>
  <c r="V54" i="109"/>
  <c r="W54" i="109"/>
  <c r="P56" i="109"/>
  <c r="Q56" i="109"/>
  <c r="U56" i="109"/>
  <c r="W56" i="109"/>
  <c r="X56" i="109"/>
  <c r="P57" i="109"/>
  <c r="Q57" i="109"/>
  <c r="S57" i="109"/>
  <c r="U57" i="109"/>
  <c r="W57" i="109"/>
  <c r="P59" i="109"/>
  <c r="Q59" i="109"/>
  <c r="R59" i="109"/>
  <c r="U59" i="109"/>
  <c r="W59" i="109"/>
  <c r="X59" i="109"/>
  <c r="K11" i="108"/>
  <c r="N11" i="108"/>
  <c r="K12" i="108"/>
  <c r="N12" i="108"/>
  <c r="K13" i="108"/>
  <c r="N13" i="108"/>
  <c r="N14" i="108"/>
  <c r="H15" i="108"/>
  <c r="H17" i="108"/>
  <c r="N15" i="108"/>
  <c r="K16" i="108"/>
  <c r="N16" i="108"/>
  <c r="B17" i="108"/>
  <c r="C17" i="108"/>
  <c r="D17" i="108"/>
  <c r="E17" i="108"/>
  <c r="F17" i="108"/>
  <c r="G17" i="108"/>
  <c r="I17" i="108"/>
  <c r="J17" i="108"/>
  <c r="J27" i="108"/>
  <c r="K17" i="108"/>
  <c r="L17" i="108"/>
  <c r="M17" i="108"/>
  <c r="K20" i="108"/>
  <c r="N20" i="108"/>
  <c r="K21" i="108"/>
  <c r="N21" i="108"/>
  <c r="K22" i="108"/>
  <c r="N22" i="108"/>
  <c r="K23" i="108"/>
  <c r="N23" i="108"/>
  <c r="N24" i="108"/>
  <c r="K25" i="108"/>
  <c r="N25" i="108"/>
  <c r="B26" i="108"/>
  <c r="C26" i="108"/>
  <c r="C28" i="108"/>
  <c r="D26" i="108"/>
  <c r="E26" i="108"/>
  <c r="F26" i="108"/>
  <c r="F28" i="108"/>
  <c r="G26" i="108"/>
  <c r="G28" i="108"/>
  <c r="H26" i="108"/>
  <c r="H28" i="108"/>
  <c r="I26" i="108"/>
  <c r="J26" i="108"/>
  <c r="J30" i="108"/>
  <c r="L26" i="108"/>
  <c r="M26" i="108"/>
  <c r="B28" i="108"/>
  <c r="D28" i="108"/>
  <c r="E28" i="108"/>
  <c r="H29" i="108"/>
  <c r="H30" i="108"/>
  <c r="I29" i="108"/>
  <c r="J29" i="108"/>
  <c r="L29" i="108"/>
  <c r="M29" i="108"/>
  <c r="B30" i="108"/>
  <c r="C30" i="108"/>
  <c r="D30" i="108"/>
  <c r="E30" i="108"/>
  <c r="F30" i="108"/>
  <c r="G30" i="108"/>
  <c r="P38" i="108"/>
  <c r="Q38" i="108"/>
  <c r="T38" i="108"/>
  <c r="P39" i="108"/>
  <c r="T39" i="108"/>
  <c r="P40" i="108"/>
  <c r="Q40" i="108"/>
  <c r="T40" i="108"/>
  <c r="P41" i="108"/>
  <c r="Q41" i="108"/>
  <c r="T41" i="108"/>
  <c r="B42" i="108"/>
  <c r="B44" i="108"/>
  <c r="B47" i="108"/>
  <c r="B49" i="108"/>
  <c r="C42" i="108"/>
  <c r="C44" i="108"/>
  <c r="D42" i="108"/>
  <c r="D44" i="108"/>
  <c r="D47" i="108"/>
  <c r="D49" i="108"/>
  <c r="E42" i="108"/>
  <c r="E44" i="108"/>
  <c r="E47" i="108"/>
  <c r="E49" i="108"/>
  <c r="F42" i="108"/>
  <c r="F44" i="108"/>
  <c r="F47" i="108"/>
  <c r="F49" i="108"/>
  <c r="G42" i="108"/>
  <c r="G44" i="108"/>
  <c r="G47" i="108"/>
  <c r="G49" i="108"/>
  <c r="H42" i="108"/>
  <c r="H44" i="108"/>
  <c r="H47" i="108"/>
  <c r="H49" i="108"/>
  <c r="I42" i="108"/>
  <c r="J42" i="108"/>
  <c r="K42" i="108"/>
  <c r="L42" i="108"/>
  <c r="L44" i="108"/>
  <c r="L47" i="108"/>
  <c r="L49" i="108"/>
  <c r="M42" i="108"/>
  <c r="M44" i="108"/>
  <c r="M47" i="108"/>
  <c r="M49" i="108"/>
  <c r="N42" i="108"/>
  <c r="N44" i="108"/>
  <c r="N47" i="108"/>
  <c r="N49" i="108"/>
  <c r="O42" i="108"/>
  <c r="O44" i="108"/>
  <c r="O47" i="108"/>
  <c r="O49" i="108"/>
  <c r="R42" i="108"/>
  <c r="S42" i="108"/>
  <c r="S44" i="108"/>
  <c r="S47" i="108"/>
  <c r="S49" i="108"/>
  <c r="K43" i="108"/>
  <c r="P43" i="108"/>
  <c r="Q43" i="108"/>
  <c r="T43" i="108"/>
  <c r="C47" i="108"/>
  <c r="C49" i="108"/>
  <c r="I44" i="108"/>
  <c r="J44" i="108"/>
  <c r="J47" i="108"/>
  <c r="J49" i="108"/>
  <c r="K44" i="108"/>
  <c r="K47" i="108"/>
  <c r="K49" i="108"/>
  <c r="P45" i="108"/>
  <c r="Q45" i="108"/>
  <c r="P46" i="108"/>
  <c r="Q46" i="108"/>
  <c r="T46" i="108"/>
  <c r="I47" i="108"/>
  <c r="I49" i="108"/>
  <c r="P48" i="108"/>
  <c r="Q48" i="108"/>
  <c r="T48" i="108"/>
  <c r="K11" i="107"/>
  <c r="N11" i="107"/>
  <c r="K12" i="107"/>
  <c r="N12" i="107"/>
  <c r="K13" i="107"/>
  <c r="N13" i="107"/>
  <c r="K14" i="107"/>
  <c r="N14" i="107"/>
  <c r="K15" i="107"/>
  <c r="N15" i="107"/>
  <c r="K16" i="107"/>
  <c r="N16" i="107"/>
  <c r="K17" i="107"/>
  <c r="N17" i="107"/>
  <c r="K18" i="107"/>
  <c r="N18" i="107"/>
  <c r="K19" i="107"/>
  <c r="N19" i="107"/>
  <c r="H20" i="107"/>
  <c r="I20" i="107"/>
  <c r="J20" i="107"/>
  <c r="J33" i="107"/>
  <c r="L20" i="107"/>
  <c r="M20" i="107"/>
  <c r="N20" i="107"/>
  <c r="K23" i="107"/>
  <c r="N23" i="107"/>
  <c r="K24" i="107"/>
  <c r="N24" i="107"/>
  <c r="K25" i="107"/>
  <c r="N25" i="107"/>
  <c r="K26" i="107"/>
  <c r="N26" i="107"/>
  <c r="K27" i="107"/>
  <c r="N27" i="107"/>
  <c r="K28" i="107"/>
  <c r="N28" i="107"/>
  <c r="K29" i="107"/>
  <c r="N29" i="107"/>
  <c r="K30" i="107"/>
  <c r="N30" i="107"/>
  <c r="H31" i="107"/>
  <c r="H34" i="107"/>
  <c r="I31" i="107"/>
  <c r="J31" i="107"/>
  <c r="K31" i="107"/>
  <c r="L31" i="107"/>
  <c r="L34" i="107"/>
  <c r="M31" i="107"/>
  <c r="N31" i="107"/>
  <c r="K32" i="107"/>
  <c r="N32" i="107"/>
  <c r="Q40" i="107"/>
  <c r="V40" i="107"/>
  <c r="N41" i="107"/>
  <c r="P41" i="107"/>
  <c r="Q41" i="107"/>
  <c r="S41" i="107"/>
  <c r="U41" i="107"/>
  <c r="V41" i="107"/>
  <c r="H42" i="107"/>
  <c r="I42" i="107"/>
  <c r="J42" i="107"/>
  <c r="K42" i="107"/>
  <c r="L42" i="107"/>
  <c r="L47" i="107"/>
  <c r="M42" i="107"/>
  <c r="O42" i="107"/>
  <c r="P42" i="107"/>
  <c r="R42" i="107"/>
  <c r="S42" i="107"/>
  <c r="T42" i="107"/>
  <c r="N43" i="107"/>
  <c r="P43" i="107"/>
  <c r="Q43" i="107"/>
  <c r="S43" i="107"/>
  <c r="U43" i="107"/>
  <c r="V43" i="107"/>
  <c r="N44" i="107"/>
  <c r="P44" i="107"/>
  <c r="Q44" i="107"/>
  <c r="S44" i="107"/>
  <c r="U44" i="107"/>
  <c r="V44" i="107"/>
  <c r="N45" i="107"/>
  <c r="P45" i="107"/>
  <c r="Q45" i="107"/>
  <c r="S45" i="107"/>
  <c r="U45" i="107"/>
  <c r="V45" i="107"/>
  <c r="H46" i="107"/>
  <c r="I46" i="107"/>
  <c r="J46" i="107"/>
  <c r="J47" i="107"/>
  <c r="J55" i="107"/>
  <c r="J58" i="107"/>
  <c r="K46" i="107"/>
  <c r="K47" i="107"/>
  <c r="K55" i="107"/>
  <c r="K58" i="107"/>
  <c r="L46" i="107"/>
  <c r="M46" i="107"/>
  <c r="O46" i="107"/>
  <c r="P46" i="107"/>
  <c r="R46" i="107"/>
  <c r="S46" i="107"/>
  <c r="T46" i="107"/>
  <c r="N48" i="107"/>
  <c r="P48" i="107"/>
  <c r="Q48" i="107"/>
  <c r="S48" i="107"/>
  <c r="U48" i="107"/>
  <c r="V48" i="107"/>
  <c r="N49" i="107"/>
  <c r="P49" i="107"/>
  <c r="Q49" i="107"/>
  <c r="S49" i="107"/>
  <c r="U49" i="107"/>
  <c r="V49" i="107"/>
  <c r="N50" i="107"/>
  <c r="P50" i="107"/>
  <c r="Q50" i="107"/>
  <c r="S50" i="107"/>
  <c r="U50" i="107"/>
  <c r="V50" i="107"/>
  <c r="N51" i="107"/>
  <c r="P51" i="107"/>
  <c r="Q51" i="107"/>
  <c r="S51" i="107"/>
  <c r="U51" i="107"/>
  <c r="V51" i="107"/>
  <c r="N52" i="107"/>
  <c r="P52" i="107"/>
  <c r="Q52" i="107"/>
  <c r="S52" i="107"/>
  <c r="U52" i="107"/>
  <c r="V52" i="107"/>
  <c r="N53" i="107"/>
  <c r="P53" i="107"/>
  <c r="Q53" i="107"/>
  <c r="S53" i="107"/>
  <c r="U53" i="107"/>
  <c r="V53" i="107"/>
  <c r="H54" i="107"/>
  <c r="I54" i="107"/>
  <c r="J54" i="107"/>
  <c r="K54" i="107"/>
  <c r="L54" i="107"/>
  <c r="M54" i="107"/>
  <c r="N54" i="107"/>
  <c r="O54" i="107"/>
  <c r="P54" i="107"/>
  <c r="R54" i="107"/>
  <c r="S54" i="107"/>
  <c r="T54" i="107"/>
  <c r="N56" i="107"/>
  <c r="P56" i="107"/>
  <c r="Q56" i="107"/>
  <c r="S56" i="107"/>
  <c r="U56" i="107"/>
  <c r="V56" i="107"/>
  <c r="N57" i="107"/>
  <c r="P57" i="107"/>
  <c r="Q57" i="107"/>
  <c r="S57" i="107"/>
  <c r="U57" i="107"/>
  <c r="V57" i="107"/>
  <c r="N59" i="107"/>
  <c r="P59" i="107"/>
  <c r="Q59" i="107"/>
  <c r="S59" i="107"/>
  <c r="U59" i="107"/>
  <c r="V59" i="107"/>
  <c r="K11" i="106"/>
  <c r="N11" i="106"/>
  <c r="K12" i="106"/>
  <c r="N12" i="106"/>
  <c r="K13" i="106"/>
  <c r="N13" i="106"/>
  <c r="N14" i="106"/>
  <c r="H15" i="106"/>
  <c r="H17" i="106"/>
  <c r="N15" i="106"/>
  <c r="K16" i="106"/>
  <c r="N16" i="106"/>
  <c r="B17" i="106"/>
  <c r="C17" i="106"/>
  <c r="D17" i="106"/>
  <c r="E17" i="106"/>
  <c r="F17" i="106"/>
  <c r="G17" i="106"/>
  <c r="I17" i="106"/>
  <c r="I27" i="106"/>
  <c r="J17" i="106"/>
  <c r="J27" i="106"/>
  <c r="L17" i="106"/>
  <c r="M17" i="106"/>
  <c r="M27" i="106"/>
  <c r="M28" i="106"/>
  <c r="K20" i="106"/>
  <c r="N20" i="106"/>
  <c r="K21" i="106"/>
  <c r="N21" i="106"/>
  <c r="K22" i="106"/>
  <c r="N22" i="106"/>
  <c r="K23" i="106"/>
  <c r="N23" i="106"/>
  <c r="N24" i="106"/>
  <c r="K25" i="106"/>
  <c r="N25" i="106"/>
  <c r="B26" i="106"/>
  <c r="B28" i="106"/>
  <c r="C26" i="106"/>
  <c r="C28" i="106"/>
  <c r="D26" i="106"/>
  <c r="D28" i="106"/>
  <c r="E26" i="106"/>
  <c r="E28" i="106"/>
  <c r="F26" i="106"/>
  <c r="F28" i="106"/>
  <c r="G26" i="106"/>
  <c r="G28" i="106"/>
  <c r="H26" i="106"/>
  <c r="H28" i="106"/>
  <c r="I26" i="106"/>
  <c r="J26" i="106"/>
  <c r="N26" i="106"/>
  <c r="H29" i="106"/>
  <c r="H30" i="106"/>
  <c r="I29" i="106"/>
  <c r="J29" i="106"/>
  <c r="L29" i="106"/>
  <c r="M29" i="106"/>
  <c r="B30" i="106"/>
  <c r="C30" i="106"/>
  <c r="D30" i="106"/>
  <c r="E30" i="106"/>
  <c r="F30" i="106"/>
  <c r="G30" i="106"/>
  <c r="M38" i="106"/>
  <c r="N38" i="106"/>
  <c r="O38" i="106"/>
  <c r="R38" i="106"/>
  <c r="M39" i="106"/>
  <c r="N39" i="106"/>
  <c r="O39" i="106"/>
  <c r="R39" i="106"/>
  <c r="M40" i="106"/>
  <c r="N40" i="106"/>
  <c r="O40" i="106"/>
  <c r="R40" i="106"/>
  <c r="M41" i="106"/>
  <c r="N41" i="106"/>
  <c r="O41" i="106"/>
  <c r="R41" i="106"/>
  <c r="B42" i="106"/>
  <c r="C42" i="106"/>
  <c r="D42" i="106"/>
  <c r="D44" i="106"/>
  <c r="D47" i="106"/>
  <c r="D49" i="106"/>
  <c r="E42" i="106"/>
  <c r="E44" i="106"/>
  <c r="E47" i="106"/>
  <c r="E49" i="106"/>
  <c r="F42" i="106"/>
  <c r="F44" i="106"/>
  <c r="F47" i="106"/>
  <c r="F49" i="106"/>
  <c r="G42" i="106"/>
  <c r="G44" i="106"/>
  <c r="G47" i="106"/>
  <c r="G49" i="106"/>
  <c r="H42" i="106"/>
  <c r="H44" i="106"/>
  <c r="H47" i="106"/>
  <c r="H49" i="106"/>
  <c r="I42" i="106"/>
  <c r="I44" i="106"/>
  <c r="I47" i="106"/>
  <c r="I49" i="106"/>
  <c r="J42" i="106"/>
  <c r="J44" i="106"/>
  <c r="J47" i="106"/>
  <c r="J49" i="106"/>
  <c r="K42" i="106"/>
  <c r="L42" i="106"/>
  <c r="L44" i="106"/>
  <c r="L47" i="106"/>
  <c r="L49" i="106"/>
  <c r="M42" i="106"/>
  <c r="P42" i="106"/>
  <c r="Q42" i="106"/>
  <c r="Q44" i="106"/>
  <c r="Q47" i="106"/>
  <c r="Q49" i="106"/>
  <c r="K43" i="106"/>
  <c r="N43" i="106"/>
  <c r="R43" i="106"/>
  <c r="B44" i="106"/>
  <c r="B47" i="106"/>
  <c r="B49" i="106"/>
  <c r="C44" i="106"/>
  <c r="C47" i="106"/>
  <c r="C49" i="106"/>
  <c r="M45" i="106"/>
  <c r="N45" i="106"/>
  <c r="M46" i="106"/>
  <c r="N46" i="106"/>
  <c r="O46" i="106"/>
  <c r="R46" i="106"/>
  <c r="M48" i="106"/>
  <c r="N48" i="106"/>
  <c r="O48" i="106"/>
  <c r="R48" i="106"/>
  <c r="K11" i="104"/>
  <c r="N11" i="104"/>
  <c r="K12" i="104"/>
  <c r="N12" i="104"/>
  <c r="K13" i="104"/>
  <c r="N13" i="104"/>
  <c r="K14" i="104"/>
  <c r="N14" i="104"/>
  <c r="K15" i="104"/>
  <c r="N15" i="104"/>
  <c r="K16" i="104"/>
  <c r="N16" i="104"/>
  <c r="K17" i="104"/>
  <c r="N17" i="104"/>
  <c r="K18" i="104"/>
  <c r="N18" i="104"/>
  <c r="K19" i="104"/>
  <c r="N19" i="104"/>
  <c r="H20" i="104"/>
  <c r="I20" i="104"/>
  <c r="I33" i="104"/>
  <c r="J20" i="104"/>
  <c r="L20" i="104"/>
  <c r="L33" i="104"/>
  <c r="M20" i="104"/>
  <c r="K23" i="104"/>
  <c r="N23" i="104"/>
  <c r="K24" i="104"/>
  <c r="N24" i="104"/>
  <c r="K25" i="104"/>
  <c r="N25" i="104"/>
  <c r="K26" i="104"/>
  <c r="N26" i="104"/>
  <c r="K27" i="104"/>
  <c r="N27" i="104"/>
  <c r="K28" i="104"/>
  <c r="N28" i="104"/>
  <c r="K29" i="104"/>
  <c r="N29" i="104"/>
  <c r="K30" i="104"/>
  <c r="N30" i="104"/>
  <c r="H31" i="104"/>
  <c r="H34" i="104"/>
  <c r="I31" i="104"/>
  <c r="J31" i="104"/>
  <c r="J33" i="104"/>
  <c r="K33" i="104"/>
  <c r="L31" i="104"/>
  <c r="L34" i="104"/>
  <c r="M31" i="104"/>
  <c r="M33" i="104"/>
  <c r="K32" i="104"/>
  <c r="N32" i="104"/>
  <c r="M40" i="104"/>
  <c r="R40" i="104"/>
  <c r="J41" i="104"/>
  <c r="L41" i="104"/>
  <c r="M41" i="104"/>
  <c r="O41" i="104"/>
  <c r="Q41" i="104"/>
  <c r="R41" i="104"/>
  <c r="H42" i="104"/>
  <c r="H47" i="104"/>
  <c r="I42" i="104"/>
  <c r="J42" i="104"/>
  <c r="K42" i="104"/>
  <c r="N42" i="104"/>
  <c r="O42" i="104"/>
  <c r="P42" i="104"/>
  <c r="J43" i="104"/>
  <c r="L43" i="104"/>
  <c r="M43" i="104"/>
  <c r="O43" i="104"/>
  <c r="Q43" i="104"/>
  <c r="R43" i="104"/>
  <c r="J44" i="104"/>
  <c r="L44" i="104"/>
  <c r="M44" i="104"/>
  <c r="O44" i="104"/>
  <c r="Q44" i="104"/>
  <c r="R44" i="104"/>
  <c r="J45" i="104"/>
  <c r="L45" i="104"/>
  <c r="M45" i="104"/>
  <c r="O45" i="104"/>
  <c r="Q45" i="104"/>
  <c r="R45" i="104"/>
  <c r="H46" i="104"/>
  <c r="I46" i="104"/>
  <c r="I47" i="104"/>
  <c r="J47" i="104"/>
  <c r="J46" i="104"/>
  <c r="K46" i="104"/>
  <c r="N46" i="104"/>
  <c r="P46" i="104"/>
  <c r="Q46" i="104"/>
  <c r="J48" i="104"/>
  <c r="L48" i="104"/>
  <c r="M48" i="104"/>
  <c r="O48" i="104"/>
  <c r="Q48" i="104"/>
  <c r="R48" i="104"/>
  <c r="J49" i="104"/>
  <c r="L49" i="104"/>
  <c r="M49" i="104"/>
  <c r="O49" i="104"/>
  <c r="Q49" i="104"/>
  <c r="R49" i="104"/>
  <c r="J50" i="104"/>
  <c r="L50" i="104"/>
  <c r="M50" i="104"/>
  <c r="O50" i="104"/>
  <c r="Q50" i="104"/>
  <c r="R50" i="104"/>
  <c r="J51" i="104"/>
  <c r="L51" i="104"/>
  <c r="M51" i="104"/>
  <c r="O51" i="104"/>
  <c r="Q51" i="104"/>
  <c r="R51" i="104"/>
  <c r="J52" i="104"/>
  <c r="L52" i="104"/>
  <c r="M52" i="104"/>
  <c r="O52" i="104"/>
  <c r="Q52" i="104"/>
  <c r="R52" i="104"/>
  <c r="J53" i="104"/>
  <c r="L53" i="104"/>
  <c r="M53" i="104"/>
  <c r="O53" i="104"/>
  <c r="Q53" i="104"/>
  <c r="R53" i="104"/>
  <c r="H54" i="104"/>
  <c r="I54" i="104"/>
  <c r="M54" i="104"/>
  <c r="K54" i="104"/>
  <c r="L54" i="104"/>
  <c r="N54" i="104"/>
  <c r="O54" i="104"/>
  <c r="P54" i="104"/>
  <c r="Q54" i="104"/>
  <c r="J56" i="104"/>
  <c r="L56" i="104"/>
  <c r="M56" i="104"/>
  <c r="O56" i="104"/>
  <c r="Q56" i="104"/>
  <c r="R56" i="104"/>
  <c r="J57" i="104"/>
  <c r="L57" i="104"/>
  <c r="M57" i="104"/>
  <c r="O57" i="104"/>
  <c r="Q57" i="104"/>
  <c r="R57" i="104"/>
  <c r="J59" i="104"/>
  <c r="L59" i="104"/>
  <c r="M59" i="104"/>
  <c r="O59" i="104"/>
  <c r="Q59" i="104"/>
  <c r="R59" i="104"/>
  <c r="K11" i="105"/>
  <c r="N11" i="105"/>
  <c r="K12" i="105"/>
  <c r="N12" i="105"/>
  <c r="K13" i="105"/>
  <c r="N13" i="105"/>
  <c r="N14" i="105"/>
  <c r="H15" i="105"/>
  <c r="H17" i="105"/>
  <c r="N15" i="105"/>
  <c r="K16" i="105"/>
  <c r="N16" i="105"/>
  <c r="B17" i="105"/>
  <c r="C17" i="105"/>
  <c r="D17" i="105"/>
  <c r="E17" i="105"/>
  <c r="F17" i="105"/>
  <c r="G17" i="105"/>
  <c r="I17" i="105"/>
  <c r="J17" i="105"/>
  <c r="L17" i="105"/>
  <c r="N17" i="105"/>
  <c r="M17" i="105"/>
  <c r="K20" i="105"/>
  <c r="N20" i="105"/>
  <c r="K21" i="105"/>
  <c r="N21" i="105"/>
  <c r="K22" i="105"/>
  <c r="N22" i="105"/>
  <c r="K23" i="105"/>
  <c r="N23" i="105"/>
  <c r="N24" i="105"/>
  <c r="K25" i="105"/>
  <c r="N25" i="105"/>
  <c r="B26" i="105"/>
  <c r="B28" i="105"/>
  <c r="C26" i="105"/>
  <c r="C28" i="105"/>
  <c r="D26" i="105"/>
  <c r="D28" i="105"/>
  <c r="E26" i="105"/>
  <c r="E28" i="105"/>
  <c r="F26" i="105"/>
  <c r="F28" i="105"/>
  <c r="G26" i="105"/>
  <c r="G28" i="105"/>
  <c r="H26" i="105"/>
  <c r="I26" i="105"/>
  <c r="J26" i="105"/>
  <c r="L26" i="105"/>
  <c r="M26" i="105"/>
  <c r="L27" i="105"/>
  <c r="L28" i="105"/>
  <c r="H28" i="105"/>
  <c r="H29" i="105"/>
  <c r="H30" i="105"/>
  <c r="I29" i="105"/>
  <c r="J29" i="105"/>
  <c r="L29" i="105"/>
  <c r="M29" i="105"/>
  <c r="B30" i="105"/>
  <c r="C30" i="105"/>
  <c r="D30" i="105"/>
  <c r="E30" i="105"/>
  <c r="F30" i="105"/>
  <c r="G30" i="105"/>
  <c r="K38" i="105"/>
  <c r="N38" i="105"/>
  <c r="N39" i="105"/>
  <c r="K40" i="105"/>
  <c r="N40" i="105"/>
  <c r="K41" i="105"/>
  <c r="N41" i="105"/>
  <c r="B42" i="105"/>
  <c r="B44" i="105"/>
  <c r="B47" i="105"/>
  <c r="B49" i="105"/>
  <c r="C42" i="105"/>
  <c r="C44" i="105"/>
  <c r="C47" i="105"/>
  <c r="C49" i="105"/>
  <c r="D42" i="105"/>
  <c r="E42" i="105"/>
  <c r="E44" i="105"/>
  <c r="E47" i="105"/>
  <c r="E49" i="105"/>
  <c r="F42" i="105"/>
  <c r="F44" i="105"/>
  <c r="F47" i="105"/>
  <c r="F49" i="105"/>
  <c r="G42" i="105"/>
  <c r="G44" i="105"/>
  <c r="G47" i="105"/>
  <c r="G49" i="105"/>
  <c r="H42" i="105"/>
  <c r="H44" i="105"/>
  <c r="H47" i="105"/>
  <c r="H49" i="105"/>
  <c r="I42" i="105"/>
  <c r="J42" i="105"/>
  <c r="L42" i="105"/>
  <c r="M42" i="105"/>
  <c r="M44" i="105"/>
  <c r="M47" i="105"/>
  <c r="M49" i="105"/>
  <c r="K43" i="105"/>
  <c r="L43" i="105"/>
  <c r="N43" i="105"/>
  <c r="D44" i="105"/>
  <c r="D47" i="105"/>
  <c r="D49" i="105"/>
  <c r="I44" i="105"/>
  <c r="I47" i="105"/>
  <c r="I49" i="105"/>
  <c r="K45" i="105"/>
  <c r="N45" i="105"/>
  <c r="K46" i="105"/>
  <c r="N46" i="105"/>
  <c r="K48" i="105"/>
  <c r="N48" i="105"/>
  <c r="L11" i="103"/>
  <c r="L12" i="103"/>
  <c r="L13" i="103"/>
  <c r="L14" i="103"/>
  <c r="L15" i="103"/>
  <c r="L16" i="103"/>
  <c r="L17" i="103"/>
  <c r="L18" i="103"/>
  <c r="L19" i="103"/>
  <c r="H20" i="103"/>
  <c r="I20" i="103"/>
  <c r="J20" i="103"/>
  <c r="K20" i="103"/>
  <c r="L20" i="103"/>
  <c r="L23" i="103"/>
  <c r="L24" i="103"/>
  <c r="L25" i="103"/>
  <c r="L26" i="103"/>
  <c r="L27" i="103"/>
  <c r="L28" i="103"/>
  <c r="L29" i="103"/>
  <c r="L30" i="103"/>
  <c r="H31" i="103"/>
  <c r="H34" i="103"/>
  <c r="I31" i="103"/>
  <c r="J31" i="103"/>
  <c r="K31" i="103"/>
  <c r="L31" i="103"/>
  <c r="K34" i="103"/>
  <c r="L34" i="103"/>
  <c r="L32" i="103"/>
  <c r="L33" i="103"/>
  <c r="I34" i="103"/>
  <c r="J34" i="103"/>
  <c r="S40" i="103"/>
  <c r="X40" i="103"/>
  <c r="P41" i="103"/>
  <c r="R41" i="103"/>
  <c r="S41" i="103"/>
  <c r="U41" i="103"/>
  <c r="W41" i="103"/>
  <c r="X41" i="103"/>
  <c r="H42" i="103"/>
  <c r="H47" i="103"/>
  <c r="I42" i="103"/>
  <c r="I47" i="103"/>
  <c r="I55" i="103"/>
  <c r="I58" i="103"/>
  <c r="J42" i="103"/>
  <c r="K42" i="103"/>
  <c r="L42" i="103"/>
  <c r="M42" i="103"/>
  <c r="N42" i="103"/>
  <c r="N47" i="103"/>
  <c r="N55" i="103"/>
  <c r="O42" i="103"/>
  <c r="P42" i="103"/>
  <c r="Q42" i="103"/>
  <c r="T42" i="103"/>
  <c r="U42" i="103"/>
  <c r="V42" i="103"/>
  <c r="P43" i="103"/>
  <c r="R43" i="103"/>
  <c r="S43" i="103"/>
  <c r="U43" i="103"/>
  <c r="W43" i="103"/>
  <c r="X43" i="103"/>
  <c r="P44" i="103"/>
  <c r="R44" i="103"/>
  <c r="S44" i="103"/>
  <c r="U44" i="103"/>
  <c r="W44" i="103"/>
  <c r="X44" i="103"/>
  <c r="P45" i="103"/>
  <c r="R45" i="103"/>
  <c r="S45" i="103"/>
  <c r="U45" i="103"/>
  <c r="W45" i="103"/>
  <c r="X45" i="103"/>
  <c r="H46" i="103"/>
  <c r="I46" i="103"/>
  <c r="J46" i="103"/>
  <c r="J47" i="103"/>
  <c r="J55" i="103"/>
  <c r="J58" i="103"/>
  <c r="K46" i="103"/>
  <c r="K47" i="103"/>
  <c r="K55" i="103"/>
  <c r="K58" i="103"/>
  <c r="L46" i="103"/>
  <c r="L47" i="103"/>
  <c r="L55" i="103"/>
  <c r="L58" i="103"/>
  <c r="M46" i="103"/>
  <c r="M47" i="103"/>
  <c r="M55" i="103"/>
  <c r="M58" i="103"/>
  <c r="N46" i="103"/>
  <c r="O46" i="103"/>
  <c r="Q46" i="103"/>
  <c r="T46" i="103"/>
  <c r="U46" i="103"/>
  <c r="V46" i="103"/>
  <c r="P48" i="103"/>
  <c r="R48" i="103"/>
  <c r="S48" i="103"/>
  <c r="U48" i="103"/>
  <c r="W48" i="103"/>
  <c r="X48" i="103"/>
  <c r="P49" i="103"/>
  <c r="R49" i="103"/>
  <c r="S49" i="103"/>
  <c r="U49" i="103"/>
  <c r="W49" i="103"/>
  <c r="X49" i="103"/>
  <c r="P50" i="103"/>
  <c r="R50" i="103"/>
  <c r="S50" i="103"/>
  <c r="U50" i="103"/>
  <c r="W50" i="103"/>
  <c r="X50" i="103"/>
  <c r="P51" i="103"/>
  <c r="R51" i="103"/>
  <c r="S51" i="103"/>
  <c r="U51" i="103"/>
  <c r="W51" i="103"/>
  <c r="X51" i="103"/>
  <c r="P52" i="103"/>
  <c r="R52" i="103"/>
  <c r="S52" i="103"/>
  <c r="U52" i="103"/>
  <c r="W52" i="103"/>
  <c r="X52" i="103"/>
  <c r="P53" i="103"/>
  <c r="R53" i="103"/>
  <c r="S53" i="103"/>
  <c r="U53" i="103"/>
  <c r="W53" i="103"/>
  <c r="H54" i="103"/>
  <c r="I54" i="103"/>
  <c r="J54" i="103"/>
  <c r="K54" i="103"/>
  <c r="L54" i="103"/>
  <c r="M54" i="103"/>
  <c r="N54" i="103"/>
  <c r="O54" i="103"/>
  <c r="P54" i="103"/>
  <c r="Q54" i="103"/>
  <c r="T54" i="103"/>
  <c r="U54" i="103"/>
  <c r="V54" i="103"/>
  <c r="P56" i="103"/>
  <c r="R56" i="103"/>
  <c r="S56" i="103"/>
  <c r="U56" i="103"/>
  <c r="W56" i="103"/>
  <c r="X56" i="103"/>
  <c r="P57" i="103"/>
  <c r="R57" i="103"/>
  <c r="S57" i="103"/>
  <c r="U57" i="103"/>
  <c r="W57" i="103"/>
  <c r="X57" i="103"/>
  <c r="P59" i="103"/>
  <c r="R59" i="103"/>
  <c r="S59" i="103"/>
  <c r="U59" i="103"/>
  <c r="W59" i="103"/>
  <c r="X59" i="103"/>
  <c r="L11" i="102"/>
  <c r="L12" i="102"/>
  <c r="L13" i="102"/>
  <c r="L14" i="102"/>
  <c r="H15" i="102"/>
  <c r="L16" i="102"/>
  <c r="B17" i="102"/>
  <c r="C17" i="102"/>
  <c r="D17" i="102"/>
  <c r="E17" i="102"/>
  <c r="F17" i="102"/>
  <c r="G17" i="102"/>
  <c r="H17" i="102"/>
  <c r="I17" i="102"/>
  <c r="J17" i="102"/>
  <c r="L17" i="102"/>
  <c r="K17" i="102"/>
  <c r="L20" i="102"/>
  <c r="L21" i="102"/>
  <c r="L22" i="102"/>
  <c r="L23" i="102"/>
  <c r="L24" i="102"/>
  <c r="L25" i="102"/>
  <c r="B26" i="102"/>
  <c r="C26" i="102"/>
  <c r="D26" i="102"/>
  <c r="E26" i="102"/>
  <c r="F26" i="102"/>
  <c r="G26" i="102"/>
  <c r="H26" i="102"/>
  <c r="I26" i="102"/>
  <c r="J26" i="102"/>
  <c r="K26" i="102"/>
  <c r="L26" i="102"/>
  <c r="L27" i="102"/>
  <c r="B28" i="102"/>
  <c r="C28" i="102"/>
  <c r="D28" i="102"/>
  <c r="E28" i="102"/>
  <c r="F28" i="102"/>
  <c r="G28" i="102"/>
  <c r="H28" i="102"/>
  <c r="I28" i="102"/>
  <c r="J28" i="102"/>
  <c r="K28" i="102"/>
  <c r="L28" i="102"/>
  <c r="H29" i="102"/>
  <c r="I29" i="102"/>
  <c r="I30" i="102"/>
  <c r="J29" i="102"/>
  <c r="J30" i="102"/>
  <c r="K29" i="102"/>
  <c r="B30" i="102"/>
  <c r="C30" i="102"/>
  <c r="D30" i="102"/>
  <c r="E30" i="102"/>
  <c r="F30" i="102"/>
  <c r="G30" i="102"/>
  <c r="H30" i="102"/>
  <c r="K30" i="102"/>
  <c r="L38" i="102"/>
  <c r="M38" i="102"/>
  <c r="Q38" i="102"/>
  <c r="U38" i="102"/>
  <c r="R39" i="102"/>
  <c r="U39" i="102"/>
  <c r="L40" i="102"/>
  <c r="P40" i="102"/>
  <c r="M40" i="102"/>
  <c r="Q40" i="102"/>
  <c r="U40" i="102"/>
  <c r="L41" i="102"/>
  <c r="P41" i="102"/>
  <c r="M41" i="102"/>
  <c r="Q41" i="102"/>
  <c r="U41" i="102"/>
  <c r="B42" i="102"/>
  <c r="B44" i="102"/>
  <c r="B47" i="102"/>
  <c r="B49" i="102"/>
  <c r="C42" i="102"/>
  <c r="C44" i="102"/>
  <c r="C47" i="102"/>
  <c r="C49" i="102"/>
  <c r="D42" i="102"/>
  <c r="E42" i="102"/>
  <c r="E44" i="102"/>
  <c r="E47" i="102"/>
  <c r="E49" i="102"/>
  <c r="F42" i="102"/>
  <c r="F44" i="102"/>
  <c r="F47" i="102"/>
  <c r="F49" i="102"/>
  <c r="G42" i="102"/>
  <c r="G44" i="102"/>
  <c r="G47" i="102"/>
  <c r="G49" i="102"/>
  <c r="H42" i="102"/>
  <c r="H44" i="102"/>
  <c r="H47" i="102"/>
  <c r="H49" i="102"/>
  <c r="I42" i="102"/>
  <c r="I44" i="102"/>
  <c r="I47" i="102"/>
  <c r="I49" i="102"/>
  <c r="J42" i="102"/>
  <c r="J44" i="102"/>
  <c r="J47" i="102"/>
  <c r="J49" i="102"/>
  <c r="K42" i="102"/>
  <c r="N42" i="102"/>
  <c r="N44" i="102"/>
  <c r="N47" i="102"/>
  <c r="N49" i="102"/>
  <c r="O42" i="102"/>
  <c r="O44" i="102"/>
  <c r="O47" i="102"/>
  <c r="O49" i="102"/>
  <c r="S42" i="102"/>
  <c r="U42" i="102"/>
  <c r="T42" i="102"/>
  <c r="K43" i="102"/>
  <c r="L43" i="102"/>
  <c r="P43" i="102"/>
  <c r="U43" i="102"/>
  <c r="D44" i="102"/>
  <c r="D47" i="102"/>
  <c r="D49" i="102"/>
  <c r="L45" i="102"/>
  <c r="P45" i="102"/>
  <c r="R45" i="102"/>
  <c r="M45" i="102"/>
  <c r="Q45" i="102"/>
  <c r="U45" i="102"/>
  <c r="L46" i="102"/>
  <c r="M46" i="102"/>
  <c r="Q46" i="102"/>
  <c r="P46" i="102"/>
  <c r="U46" i="102"/>
  <c r="L48" i="102"/>
  <c r="P48" i="102"/>
  <c r="M48" i="102"/>
  <c r="Q48" i="102"/>
  <c r="U48" i="102"/>
  <c r="L11" i="101"/>
  <c r="L12" i="101"/>
  <c r="L13" i="101"/>
  <c r="L14" i="101"/>
  <c r="L15" i="101"/>
  <c r="L16" i="101"/>
  <c r="L17" i="101"/>
  <c r="L18" i="101"/>
  <c r="L19" i="101"/>
  <c r="H20" i="101"/>
  <c r="I20" i="101"/>
  <c r="J20" i="101"/>
  <c r="K20" i="101"/>
  <c r="L20" i="101"/>
  <c r="L23" i="101"/>
  <c r="L24" i="101"/>
  <c r="L25" i="101"/>
  <c r="L26" i="101"/>
  <c r="L27" i="101"/>
  <c r="L28" i="101"/>
  <c r="L29" i="101"/>
  <c r="L30" i="101"/>
  <c r="H31" i="101"/>
  <c r="H34" i="101"/>
  <c r="I31" i="101"/>
  <c r="I34" i="101"/>
  <c r="J31" i="101"/>
  <c r="K31" i="101"/>
  <c r="K34" i="101"/>
  <c r="L32" i="101"/>
  <c r="L33" i="101"/>
  <c r="R40" i="101"/>
  <c r="W40" i="101"/>
  <c r="O41" i="101"/>
  <c r="Q41" i="101"/>
  <c r="R41" i="101"/>
  <c r="T41" i="101"/>
  <c r="V41" i="101"/>
  <c r="W41" i="101"/>
  <c r="H42" i="101"/>
  <c r="H47" i="101"/>
  <c r="I42" i="101"/>
  <c r="J42" i="101"/>
  <c r="K42" i="101"/>
  <c r="K47" i="101"/>
  <c r="K55" i="101"/>
  <c r="K58" i="101"/>
  <c r="L42" i="101"/>
  <c r="L47" i="101"/>
  <c r="M42" i="101"/>
  <c r="M47" i="101"/>
  <c r="M55" i="101"/>
  <c r="M58" i="101"/>
  <c r="N42" i="101"/>
  <c r="P42" i="101"/>
  <c r="Q42" i="101"/>
  <c r="S42" i="101"/>
  <c r="T42" i="101"/>
  <c r="U42" i="101"/>
  <c r="V42" i="101"/>
  <c r="O43" i="101"/>
  <c r="Q43" i="101"/>
  <c r="R43" i="101"/>
  <c r="T43" i="101"/>
  <c r="V43" i="101"/>
  <c r="W43" i="101"/>
  <c r="O44" i="101"/>
  <c r="Q44" i="101"/>
  <c r="R44" i="101"/>
  <c r="T44" i="101"/>
  <c r="V44" i="101"/>
  <c r="W44" i="101"/>
  <c r="O45" i="101"/>
  <c r="Q45" i="101"/>
  <c r="R45" i="101"/>
  <c r="T45" i="101"/>
  <c r="V45" i="101"/>
  <c r="W45" i="101"/>
  <c r="H46" i="101"/>
  <c r="I46" i="101"/>
  <c r="I47" i="101"/>
  <c r="J46" i="101"/>
  <c r="K46" i="101"/>
  <c r="L46" i="101"/>
  <c r="M46" i="101"/>
  <c r="N46" i="101"/>
  <c r="P46" i="101"/>
  <c r="Q46" i="101"/>
  <c r="S46" i="101"/>
  <c r="W46" i="101"/>
  <c r="U46" i="101"/>
  <c r="V46" i="101"/>
  <c r="O48" i="101"/>
  <c r="Q48" i="101"/>
  <c r="R48" i="101"/>
  <c r="T48" i="101"/>
  <c r="V48" i="101"/>
  <c r="W48" i="101"/>
  <c r="O49" i="101"/>
  <c r="Q49" i="101"/>
  <c r="R49" i="101"/>
  <c r="T49" i="101"/>
  <c r="V49" i="101"/>
  <c r="W49" i="101"/>
  <c r="O50" i="101"/>
  <c r="Q50" i="101"/>
  <c r="R50" i="101"/>
  <c r="T50" i="101"/>
  <c r="V50" i="101"/>
  <c r="W50" i="101"/>
  <c r="O51" i="101"/>
  <c r="Q51" i="101"/>
  <c r="R51" i="101"/>
  <c r="T51" i="101"/>
  <c r="V51" i="101"/>
  <c r="W51" i="101"/>
  <c r="O52" i="101"/>
  <c r="Q52" i="101"/>
  <c r="R52" i="101"/>
  <c r="T52" i="101"/>
  <c r="V52" i="101"/>
  <c r="W52" i="101"/>
  <c r="O53" i="101"/>
  <c r="Q53" i="101"/>
  <c r="R53" i="101"/>
  <c r="T53" i="101"/>
  <c r="V53" i="101"/>
  <c r="H54" i="101"/>
  <c r="I54" i="101"/>
  <c r="I55" i="101"/>
  <c r="I58" i="101"/>
  <c r="J54" i="101"/>
  <c r="K54" i="101"/>
  <c r="L54" i="101"/>
  <c r="M54" i="101"/>
  <c r="N54" i="101"/>
  <c r="O54" i="101"/>
  <c r="P54" i="101"/>
  <c r="R54" i="101"/>
  <c r="S54" i="101"/>
  <c r="T54" i="101"/>
  <c r="U54" i="101"/>
  <c r="O56" i="101"/>
  <c r="Q56" i="101"/>
  <c r="R56" i="101"/>
  <c r="T56" i="101"/>
  <c r="V56" i="101"/>
  <c r="W56" i="101"/>
  <c r="O57" i="101"/>
  <c r="Q57" i="101"/>
  <c r="R57" i="101"/>
  <c r="T57" i="101"/>
  <c r="V57" i="101"/>
  <c r="W57" i="101"/>
  <c r="O58" i="101"/>
  <c r="O59" i="101"/>
  <c r="Q59" i="101"/>
  <c r="R59" i="101"/>
  <c r="T59" i="101"/>
  <c r="V59" i="101"/>
  <c r="W59" i="101"/>
  <c r="L11" i="98"/>
  <c r="L12" i="98"/>
  <c r="L13" i="98"/>
  <c r="L14" i="98"/>
  <c r="H15" i="98"/>
  <c r="H17" i="98"/>
  <c r="L15" i="98"/>
  <c r="L16" i="98"/>
  <c r="B17" i="98"/>
  <c r="C17" i="98"/>
  <c r="D17" i="98"/>
  <c r="E17" i="98"/>
  <c r="F17" i="98"/>
  <c r="G17" i="98"/>
  <c r="I17" i="98"/>
  <c r="J17" i="98"/>
  <c r="K17" i="98"/>
  <c r="L17" i="98"/>
  <c r="L20" i="98"/>
  <c r="L21" i="98"/>
  <c r="L22" i="98"/>
  <c r="L23" i="98"/>
  <c r="L24" i="98"/>
  <c r="L25" i="98"/>
  <c r="B26" i="98"/>
  <c r="B28" i="98"/>
  <c r="C26" i="98"/>
  <c r="C28" i="98"/>
  <c r="D26" i="98"/>
  <c r="D28" i="98"/>
  <c r="E26" i="98"/>
  <c r="E28" i="98"/>
  <c r="F26" i="98"/>
  <c r="F28" i="98"/>
  <c r="G26" i="98"/>
  <c r="G28" i="98"/>
  <c r="H26" i="98"/>
  <c r="H28" i="98"/>
  <c r="I26" i="98"/>
  <c r="I28" i="98"/>
  <c r="J26" i="98"/>
  <c r="J28" i="98"/>
  <c r="K26" i="98"/>
  <c r="L27" i="98"/>
  <c r="H29" i="98"/>
  <c r="H30" i="98"/>
  <c r="I29" i="98"/>
  <c r="I30" i="98"/>
  <c r="J29" i="98"/>
  <c r="K29" i="98"/>
  <c r="B30" i="98"/>
  <c r="C30" i="98"/>
  <c r="D30" i="98"/>
  <c r="E30" i="98"/>
  <c r="F30" i="98"/>
  <c r="G30" i="98"/>
  <c r="J30" i="98"/>
  <c r="K30" i="98"/>
  <c r="L38" i="98"/>
  <c r="N38" i="98"/>
  <c r="P38" i="98"/>
  <c r="M38" i="98"/>
  <c r="O38" i="98"/>
  <c r="S38" i="98"/>
  <c r="N39" i="98"/>
  <c r="P39" i="98"/>
  <c r="O39" i="98"/>
  <c r="S39" i="98"/>
  <c r="L40" i="98"/>
  <c r="M40" i="98"/>
  <c r="O40" i="98"/>
  <c r="S40" i="98"/>
  <c r="L41" i="98"/>
  <c r="N41" i="98"/>
  <c r="M41" i="98"/>
  <c r="O41" i="98"/>
  <c r="S41" i="98"/>
  <c r="B42" i="98"/>
  <c r="B44" i="98"/>
  <c r="B47" i="98"/>
  <c r="B49" i="98"/>
  <c r="C42" i="98"/>
  <c r="C44" i="98"/>
  <c r="C47" i="98"/>
  <c r="C49" i="98"/>
  <c r="D42" i="98"/>
  <c r="D44" i="98"/>
  <c r="D47" i="98"/>
  <c r="D49" i="98"/>
  <c r="E42" i="98"/>
  <c r="E44" i="98"/>
  <c r="E47" i="98"/>
  <c r="E49" i="98"/>
  <c r="F42" i="98"/>
  <c r="F44" i="98"/>
  <c r="F47" i="98"/>
  <c r="F49" i="98"/>
  <c r="G42" i="98"/>
  <c r="G44" i="98"/>
  <c r="G47" i="98"/>
  <c r="G49" i="98"/>
  <c r="H42" i="98"/>
  <c r="H44" i="98"/>
  <c r="H47" i="98"/>
  <c r="H49" i="98"/>
  <c r="I42" i="98"/>
  <c r="I44" i="98"/>
  <c r="I47" i="98"/>
  <c r="I49" i="98"/>
  <c r="J42" i="98"/>
  <c r="J44" i="98"/>
  <c r="J47" i="98"/>
  <c r="J49" i="98"/>
  <c r="K42" i="98"/>
  <c r="Q42" i="98"/>
  <c r="Q44" i="98"/>
  <c r="R42" i="98"/>
  <c r="K43" i="98"/>
  <c r="M43" i="98"/>
  <c r="L43" i="98"/>
  <c r="N43" i="98"/>
  <c r="S43" i="98"/>
  <c r="L45" i="98"/>
  <c r="M45" i="98"/>
  <c r="O45" i="98"/>
  <c r="N45" i="98"/>
  <c r="S45" i="98"/>
  <c r="L46" i="98"/>
  <c r="N46" i="98"/>
  <c r="M46" i="98"/>
  <c r="O46" i="98"/>
  <c r="S46" i="98"/>
  <c r="L48" i="98"/>
  <c r="N48" i="98"/>
  <c r="M48" i="98"/>
  <c r="O48" i="98"/>
  <c r="S48" i="98"/>
  <c r="L11" i="99"/>
  <c r="L12" i="99"/>
  <c r="L13" i="99"/>
  <c r="L14" i="99"/>
  <c r="L15" i="99"/>
  <c r="L16" i="99"/>
  <c r="L17" i="99"/>
  <c r="L18" i="99"/>
  <c r="L19" i="99"/>
  <c r="H20" i="99"/>
  <c r="I20" i="99"/>
  <c r="J20" i="99"/>
  <c r="K20" i="99"/>
  <c r="L23" i="99"/>
  <c r="L24" i="99"/>
  <c r="L25" i="99"/>
  <c r="L26" i="99"/>
  <c r="L27" i="99"/>
  <c r="L28" i="99"/>
  <c r="L29" i="99"/>
  <c r="L30" i="99"/>
  <c r="H31" i="99"/>
  <c r="H34" i="99"/>
  <c r="I31" i="99"/>
  <c r="I34" i="99"/>
  <c r="J31" i="99"/>
  <c r="J34" i="99"/>
  <c r="K31" i="99"/>
  <c r="L31" i="99"/>
  <c r="L32" i="99"/>
  <c r="L33" i="99"/>
  <c r="K34" i="99"/>
  <c r="P40" i="99"/>
  <c r="U40" i="99"/>
  <c r="M41" i="99"/>
  <c r="O41" i="99"/>
  <c r="P41" i="99"/>
  <c r="R41" i="99"/>
  <c r="T41" i="99"/>
  <c r="U41" i="99"/>
  <c r="H42" i="99"/>
  <c r="H47" i="99"/>
  <c r="H55" i="99"/>
  <c r="H58" i="99"/>
  <c r="I42" i="99"/>
  <c r="J42" i="99"/>
  <c r="J47" i="99"/>
  <c r="J55" i="99"/>
  <c r="J58" i="99"/>
  <c r="K42" i="99"/>
  <c r="L42" i="99"/>
  <c r="N42" i="99"/>
  <c r="Q42" i="99"/>
  <c r="R42" i="99"/>
  <c r="S42" i="99"/>
  <c r="T42" i="99"/>
  <c r="U42" i="99"/>
  <c r="M43" i="99"/>
  <c r="O43" i="99"/>
  <c r="P43" i="99"/>
  <c r="R43" i="99"/>
  <c r="T43" i="99"/>
  <c r="U43" i="99"/>
  <c r="M44" i="99"/>
  <c r="O44" i="99"/>
  <c r="P44" i="99"/>
  <c r="R44" i="99"/>
  <c r="T44" i="99"/>
  <c r="U44" i="99"/>
  <c r="M45" i="99"/>
  <c r="O45" i="99"/>
  <c r="P45" i="99"/>
  <c r="R45" i="99"/>
  <c r="T45" i="99"/>
  <c r="U45" i="99"/>
  <c r="H46" i="99"/>
  <c r="I46" i="99"/>
  <c r="J46" i="99"/>
  <c r="K46" i="99"/>
  <c r="L46" i="99"/>
  <c r="M46" i="99"/>
  <c r="N46" i="99"/>
  <c r="O46" i="99"/>
  <c r="Q46" i="99"/>
  <c r="Q47" i="99"/>
  <c r="R47" i="99"/>
  <c r="S46" i="99"/>
  <c r="S47" i="99"/>
  <c r="M48" i="99"/>
  <c r="O48" i="99"/>
  <c r="P48" i="99"/>
  <c r="R48" i="99"/>
  <c r="T48" i="99"/>
  <c r="U48" i="99"/>
  <c r="M49" i="99"/>
  <c r="O49" i="99"/>
  <c r="P49" i="99"/>
  <c r="R49" i="99"/>
  <c r="T49" i="99"/>
  <c r="U49" i="99"/>
  <c r="M50" i="99"/>
  <c r="O50" i="99"/>
  <c r="P50" i="99"/>
  <c r="R50" i="99"/>
  <c r="T50" i="99"/>
  <c r="U50" i="99"/>
  <c r="M51" i="99"/>
  <c r="O51" i="99"/>
  <c r="P51" i="99"/>
  <c r="R51" i="99"/>
  <c r="T51" i="99"/>
  <c r="U51" i="99"/>
  <c r="M52" i="99"/>
  <c r="O52" i="99"/>
  <c r="P52" i="99"/>
  <c r="R52" i="99"/>
  <c r="T52" i="99"/>
  <c r="U52" i="99"/>
  <c r="M53" i="99"/>
  <c r="O53" i="99"/>
  <c r="P53" i="99"/>
  <c r="R53" i="99"/>
  <c r="T53" i="99"/>
  <c r="U53" i="99"/>
  <c r="H54" i="99"/>
  <c r="I54" i="99"/>
  <c r="J54" i="99"/>
  <c r="K54" i="99"/>
  <c r="L54" i="99"/>
  <c r="M54" i="99"/>
  <c r="N54" i="99"/>
  <c r="Q54" i="99"/>
  <c r="R54" i="99"/>
  <c r="S54" i="99"/>
  <c r="T54" i="99"/>
  <c r="M56" i="99"/>
  <c r="O56" i="99"/>
  <c r="P56" i="99"/>
  <c r="R56" i="99"/>
  <c r="T56" i="99"/>
  <c r="U56" i="99"/>
  <c r="M57" i="99"/>
  <c r="O57" i="99"/>
  <c r="P57" i="99"/>
  <c r="R57" i="99"/>
  <c r="T57" i="99"/>
  <c r="U57" i="99"/>
  <c r="M59" i="99"/>
  <c r="O59" i="99"/>
  <c r="P59" i="99"/>
  <c r="R59" i="99"/>
  <c r="T59" i="99"/>
  <c r="U59" i="99"/>
  <c r="L11" i="100"/>
  <c r="L12" i="100"/>
  <c r="L13" i="100"/>
  <c r="L14" i="100"/>
  <c r="H15" i="100"/>
  <c r="H17" i="100"/>
  <c r="L15" i="100"/>
  <c r="L16" i="100"/>
  <c r="B17" i="100"/>
  <c r="C17" i="100"/>
  <c r="D17" i="100"/>
  <c r="E17" i="100"/>
  <c r="F17" i="100"/>
  <c r="G17" i="100"/>
  <c r="I17" i="100"/>
  <c r="J17" i="100"/>
  <c r="K17" i="100"/>
  <c r="L20" i="100"/>
  <c r="L21" i="100"/>
  <c r="L22" i="100"/>
  <c r="L23" i="100"/>
  <c r="L24" i="100"/>
  <c r="L25" i="100"/>
  <c r="B26" i="100"/>
  <c r="C26" i="100"/>
  <c r="D26" i="100"/>
  <c r="E26" i="100"/>
  <c r="F26" i="100"/>
  <c r="G26" i="100"/>
  <c r="H26" i="100"/>
  <c r="I26" i="100"/>
  <c r="J26" i="100"/>
  <c r="L26" i="100"/>
  <c r="K26" i="100"/>
  <c r="L27" i="100"/>
  <c r="B28" i="100"/>
  <c r="C28" i="100"/>
  <c r="D28" i="100"/>
  <c r="E28" i="100"/>
  <c r="F28" i="100"/>
  <c r="G28" i="100"/>
  <c r="H28" i="100"/>
  <c r="I28" i="100"/>
  <c r="J28" i="100"/>
  <c r="L28" i="100"/>
  <c r="K28" i="100"/>
  <c r="H29" i="100"/>
  <c r="I29" i="100"/>
  <c r="J29" i="100"/>
  <c r="J30" i="100"/>
  <c r="K29" i="100"/>
  <c r="K30" i="100"/>
  <c r="B30" i="100"/>
  <c r="C30" i="100"/>
  <c r="D30" i="100"/>
  <c r="E30" i="100"/>
  <c r="F30" i="100"/>
  <c r="G30" i="100"/>
  <c r="H30" i="100"/>
  <c r="I30" i="100"/>
  <c r="L38" i="100"/>
  <c r="N38" i="100"/>
  <c r="M38" i="100"/>
  <c r="O38" i="100"/>
  <c r="P38" i="100"/>
  <c r="N39" i="100"/>
  <c r="Q39" i="100"/>
  <c r="L40" i="100"/>
  <c r="M40" i="100"/>
  <c r="O40" i="100"/>
  <c r="P40" i="100"/>
  <c r="L41" i="100"/>
  <c r="N41" i="100"/>
  <c r="M41" i="100"/>
  <c r="O41" i="100"/>
  <c r="P41" i="100"/>
  <c r="B42" i="100"/>
  <c r="B44" i="100"/>
  <c r="B47" i="100"/>
  <c r="B49" i="100"/>
  <c r="C42" i="100"/>
  <c r="C44" i="100"/>
  <c r="C47" i="100"/>
  <c r="C49" i="100"/>
  <c r="D42" i="100"/>
  <c r="E42" i="100"/>
  <c r="F42" i="100"/>
  <c r="F44" i="100"/>
  <c r="F47" i="100"/>
  <c r="F49" i="100"/>
  <c r="G42" i="100"/>
  <c r="G44" i="100"/>
  <c r="G47" i="100"/>
  <c r="G49" i="100"/>
  <c r="H42" i="100"/>
  <c r="H44" i="100"/>
  <c r="H47" i="100"/>
  <c r="H49" i="100"/>
  <c r="I42" i="100"/>
  <c r="J42" i="100"/>
  <c r="J44" i="100"/>
  <c r="J47" i="100"/>
  <c r="J49" i="100"/>
  <c r="K42" i="100"/>
  <c r="K44" i="100"/>
  <c r="K47" i="100"/>
  <c r="K49" i="100"/>
  <c r="O42" i="100"/>
  <c r="K43" i="100"/>
  <c r="M43" i="100"/>
  <c r="N43" i="100"/>
  <c r="L43" i="100"/>
  <c r="P43" i="100"/>
  <c r="Q43" i="100"/>
  <c r="D44" i="100"/>
  <c r="D47" i="100"/>
  <c r="D49" i="100"/>
  <c r="E44" i="100"/>
  <c r="E47" i="100"/>
  <c r="E49" i="100"/>
  <c r="I44" i="100"/>
  <c r="I47" i="100"/>
  <c r="I49" i="100"/>
  <c r="L45" i="100"/>
  <c r="M45" i="100"/>
  <c r="N45" i="100"/>
  <c r="O45" i="100"/>
  <c r="P45" i="100"/>
  <c r="Q45" i="100"/>
  <c r="L46" i="100"/>
  <c r="N46" i="100"/>
  <c r="M46" i="100"/>
  <c r="O46" i="100"/>
  <c r="Q46" i="100"/>
  <c r="P46" i="100"/>
  <c r="L48" i="100"/>
  <c r="M48" i="100"/>
  <c r="O48" i="100"/>
  <c r="P48" i="100"/>
  <c r="J11" i="97"/>
  <c r="M11" i="97"/>
  <c r="J12" i="97"/>
  <c r="M12" i="97"/>
  <c r="J13" i="97"/>
  <c r="M13" i="97"/>
  <c r="J14" i="97"/>
  <c r="M14" i="97"/>
  <c r="J15" i="97"/>
  <c r="M15" i="97"/>
  <c r="J16" i="97"/>
  <c r="M16" i="97"/>
  <c r="J17" i="97"/>
  <c r="M17" i="97"/>
  <c r="J18" i="97"/>
  <c r="M18" i="97"/>
  <c r="J19" i="97"/>
  <c r="M19" i="97"/>
  <c r="H20" i="97"/>
  <c r="I20" i="97"/>
  <c r="J20" i="97"/>
  <c r="K20" i="97"/>
  <c r="L20" i="97"/>
  <c r="M20" i="97"/>
  <c r="J23" i="97"/>
  <c r="M23" i="97"/>
  <c r="J24" i="97"/>
  <c r="M24" i="97"/>
  <c r="J25" i="97"/>
  <c r="M25" i="97"/>
  <c r="J26" i="97"/>
  <c r="M26" i="97"/>
  <c r="J27" i="97"/>
  <c r="M27" i="97"/>
  <c r="J28" i="97"/>
  <c r="M28" i="97"/>
  <c r="J29" i="97"/>
  <c r="M29" i="97"/>
  <c r="J30" i="97"/>
  <c r="M30" i="97"/>
  <c r="H31" i="97"/>
  <c r="H34" i="97"/>
  <c r="I31" i="97"/>
  <c r="K31" i="97"/>
  <c r="L31" i="97"/>
  <c r="L34" i="97"/>
  <c r="J32" i="97"/>
  <c r="M32" i="97"/>
  <c r="J33" i="97"/>
  <c r="M33" i="97"/>
  <c r="L40" i="97"/>
  <c r="Q40" i="97"/>
  <c r="I41" i="97"/>
  <c r="K41" i="97"/>
  <c r="L41" i="97"/>
  <c r="N41" i="97"/>
  <c r="P41" i="97"/>
  <c r="Q41" i="97"/>
  <c r="H42" i="97"/>
  <c r="J42" i="97"/>
  <c r="M42" i="97"/>
  <c r="Q42" i="97"/>
  <c r="O42" i="97"/>
  <c r="P42" i="97"/>
  <c r="I43" i="97"/>
  <c r="K43" i="97"/>
  <c r="L43" i="97"/>
  <c r="N43" i="97"/>
  <c r="P43" i="97"/>
  <c r="Q43" i="97"/>
  <c r="I44" i="97"/>
  <c r="K44" i="97"/>
  <c r="L44" i="97"/>
  <c r="N44" i="97"/>
  <c r="P44" i="97"/>
  <c r="Q44" i="97"/>
  <c r="I45" i="97"/>
  <c r="K45" i="97"/>
  <c r="L45" i="97"/>
  <c r="N45" i="97"/>
  <c r="P45" i="97"/>
  <c r="Q45" i="97"/>
  <c r="H46" i="97"/>
  <c r="I46" i="97"/>
  <c r="J46" i="97"/>
  <c r="K46" i="97"/>
  <c r="M46" i="97"/>
  <c r="O46" i="97"/>
  <c r="O47" i="97"/>
  <c r="P47" i="97"/>
  <c r="P46" i="97"/>
  <c r="I48" i="97"/>
  <c r="K48" i="97"/>
  <c r="L48" i="97"/>
  <c r="N48" i="97"/>
  <c r="P48" i="97"/>
  <c r="Q48" i="97"/>
  <c r="I49" i="97"/>
  <c r="K49" i="97"/>
  <c r="L49" i="97"/>
  <c r="N49" i="97"/>
  <c r="P49" i="97"/>
  <c r="Q49" i="97"/>
  <c r="I50" i="97"/>
  <c r="K50" i="97"/>
  <c r="L50" i="97"/>
  <c r="N50" i="97"/>
  <c r="P50" i="97"/>
  <c r="Q50" i="97"/>
  <c r="I51" i="97"/>
  <c r="K51" i="97"/>
  <c r="L51" i="97"/>
  <c r="N51" i="97"/>
  <c r="P51" i="97"/>
  <c r="Q51" i="97"/>
  <c r="I52" i="97"/>
  <c r="K52" i="97"/>
  <c r="L52" i="97"/>
  <c r="N52" i="97"/>
  <c r="P52" i="97"/>
  <c r="Q52" i="97"/>
  <c r="I53" i="97"/>
  <c r="K53" i="97"/>
  <c r="L53" i="97"/>
  <c r="N53" i="97"/>
  <c r="P53" i="97"/>
  <c r="Q53" i="97"/>
  <c r="H54" i="97"/>
  <c r="I54" i="97"/>
  <c r="J54" i="97"/>
  <c r="K54" i="97"/>
  <c r="L54" i="97"/>
  <c r="M54" i="97"/>
  <c r="Q54" i="97"/>
  <c r="O54" i="97"/>
  <c r="P54" i="97"/>
  <c r="I56" i="97"/>
  <c r="K56" i="97"/>
  <c r="L56" i="97"/>
  <c r="N56" i="97"/>
  <c r="P56" i="97"/>
  <c r="Q56" i="97"/>
  <c r="I57" i="97"/>
  <c r="K57" i="97"/>
  <c r="L57" i="97"/>
  <c r="N57" i="97"/>
  <c r="P57" i="97"/>
  <c r="Q57" i="97"/>
  <c r="I59" i="97"/>
  <c r="K59" i="97"/>
  <c r="L59" i="97"/>
  <c r="N59" i="97"/>
  <c r="P59" i="97"/>
  <c r="Q59" i="97"/>
  <c r="J11" i="96"/>
  <c r="M11" i="96"/>
  <c r="J12" i="96"/>
  <c r="M12" i="96"/>
  <c r="J13" i="96"/>
  <c r="M13" i="96"/>
  <c r="J14" i="96"/>
  <c r="M14" i="96"/>
  <c r="H15" i="96"/>
  <c r="J15" i="96"/>
  <c r="H17" i="96"/>
  <c r="J17" i="96"/>
  <c r="M15" i="96"/>
  <c r="J16" i="96"/>
  <c r="M16" i="96"/>
  <c r="B17" i="96"/>
  <c r="C17" i="96"/>
  <c r="D17" i="96"/>
  <c r="E17" i="96"/>
  <c r="F17" i="96"/>
  <c r="G17" i="96"/>
  <c r="I17" i="96"/>
  <c r="K17" i="96"/>
  <c r="L17" i="96"/>
  <c r="J20" i="96"/>
  <c r="M20" i="96"/>
  <c r="J21" i="96"/>
  <c r="M21" i="96"/>
  <c r="J22" i="96"/>
  <c r="M22" i="96"/>
  <c r="J23" i="96"/>
  <c r="M23" i="96"/>
  <c r="J24" i="96"/>
  <c r="M24" i="96"/>
  <c r="J25" i="96"/>
  <c r="M25" i="96"/>
  <c r="B26" i="96"/>
  <c r="B28" i="96"/>
  <c r="C26" i="96"/>
  <c r="C28" i="96"/>
  <c r="D26" i="96"/>
  <c r="E26" i="96"/>
  <c r="E28" i="96"/>
  <c r="F26" i="96"/>
  <c r="F28" i="96"/>
  <c r="G26" i="96"/>
  <c r="G28" i="96"/>
  <c r="H26" i="96"/>
  <c r="I26" i="96"/>
  <c r="I28" i="96"/>
  <c r="K26" i="96"/>
  <c r="K28" i="96"/>
  <c r="M28" i="96"/>
  <c r="L26" i="96"/>
  <c r="L28" i="96"/>
  <c r="M26" i="96"/>
  <c r="J27" i="96"/>
  <c r="M27" i="96"/>
  <c r="D28" i="96"/>
  <c r="H29" i="96"/>
  <c r="H30" i="96"/>
  <c r="I29" i="96"/>
  <c r="I30" i="96"/>
  <c r="K29" i="96"/>
  <c r="K30" i="96"/>
  <c r="L29" i="96"/>
  <c r="L30" i="96"/>
  <c r="B30" i="96"/>
  <c r="C30" i="96"/>
  <c r="D30" i="96"/>
  <c r="E30" i="96"/>
  <c r="F30" i="96"/>
  <c r="G30" i="96"/>
  <c r="J38" i="96"/>
  <c r="M38" i="96"/>
  <c r="J39" i="96"/>
  <c r="M39" i="96"/>
  <c r="J40" i="96"/>
  <c r="M40" i="96"/>
  <c r="J41" i="96"/>
  <c r="M41" i="96"/>
  <c r="B42" i="96"/>
  <c r="C42" i="96"/>
  <c r="C44" i="96"/>
  <c r="C47" i="96"/>
  <c r="D42" i="96"/>
  <c r="D44" i="96"/>
  <c r="D47" i="96"/>
  <c r="D49" i="96"/>
  <c r="E42" i="96"/>
  <c r="E44" i="96"/>
  <c r="E47" i="96"/>
  <c r="E49" i="96"/>
  <c r="F42" i="96"/>
  <c r="G42" i="96"/>
  <c r="G44" i="96"/>
  <c r="G47" i="96"/>
  <c r="G49" i="96"/>
  <c r="H42" i="96"/>
  <c r="H44" i="96"/>
  <c r="I42" i="96"/>
  <c r="I44" i="96"/>
  <c r="I47" i="96"/>
  <c r="I49" i="96"/>
  <c r="K42" i="96"/>
  <c r="M42" i="96"/>
  <c r="L42" i="96"/>
  <c r="L44" i="96"/>
  <c r="J43" i="96"/>
  <c r="L43" i="96"/>
  <c r="M43" i="96"/>
  <c r="B44" i="96"/>
  <c r="B47" i="96"/>
  <c r="B49" i="96"/>
  <c r="C49" i="96"/>
  <c r="F44" i="96"/>
  <c r="F47" i="96"/>
  <c r="F49" i="96"/>
  <c r="K44" i="96"/>
  <c r="J45" i="96"/>
  <c r="M45" i="96"/>
  <c r="J46" i="96"/>
  <c r="M46" i="96"/>
  <c r="J48" i="96"/>
  <c r="M48" i="96"/>
  <c r="L11" i="95"/>
  <c r="L12" i="95"/>
  <c r="L13" i="95"/>
  <c r="L14" i="95"/>
  <c r="L15" i="95"/>
  <c r="L16" i="95"/>
  <c r="L17" i="95"/>
  <c r="L18" i="95"/>
  <c r="L19" i="95"/>
  <c r="H20" i="95"/>
  <c r="L20" i="95"/>
  <c r="I20" i="95"/>
  <c r="L23" i="95"/>
  <c r="L24" i="95"/>
  <c r="L25" i="95"/>
  <c r="L26" i="95"/>
  <c r="L27" i="95"/>
  <c r="L28" i="95"/>
  <c r="L29" i="95"/>
  <c r="L30" i="95"/>
  <c r="H31" i="95"/>
  <c r="I31" i="95"/>
  <c r="L32" i="95"/>
  <c r="L33" i="95"/>
  <c r="H34" i="95"/>
  <c r="N40" i="95"/>
  <c r="I41" i="95"/>
  <c r="M41" i="95"/>
  <c r="N41" i="95"/>
  <c r="H42" i="95"/>
  <c r="I42" i="95"/>
  <c r="L42" i="95"/>
  <c r="I43" i="95"/>
  <c r="M43" i="95"/>
  <c r="N43" i="95"/>
  <c r="I44" i="95"/>
  <c r="M44" i="95"/>
  <c r="N44" i="95"/>
  <c r="I45" i="95"/>
  <c r="M45" i="95"/>
  <c r="N45" i="95"/>
  <c r="H46" i="95"/>
  <c r="I46" i="95"/>
  <c r="L46" i="95"/>
  <c r="M46" i="95"/>
  <c r="N46" i="95"/>
  <c r="I48" i="95"/>
  <c r="M48" i="95"/>
  <c r="N48" i="95"/>
  <c r="I49" i="95"/>
  <c r="M49" i="95"/>
  <c r="N49" i="95"/>
  <c r="I50" i="95"/>
  <c r="M50" i="95"/>
  <c r="N50" i="95"/>
  <c r="I51" i="95"/>
  <c r="M51" i="95"/>
  <c r="N51" i="95"/>
  <c r="I52" i="95"/>
  <c r="M52" i="95"/>
  <c r="N52" i="95"/>
  <c r="I53" i="95"/>
  <c r="M53" i="95"/>
  <c r="N53" i="95"/>
  <c r="H54" i="95"/>
  <c r="I54" i="95"/>
  <c r="L54" i="95"/>
  <c r="M54" i="95"/>
  <c r="N54" i="95"/>
  <c r="I56" i="95"/>
  <c r="M56" i="95"/>
  <c r="N56" i="95"/>
  <c r="I57" i="95"/>
  <c r="M57" i="95"/>
  <c r="N57" i="95"/>
  <c r="I59" i="95"/>
  <c r="M59" i="95"/>
  <c r="N59" i="95"/>
  <c r="L11" i="94"/>
  <c r="L12" i="94"/>
  <c r="L13" i="94"/>
  <c r="L14" i="94"/>
  <c r="H15" i="94"/>
  <c r="L15" i="94"/>
  <c r="L16" i="94"/>
  <c r="B17" i="94"/>
  <c r="C17" i="94"/>
  <c r="D17" i="94"/>
  <c r="E17" i="94"/>
  <c r="F17" i="94"/>
  <c r="G17" i="94"/>
  <c r="I17" i="94"/>
  <c r="L20" i="94"/>
  <c r="L21" i="94"/>
  <c r="L22" i="94"/>
  <c r="L23" i="94"/>
  <c r="L24" i="94"/>
  <c r="L25" i="94"/>
  <c r="B26" i="94"/>
  <c r="B28" i="94"/>
  <c r="C26" i="94"/>
  <c r="C28" i="94"/>
  <c r="D26" i="94"/>
  <c r="D28" i="94"/>
  <c r="E26" i="94"/>
  <c r="E28" i="94"/>
  <c r="F26" i="94"/>
  <c r="F28" i="94"/>
  <c r="G26" i="94"/>
  <c r="H26" i="94"/>
  <c r="I26" i="94"/>
  <c r="I28" i="94"/>
  <c r="L27" i="94"/>
  <c r="G28" i="94"/>
  <c r="H29" i="94"/>
  <c r="I29" i="94"/>
  <c r="B30" i="94"/>
  <c r="C30" i="94"/>
  <c r="D30" i="94"/>
  <c r="E30" i="94"/>
  <c r="F30" i="94"/>
  <c r="G30" i="94"/>
  <c r="H30" i="94"/>
  <c r="I30" i="94"/>
  <c r="L38" i="94"/>
  <c r="L39" i="94"/>
  <c r="L40" i="94"/>
  <c r="L41" i="94"/>
  <c r="B42" i="94"/>
  <c r="B44" i="94"/>
  <c r="B47" i="94"/>
  <c r="B49" i="94"/>
  <c r="C42" i="94"/>
  <c r="C44" i="94"/>
  <c r="C47" i="94"/>
  <c r="C49" i="94"/>
  <c r="D42" i="94"/>
  <c r="D44" i="94"/>
  <c r="D47" i="94"/>
  <c r="D49" i="94"/>
  <c r="E42" i="94"/>
  <c r="E44" i="94"/>
  <c r="E47" i="94"/>
  <c r="E49" i="94"/>
  <c r="F42" i="94"/>
  <c r="F44" i="94"/>
  <c r="F47" i="94"/>
  <c r="F49" i="94"/>
  <c r="G42" i="94"/>
  <c r="G44" i="94"/>
  <c r="G47" i="94"/>
  <c r="G49" i="94"/>
  <c r="H42" i="94"/>
  <c r="H44" i="94"/>
  <c r="H47" i="94"/>
  <c r="I42" i="94"/>
  <c r="I44" i="94"/>
  <c r="I47" i="94"/>
  <c r="I49" i="94"/>
  <c r="L43" i="94"/>
  <c r="L45" i="94"/>
  <c r="L46" i="94"/>
  <c r="L48" i="94"/>
  <c r="D11" i="93"/>
  <c r="D12" i="93"/>
  <c r="D13" i="93"/>
  <c r="D14" i="93"/>
  <c r="D15" i="93"/>
  <c r="D16" i="93"/>
  <c r="D17" i="93"/>
  <c r="D18" i="93"/>
  <c r="D19" i="93"/>
  <c r="B20" i="93"/>
  <c r="C20" i="93"/>
  <c r="D23" i="93"/>
  <c r="D24" i="93"/>
  <c r="D25" i="93"/>
  <c r="D26" i="93"/>
  <c r="D27" i="93"/>
  <c r="D28" i="93"/>
  <c r="D29" i="93"/>
  <c r="D30" i="93"/>
  <c r="B31" i="93"/>
  <c r="B34" i="93"/>
  <c r="C31" i="93"/>
  <c r="D32" i="93"/>
  <c r="D33" i="93"/>
  <c r="C34" i="93"/>
  <c r="D34" i="93"/>
  <c r="F40" i="93"/>
  <c r="C41" i="93"/>
  <c r="E41" i="93"/>
  <c r="F41" i="93"/>
  <c r="B42" i="93"/>
  <c r="C42" i="93"/>
  <c r="D42" i="93"/>
  <c r="E42" i="93"/>
  <c r="C43" i="93"/>
  <c r="E43" i="93"/>
  <c r="F43" i="93"/>
  <c r="C44" i="93"/>
  <c r="E44" i="93"/>
  <c r="F44" i="93"/>
  <c r="C45" i="93"/>
  <c r="E45" i="93"/>
  <c r="F45" i="93"/>
  <c r="B46" i="93"/>
  <c r="C46" i="93"/>
  <c r="D46" i="93"/>
  <c r="E46" i="93"/>
  <c r="C48" i="93"/>
  <c r="E48" i="93"/>
  <c r="F48" i="93"/>
  <c r="C49" i="93"/>
  <c r="E49" i="93"/>
  <c r="F49" i="93"/>
  <c r="C50" i="93"/>
  <c r="E50" i="93"/>
  <c r="F50" i="93"/>
  <c r="C51" i="93"/>
  <c r="E51" i="93"/>
  <c r="F51" i="93"/>
  <c r="C52" i="93"/>
  <c r="E52" i="93"/>
  <c r="F52" i="93"/>
  <c r="C53" i="93"/>
  <c r="E53" i="93"/>
  <c r="F53" i="93"/>
  <c r="B54" i="93"/>
  <c r="C54" i="93"/>
  <c r="D54" i="93"/>
  <c r="E54" i="93"/>
  <c r="C56" i="93"/>
  <c r="E56" i="93"/>
  <c r="F56" i="93"/>
  <c r="C57" i="93"/>
  <c r="E57" i="93"/>
  <c r="F57" i="93"/>
  <c r="C59" i="93"/>
  <c r="E59" i="93"/>
  <c r="F59" i="93"/>
  <c r="D11" i="92"/>
  <c r="D12" i="92"/>
  <c r="D13" i="92"/>
  <c r="D14" i="92"/>
  <c r="B15" i="92"/>
  <c r="D15" i="92"/>
  <c r="D16" i="92"/>
  <c r="C17" i="92"/>
  <c r="D20" i="92"/>
  <c r="D21" i="92"/>
  <c r="D22" i="92"/>
  <c r="D23" i="92"/>
  <c r="D24" i="92"/>
  <c r="D25" i="92"/>
  <c r="B26" i="92"/>
  <c r="D26" i="92"/>
  <c r="C26" i="92"/>
  <c r="D27" i="92"/>
  <c r="B28" i="92"/>
  <c r="D28" i="92"/>
  <c r="C28" i="92"/>
  <c r="B29" i="92"/>
  <c r="B30" i="92"/>
  <c r="C29" i="92"/>
  <c r="C30" i="92"/>
  <c r="D38" i="92"/>
  <c r="D39" i="92"/>
  <c r="D40" i="92"/>
  <c r="B41" i="92"/>
  <c r="D41" i="92"/>
  <c r="C42" i="92"/>
  <c r="C44" i="92"/>
  <c r="D43" i="92"/>
  <c r="D45" i="92"/>
  <c r="D46" i="92"/>
  <c r="D48" i="92"/>
  <c r="D7" i="91"/>
  <c r="D8" i="91"/>
  <c r="D9" i="91"/>
  <c r="D10" i="91"/>
  <c r="D11" i="91"/>
  <c r="D12" i="91"/>
  <c r="D13" i="91"/>
  <c r="D14" i="91"/>
  <c r="C15" i="91"/>
  <c r="C16" i="91"/>
  <c r="D16" i="91"/>
  <c r="B16" i="91"/>
  <c r="D19" i="91"/>
  <c r="D20" i="91"/>
  <c r="D21" i="91"/>
  <c r="D22" i="91"/>
  <c r="D23" i="91"/>
  <c r="D24" i="91"/>
  <c r="D25" i="91"/>
  <c r="D26" i="91"/>
  <c r="B27" i="91"/>
  <c r="B30" i="91"/>
  <c r="C27" i="91"/>
  <c r="C30" i="91"/>
  <c r="D30" i="91"/>
  <c r="D28" i="91"/>
  <c r="D29" i="91"/>
  <c r="F37" i="91"/>
  <c r="C38" i="91"/>
  <c r="E38" i="91"/>
  <c r="F38" i="91"/>
  <c r="B39" i="91"/>
  <c r="C39" i="91"/>
  <c r="D39" i="91"/>
  <c r="C40" i="91"/>
  <c r="E40" i="91"/>
  <c r="F40" i="91"/>
  <c r="C41" i="91"/>
  <c r="E41" i="91"/>
  <c r="F41" i="91"/>
  <c r="C42" i="91"/>
  <c r="E42" i="91"/>
  <c r="F42" i="91"/>
  <c r="B43" i="91"/>
  <c r="C43" i="91"/>
  <c r="D43" i="91"/>
  <c r="E43" i="91"/>
  <c r="C45" i="91"/>
  <c r="E45" i="91"/>
  <c r="F45" i="91"/>
  <c r="C46" i="91"/>
  <c r="E46" i="91"/>
  <c r="F46" i="91"/>
  <c r="C47" i="91"/>
  <c r="E47" i="91"/>
  <c r="F47" i="91"/>
  <c r="C48" i="91"/>
  <c r="E48" i="91"/>
  <c r="F48" i="91"/>
  <c r="C49" i="91"/>
  <c r="E49" i="91"/>
  <c r="F49" i="91"/>
  <c r="C50" i="91"/>
  <c r="E50" i="91"/>
  <c r="F50" i="91"/>
  <c r="B51" i="91"/>
  <c r="C51" i="91"/>
  <c r="D51" i="91"/>
  <c r="E51" i="91"/>
  <c r="C53" i="91"/>
  <c r="E53" i="91"/>
  <c r="F53" i="91"/>
  <c r="C54" i="91"/>
  <c r="E54" i="91"/>
  <c r="F54" i="91"/>
  <c r="C56" i="91"/>
  <c r="E56" i="91"/>
  <c r="F56" i="91"/>
  <c r="D7" i="82"/>
  <c r="D8" i="82"/>
  <c r="D9" i="82"/>
  <c r="D10" i="82"/>
  <c r="D11" i="82"/>
  <c r="C12" i="82"/>
  <c r="D12" i="82"/>
  <c r="B13" i="82"/>
  <c r="D13" i="82"/>
  <c r="C13" i="82"/>
  <c r="D16" i="82"/>
  <c r="D17" i="82"/>
  <c r="D18" i="82"/>
  <c r="D19" i="82"/>
  <c r="B20" i="82"/>
  <c r="D20" i="82"/>
  <c r="B21" i="82"/>
  <c r="D21" i="82"/>
  <c r="C22" i="82"/>
  <c r="C24" i="82"/>
  <c r="D23" i="82"/>
  <c r="C25" i="82"/>
  <c r="C26" i="82"/>
  <c r="B26" i="82"/>
  <c r="D32" i="82"/>
  <c r="D33" i="82"/>
  <c r="D34" i="82"/>
  <c r="D35" i="82"/>
  <c r="B36" i="82"/>
  <c r="C36" i="82"/>
  <c r="C38" i="82"/>
  <c r="D37" i="82"/>
  <c r="D39" i="82"/>
  <c r="D40" i="82"/>
  <c r="C41" i="82"/>
  <c r="C43" i="82"/>
  <c r="D42" i="82"/>
  <c r="D7" i="89"/>
  <c r="D8" i="89"/>
  <c r="D9" i="89"/>
  <c r="D10" i="89"/>
  <c r="D11" i="89"/>
  <c r="D12" i="89"/>
  <c r="D13" i="89"/>
  <c r="D14" i="89"/>
  <c r="D15" i="89"/>
  <c r="B16" i="89"/>
  <c r="C16" i="89"/>
  <c r="D16" i="89"/>
  <c r="D19" i="89"/>
  <c r="D20" i="89"/>
  <c r="D21" i="89"/>
  <c r="D22" i="89"/>
  <c r="D23" i="89"/>
  <c r="D24" i="89"/>
  <c r="D25" i="89"/>
  <c r="D26" i="89"/>
  <c r="C27" i="89"/>
  <c r="D27" i="89"/>
  <c r="C30" i="89"/>
  <c r="D28" i="89"/>
  <c r="D29" i="89"/>
  <c r="B30" i="89"/>
  <c r="F37" i="89"/>
  <c r="C38" i="89"/>
  <c r="E38" i="89"/>
  <c r="F38" i="89"/>
  <c r="B39" i="89"/>
  <c r="D39" i="89"/>
  <c r="E39" i="89"/>
  <c r="C40" i="89"/>
  <c r="E40" i="89"/>
  <c r="F40" i="89"/>
  <c r="C41" i="89"/>
  <c r="E41" i="89"/>
  <c r="F41" i="89"/>
  <c r="C42" i="89"/>
  <c r="E42" i="89"/>
  <c r="F42" i="89"/>
  <c r="B43" i="89"/>
  <c r="C43" i="89"/>
  <c r="D43" i="89"/>
  <c r="E43" i="89"/>
  <c r="F43" i="89"/>
  <c r="C45" i="89"/>
  <c r="E45" i="89"/>
  <c r="F45" i="89"/>
  <c r="C46" i="89"/>
  <c r="E46" i="89"/>
  <c r="F46" i="89"/>
  <c r="C47" i="89"/>
  <c r="E47" i="89"/>
  <c r="F47" i="89"/>
  <c r="C48" i="89"/>
  <c r="E48" i="89"/>
  <c r="F48" i="89"/>
  <c r="C49" i="89"/>
  <c r="E49" i="89"/>
  <c r="F49" i="89"/>
  <c r="C50" i="89"/>
  <c r="E50" i="89"/>
  <c r="F50" i="89"/>
  <c r="B51" i="89"/>
  <c r="C51" i="89"/>
  <c r="D51" i="89"/>
  <c r="F51" i="89"/>
  <c r="C53" i="89"/>
  <c r="E53" i="89"/>
  <c r="F53" i="89"/>
  <c r="C54" i="89"/>
  <c r="E54" i="89"/>
  <c r="F54" i="89"/>
  <c r="C56" i="89"/>
  <c r="E56" i="89"/>
  <c r="F56" i="89"/>
  <c r="D7" i="90"/>
  <c r="D8" i="90"/>
  <c r="D9" i="90"/>
  <c r="B10" i="90"/>
  <c r="D11" i="90"/>
  <c r="C12" i="90"/>
  <c r="D15" i="90"/>
  <c r="D16" i="90"/>
  <c r="D17" i="90"/>
  <c r="D18" i="90"/>
  <c r="D19" i="90"/>
  <c r="D20" i="90"/>
  <c r="B21" i="90"/>
  <c r="D21" i="90"/>
  <c r="C21" i="90"/>
  <c r="D22" i="90"/>
  <c r="B23" i="90"/>
  <c r="D23" i="90"/>
  <c r="C23" i="90"/>
  <c r="C24" i="90"/>
  <c r="B25" i="90"/>
  <c r="C25" i="90"/>
  <c r="D31" i="90"/>
  <c r="D32" i="90"/>
  <c r="D33" i="90"/>
  <c r="D34" i="90"/>
  <c r="B35" i="90"/>
  <c r="D35" i="90"/>
  <c r="C35" i="90"/>
  <c r="C37" i="90"/>
  <c r="C40" i="90"/>
  <c r="C42" i="90"/>
  <c r="D36" i="90"/>
  <c r="D38" i="90"/>
  <c r="D39" i="90"/>
  <c r="D41" i="90"/>
  <c r="D7" i="80"/>
  <c r="D8" i="80"/>
  <c r="D9" i="80"/>
  <c r="D10" i="80"/>
  <c r="D11" i="80"/>
  <c r="D12" i="80"/>
  <c r="D13" i="80"/>
  <c r="D14" i="80"/>
  <c r="D15" i="80"/>
  <c r="B16" i="80"/>
  <c r="C16" i="80"/>
  <c r="D19" i="80"/>
  <c r="D20" i="80"/>
  <c r="D21" i="80"/>
  <c r="D22" i="80"/>
  <c r="D23" i="80"/>
  <c r="D24" i="80"/>
  <c r="D25" i="80"/>
  <c r="D26" i="80"/>
  <c r="B27" i="80"/>
  <c r="C27" i="80"/>
  <c r="C30" i="80"/>
  <c r="D28" i="80"/>
  <c r="D29" i="80"/>
  <c r="F37" i="80"/>
  <c r="C38" i="80"/>
  <c r="E38" i="80"/>
  <c r="F38" i="80"/>
  <c r="B39" i="80"/>
  <c r="D39" i="80"/>
  <c r="C40" i="80"/>
  <c r="E40" i="80"/>
  <c r="F40" i="80"/>
  <c r="C41" i="80"/>
  <c r="E41" i="80"/>
  <c r="F41" i="80"/>
  <c r="C42" i="80"/>
  <c r="E42" i="80"/>
  <c r="F42" i="80"/>
  <c r="B43" i="80"/>
  <c r="D43" i="80"/>
  <c r="E43" i="80"/>
  <c r="C45" i="80"/>
  <c r="E45" i="80"/>
  <c r="F45" i="80"/>
  <c r="C46" i="80"/>
  <c r="E46" i="80"/>
  <c r="F46" i="80"/>
  <c r="C47" i="80"/>
  <c r="E47" i="80"/>
  <c r="F47" i="80"/>
  <c r="C48" i="80"/>
  <c r="E48" i="80"/>
  <c r="F48" i="80"/>
  <c r="C49" i="80"/>
  <c r="E49" i="80"/>
  <c r="F49" i="80"/>
  <c r="C50" i="80"/>
  <c r="E50" i="80"/>
  <c r="F50" i="80"/>
  <c r="B51" i="80"/>
  <c r="C51" i="80"/>
  <c r="D51" i="80"/>
  <c r="E51" i="80"/>
  <c r="C53" i="80"/>
  <c r="E53" i="80"/>
  <c r="F53" i="80"/>
  <c r="C54" i="80"/>
  <c r="E54" i="80"/>
  <c r="F54" i="80"/>
  <c r="C56" i="80"/>
  <c r="E56" i="80"/>
  <c r="F56" i="80"/>
  <c r="D7" i="69"/>
  <c r="D8" i="69"/>
  <c r="D9" i="69"/>
  <c r="D10" i="69"/>
  <c r="C11" i="69"/>
  <c r="D11" i="69"/>
  <c r="D12" i="69"/>
  <c r="B13" i="69"/>
  <c r="D16" i="69"/>
  <c r="D17" i="69"/>
  <c r="D18" i="69"/>
  <c r="D19" i="69"/>
  <c r="D20" i="69"/>
  <c r="D21" i="69"/>
  <c r="B22" i="69"/>
  <c r="C22" i="69"/>
  <c r="C24" i="69"/>
  <c r="D23" i="69"/>
  <c r="C25" i="69"/>
  <c r="B26" i="69"/>
  <c r="C26" i="69"/>
  <c r="D32" i="69"/>
  <c r="D33" i="69"/>
  <c r="D34" i="69"/>
  <c r="D35" i="69"/>
  <c r="B36" i="69"/>
  <c r="D36" i="69"/>
  <c r="C36" i="69"/>
  <c r="D37" i="69"/>
  <c r="D39" i="69"/>
  <c r="D40" i="69"/>
  <c r="D42" i="69"/>
  <c r="D7" i="87"/>
  <c r="D8" i="87"/>
  <c r="D9" i="87"/>
  <c r="D10" i="87"/>
  <c r="D11" i="87"/>
  <c r="D12" i="87"/>
  <c r="D13" i="87"/>
  <c r="D14" i="87"/>
  <c r="D15" i="87"/>
  <c r="B16" i="87"/>
  <c r="C16" i="87"/>
  <c r="D16" i="87"/>
  <c r="D19" i="87"/>
  <c r="D20" i="87"/>
  <c r="D21" i="87"/>
  <c r="D22" i="87"/>
  <c r="D23" i="87"/>
  <c r="D24" i="87"/>
  <c r="D25" i="87"/>
  <c r="D26" i="87"/>
  <c r="B27" i="87"/>
  <c r="B30" i="87"/>
  <c r="C27" i="87"/>
  <c r="C30" i="87"/>
  <c r="D28" i="87"/>
  <c r="D29" i="87"/>
  <c r="F37" i="87"/>
  <c r="C38" i="87"/>
  <c r="E38" i="87"/>
  <c r="F38" i="87"/>
  <c r="B39" i="87"/>
  <c r="D39" i="87"/>
  <c r="C40" i="87"/>
  <c r="E40" i="87"/>
  <c r="F40" i="87"/>
  <c r="C41" i="87"/>
  <c r="E41" i="87"/>
  <c r="F41" i="87"/>
  <c r="C42" i="87"/>
  <c r="E42" i="87"/>
  <c r="F42" i="87"/>
  <c r="B43" i="87"/>
  <c r="D43" i="87"/>
  <c r="E43" i="87"/>
  <c r="C45" i="87"/>
  <c r="E45" i="87"/>
  <c r="F45" i="87"/>
  <c r="C46" i="87"/>
  <c r="E46" i="87"/>
  <c r="F46" i="87"/>
  <c r="C47" i="87"/>
  <c r="E47" i="87"/>
  <c r="F47" i="87"/>
  <c r="C48" i="87"/>
  <c r="E48" i="87"/>
  <c r="F48" i="87"/>
  <c r="C49" i="87"/>
  <c r="E49" i="87"/>
  <c r="F49" i="87"/>
  <c r="C50" i="87"/>
  <c r="E50" i="87"/>
  <c r="F50" i="87"/>
  <c r="B51" i="87"/>
  <c r="C51" i="87"/>
  <c r="D51" i="87"/>
  <c r="E51" i="87"/>
  <c r="C53" i="87"/>
  <c r="E53" i="87"/>
  <c r="F53" i="87"/>
  <c r="C54" i="87"/>
  <c r="E54" i="87"/>
  <c r="F54" i="87"/>
  <c r="C56" i="87"/>
  <c r="E56" i="87"/>
  <c r="F56" i="87"/>
  <c r="D7" i="88"/>
  <c r="D8" i="88"/>
  <c r="D9" i="88"/>
  <c r="D10" i="88"/>
  <c r="B11" i="88"/>
  <c r="D11" i="88"/>
  <c r="C11" i="88"/>
  <c r="D12" i="88"/>
  <c r="B13" i="88"/>
  <c r="D13" i="88"/>
  <c r="C13" i="88"/>
  <c r="D16" i="88"/>
  <c r="D17" i="88"/>
  <c r="D18" i="88"/>
  <c r="D19" i="88"/>
  <c r="D20" i="88"/>
  <c r="D21" i="88"/>
  <c r="B22" i="88"/>
  <c r="C22" i="88"/>
  <c r="D22" i="88"/>
  <c r="D23" i="88"/>
  <c r="B24" i="88"/>
  <c r="C25" i="88"/>
  <c r="C26" i="88"/>
  <c r="B26" i="88"/>
  <c r="D32" i="88"/>
  <c r="D33" i="88"/>
  <c r="D34" i="88"/>
  <c r="B35" i="88"/>
  <c r="D35" i="88"/>
  <c r="C35" i="88"/>
  <c r="C36" i="88"/>
  <c r="C38" i="88"/>
  <c r="C41" i="88"/>
  <c r="C43" i="88"/>
  <c r="D37" i="88"/>
  <c r="D39" i="88"/>
  <c r="D40" i="88"/>
  <c r="D42" i="88"/>
  <c r="D7" i="86"/>
  <c r="D8" i="86"/>
  <c r="D9" i="86"/>
  <c r="D10" i="86"/>
  <c r="D11" i="86"/>
  <c r="D12" i="86"/>
  <c r="B13" i="86"/>
  <c r="D13" i="86"/>
  <c r="D14" i="86"/>
  <c r="D15" i="86"/>
  <c r="C16" i="86"/>
  <c r="D19" i="86"/>
  <c r="D20" i="86"/>
  <c r="D21" i="86"/>
  <c r="D22" i="86"/>
  <c r="D23" i="86"/>
  <c r="D24" i="86"/>
  <c r="D25" i="86"/>
  <c r="D26" i="86"/>
  <c r="B27" i="86"/>
  <c r="B30" i="86"/>
  <c r="C27" i="86"/>
  <c r="D28" i="86"/>
  <c r="D29" i="86"/>
  <c r="C30" i="86"/>
  <c r="D30" i="86"/>
  <c r="F37" i="86"/>
  <c r="C38" i="86"/>
  <c r="E38" i="86"/>
  <c r="F38" i="86"/>
  <c r="B39" i="86"/>
  <c r="C39" i="86"/>
  <c r="D39" i="86"/>
  <c r="C40" i="86"/>
  <c r="E40" i="86"/>
  <c r="F40" i="86"/>
  <c r="C41" i="86"/>
  <c r="E41" i="86"/>
  <c r="F41" i="86"/>
  <c r="C42" i="86"/>
  <c r="E42" i="86"/>
  <c r="F42" i="86"/>
  <c r="B43" i="86"/>
  <c r="C43" i="86"/>
  <c r="D43" i="86"/>
  <c r="E43" i="86"/>
  <c r="C45" i="86"/>
  <c r="E45" i="86"/>
  <c r="F45" i="86"/>
  <c r="C46" i="86"/>
  <c r="E46" i="86"/>
  <c r="F46" i="86"/>
  <c r="C47" i="86"/>
  <c r="E47" i="86"/>
  <c r="F47" i="86"/>
  <c r="C48" i="86"/>
  <c r="E48" i="86"/>
  <c r="F48" i="86"/>
  <c r="C49" i="86"/>
  <c r="E49" i="86"/>
  <c r="F49" i="86"/>
  <c r="C50" i="86"/>
  <c r="E50" i="86"/>
  <c r="F50" i="86"/>
  <c r="B51" i="86"/>
  <c r="C51" i="86"/>
  <c r="D51" i="86"/>
  <c r="E51" i="86"/>
  <c r="C53" i="86"/>
  <c r="E53" i="86"/>
  <c r="F53" i="86"/>
  <c r="C54" i="86"/>
  <c r="E54" i="86"/>
  <c r="F54" i="86"/>
  <c r="C56" i="86"/>
  <c r="E56" i="86"/>
  <c r="F56" i="86"/>
  <c r="D7" i="85"/>
  <c r="D8" i="85"/>
  <c r="D9" i="85"/>
  <c r="D10" i="85"/>
  <c r="D11" i="85"/>
  <c r="D12" i="85"/>
  <c r="B13" i="85"/>
  <c r="D13" i="85"/>
  <c r="C13" i="85"/>
  <c r="D16" i="85"/>
  <c r="D17" i="85"/>
  <c r="D18" i="85"/>
  <c r="D19" i="85"/>
  <c r="C20" i="85"/>
  <c r="D20" i="85"/>
  <c r="C21" i="85"/>
  <c r="C22" i="85"/>
  <c r="C24" i="85"/>
  <c r="D21" i="85"/>
  <c r="B22" i="85"/>
  <c r="D23" i="85"/>
  <c r="B24" i="85"/>
  <c r="D24" i="85"/>
  <c r="B26" i="85"/>
  <c r="C26" i="85"/>
  <c r="D32" i="85"/>
  <c r="D33" i="85"/>
  <c r="D34" i="85"/>
  <c r="D35" i="85"/>
  <c r="B36" i="85"/>
  <c r="C36" i="85"/>
  <c r="D37" i="85"/>
  <c r="B38" i="85"/>
  <c r="B41" i="85"/>
  <c r="D39" i="85"/>
  <c r="D40" i="85"/>
  <c r="D42" i="85"/>
  <c r="D7" i="84"/>
  <c r="D8" i="84"/>
  <c r="D9" i="84"/>
  <c r="D10" i="84"/>
  <c r="D11" i="84"/>
  <c r="D12" i="84"/>
  <c r="D13" i="84"/>
  <c r="D14" i="84"/>
  <c r="D15" i="84"/>
  <c r="B16" i="84"/>
  <c r="C16" i="84"/>
  <c r="D16" i="84"/>
  <c r="D19" i="84"/>
  <c r="D20" i="84"/>
  <c r="D21" i="84"/>
  <c r="D22" i="84"/>
  <c r="D23" i="84"/>
  <c r="D24" i="84"/>
  <c r="D25" i="84"/>
  <c r="D26" i="84"/>
  <c r="B27" i="84"/>
  <c r="B30" i="84"/>
  <c r="C27" i="84"/>
  <c r="C30" i="84"/>
  <c r="D28" i="84"/>
  <c r="D29" i="84"/>
  <c r="F37" i="84"/>
  <c r="C38" i="84"/>
  <c r="E38" i="84"/>
  <c r="F38" i="84"/>
  <c r="B39" i="84"/>
  <c r="C39" i="84"/>
  <c r="D39" i="84"/>
  <c r="C40" i="84"/>
  <c r="E40" i="84"/>
  <c r="F40" i="84"/>
  <c r="C41" i="84"/>
  <c r="E41" i="84"/>
  <c r="F41" i="84"/>
  <c r="C42" i="84"/>
  <c r="E42" i="84"/>
  <c r="F42" i="84"/>
  <c r="B43" i="84"/>
  <c r="C43" i="84"/>
  <c r="D43" i="84"/>
  <c r="E43" i="84"/>
  <c r="C45" i="84"/>
  <c r="E45" i="84"/>
  <c r="C46" i="84"/>
  <c r="E46" i="84"/>
  <c r="F46" i="84"/>
  <c r="C47" i="84"/>
  <c r="E47" i="84"/>
  <c r="F47" i="84"/>
  <c r="C48" i="84"/>
  <c r="E48" i="84"/>
  <c r="F48" i="84"/>
  <c r="C49" i="84"/>
  <c r="E49" i="84"/>
  <c r="F49" i="84"/>
  <c r="C50" i="84"/>
  <c r="E50" i="84"/>
  <c r="F50" i="84"/>
  <c r="B51" i="84"/>
  <c r="C51" i="84"/>
  <c r="D51" i="84"/>
  <c r="E51" i="84"/>
  <c r="C53" i="84"/>
  <c r="E53" i="84"/>
  <c r="F53" i="84"/>
  <c r="C54" i="84"/>
  <c r="E54" i="84"/>
  <c r="F54" i="84"/>
  <c r="C56" i="84"/>
  <c r="E56" i="84"/>
  <c r="F56" i="84"/>
  <c r="D7" i="83"/>
  <c r="D8" i="83"/>
  <c r="D9" i="83"/>
  <c r="C10" i="83"/>
  <c r="D10" i="83"/>
  <c r="D11" i="83"/>
  <c r="B12" i="83"/>
  <c r="D15" i="83"/>
  <c r="D16" i="83"/>
  <c r="D17" i="83"/>
  <c r="D18" i="83"/>
  <c r="D19" i="83"/>
  <c r="D20" i="83"/>
  <c r="B21" i="83"/>
  <c r="C21" i="83"/>
  <c r="D21" i="83"/>
  <c r="D22" i="83"/>
  <c r="B23" i="83"/>
  <c r="C23" i="83"/>
  <c r="D23" i="83"/>
  <c r="B25" i="83"/>
  <c r="C25" i="83"/>
  <c r="D31" i="83"/>
  <c r="D32" i="83"/>
  <c r="D33" i="83"/>
  <c r="D34" i="83"/>
  <c r="B35" i="83"/>
  <c r="B37" i="83"/>
  <c r="C35" i="83"/>
  <c r="C37" i="83"/>
  <c r="C40" i="83"/>
  <c r="C42" i="83"/>
  <c r="D36" i="83"/>
  <c r="D38" i="83"/>
  <c r="B39" i="83"/>
  <c r="D39" i="83"/>
  <c r="D41" i="83"/>
  <c r="D7" i="79"/>
  <c r="C8" i="79"/>
  <c r="B9" i="79"/>
  <c r="C9" i="79"/>
  <c r="D10" i="79"/>
  <c r="D11" i="79"/>
  <c r="D12" i="79"/>
  <c r="B13" i="79"/>
  <c r="C13" i="79"/>
  <c r="D13" i="79"/>
  <c r="B14" i="79"/>
  <c r="C14" i="79"/>
  <c r="D14" i="79"/>
  <c r="D15" i="79"/>
  <c r="B19" i="79"/>
  <c r="B27" i="79"/>
  <c r="B30" i="79"/>
  <c r="C19" i="79"/>
  <c r="D20" i="79"/>
  <c r="B21" i="79"/>
  <c r="C21" i="79"/>
  <c r="D21" i="79"/>
  <c r="D22" i="79"/>
  <c r="C23" i="79"/>
  <c r="D23" i="79"/>
  <c r="C24" i="79"/>
  <c r="D24" i="79"/>
  <c r="D25" i="79"/>
  <c r="D26" i="79"/>
  <c r="D28" i="79"/>
  <c r="D29" i="79"/>
  <c r="C37" i="79"/>
  <c r="E37" i="79"/>
  <c r="F37" i="79"/>
  <c r="C38" i="79"/>
  <c r="E38" i="79"/>
  <c r="F38" i="79"/>
  <c r="B39" i="79"/>
  <c r="C39" i="79"/>
  <c r="D39" i="79"/>
  <c r="F39" i="79"/>
  <c r="C40" i="79"/>
  <c r="E40" i="79"/>
  <c r="F40" i="79"/>
  <c r="C41" i="79"/>
  <c r="E41" i="79"/>
  <c r="F41" i="79"/>
  <c r="B42" i="79"/>
  <c r="D42" i="79"/>
  <c r="C44" i="79"/>
  <c r="E44" i="79"/>
  <c r="F44" i="79"/>
  <c r="B45" i="79"/>
  <c r="C45" i="79"/>
  <c r="E45" i="79"/>
  <c r="B46" i="79"/>
  <c r="E46" i="79"/>
  <c r="C47" i="79"/>
  <c r="E47" i="79"/>
  <c r="F47" i="79"/>
  <c r="C48" i="79"/>
  <c r="E48" i="79"/>
  <c r="F48" i="79"/>
  <c r="C49" i="79"/>
  <c r="E49" i="79"/>
  <c r="F49" i="79"/>
  <c r="D50" i="79"/>
  <c r="B52" i="79"/>
  <c r="F52" i="79"/>
  <c r="E52" i="79"/>
  <c r="C53" i="79"/>
  <c r="E53" i="79"/>
  <c r="F53" i="79"/>
  <c r="C55" i="79"/>
  <c r="E55" i="79"/>
  <c r="F55" i="79"/>
  <c r="D7" i="78"/>
  <c r="D8" i="78"/>
  <c r="D9" i="78"/>
  <c r="D10" i="78"/>
  <c r="D11" i="78"/>
  <c r="D12" i="78"/>
  <c r="D13" i="78"/>
  <c r="B14" i="78"/>
  <c r="C14" i="78"/>
  <c r="D17" i="78"/>
  <c r="B18" i="78"/>
  <c r="C18" i="78"/>
  <c r="C23" i="78"/>
  <c r="D19" i="78"/>
  <c r="D20" i="78"/>
  <c r="D21" i="78"/>
  <c r="D22" i="78"/>
  <c r="D33" i="78"/>
  <c r="D34" i="78"/>
  <c r="D35" i="78"/>
  <c r="D36" i="78"/>
  <c r="B37" i="78"/>
  <c r="D37" i="78"/>
  <c r="C37" i="78"/>
  <c r="C39" i="78"/>
  <c r="D38" i="78"/>
  <c r="B39" i="78"/>
  <c r="D40" i="78"/>
  <c r="D41" i="78"/>
  <c r="D43" i="78"/>
  <c r="D7" i="77"/>
  <c r="D8" i="77"/>
  <c r="D9" i="77"/>
  <c r="D10" i="77"/>
  <c r="D11" i="77"/>
  <c r="D12" i="77"/>
  <c r="D13" i="77"/>
  <c r="D14" i="77"/>
  <c r="D15" i="77"/>
  <c r="B16" i="77"/>
  <c r="C16" i="77"/>
  <c r="D16" i="77"/>
  <c r="D19" i="77"/>
  <c r="B20" i="77"/>
  <c r="D20" i="77"/>
  <c r="B21" i="77"/>
  <c r="D21" i="77"/>
  <c r="D22" i="77"/>
  <c r="D23" i="77"/>
  <c r="D24" i="77"/>
  <c r="D25" i="77"/>
  <c r="D26" i="77"/>
  <c r="C27" i="77"/>
  <c r="C30" i="77"/>
  <c r="D28" i="77"/>
  <c r="D29" i="77"/>
  <c r="F37" i="77"/>
  <c r="C38" i="77"/>
  <c r="E38" i="77"/>
  <c r="F38" i="77"/>
  <c r="B39" i="77"/>
  <c r="D39" i="77"/>
  <c r="E39" i="77"/>
  <c r="C40" i="77"/>
  <c r="E40" i="77"/>
  <c r="F40" i="77"/>
  <c r="C41" i="77"/>
  <c r="E41" i="77"/>
  <c r="F41" i="77"/>
  <c r="B42" i="77"/>
  <c r="C42" i="77"/>
  <c r="D42" i="77"/>
  <c r="C44" i="77"/>
  <c r="E44" i="77"/>
  <c r="F44" i="77"/>
  <c r="C45" i="77"/>
  <c r="E45" i="77"/>
  <c r="F45" i="77"/>
  <c r="C46" i="77"/>
  <c r="E46" i="77"/>
  <c r="F46" i="77"/>
  <c r="C47" i="77"/>
  <c r="E47" i="77"/>
  <c r="F47" i="77"/>
  <c r="C48" i="77"/>
  <c r="E48" i="77"/>
  <c r="F48" i="77"/>
  <c r="C49" i="77"/>
  <c r="E49" i="77"/>
  <c r="F49" i="77"/>
  <c r="B50" i="77"/>
  <c r="D50" i="77"/>
  <c r="E50" i="77"/>
  <c r="C52" i="77"/>
  <c r="E52" i="77"/>
  <c r="F52" i="77"/>
  <c r="C53" i="77"/>
  <c r="E53" i="77"/>
  <c r="F53" i="77"/>
  <c r="C55" i="77"/>
  <c r="E55" i="77"/>
  <c r="F55" i="77"/>
  <c r="D7" i="76"/>
  <c r="D8" i="76"/>
  <c r="D9" i="76"/>
  <c r="D10" i="76"/>
  <c r="D11" i="76"/>
  <c r="B12" i="76"/>
  <c r="D12" i="76"/>
  <c r="C12" i="76"/>
  <c r="C14" i="76"/>
  <c r="D13" i="76"/>
  <c r="B14" i="76"/>
  <c r="D14" i="76"/>
  <c r="D17" i="76"/>
  <c r="D18" i="76"/>
  <c r="D19" i="76"/>
  <c r="D20" i="76"/>
  <c r="C21" i="76"/>
  <c r="D21" i="76"/>
  <c r="D22" i="76"/>
  <c r="B23" i="76"/>
  <c r="B33" i="76"/>
  <c r="D34" i="76"/>
  <c r="D35" i="76"/>
  <c r="B36" i="76"/>
  <c r="B37" i="76"/>
  <c r="B39" i="76"/>
  <c r="C36" i="76"/>
  <c r="C37" i="76"/>
  <c r="C39" i="76"/>
  <c r="C42" i="76"/>
  <c r="C44" i="76"/>
  <c r="D36" i="76"/>
  <c r="D38" i="76"/>
  <c r="D40" i="76"/>
  <c r="D41" i="76"/>
  <c r="D43" i="76"/>
  <c r="D7" i="75"/>
  <c r="D8" i="75"/>
  <c r="D9" i="75"/>
  <c r="D10" i="75"/>
  <c r="D11" i="75"/>
  <c r="D12" i="75"/>
  <c r="C13" i="75"/>
  <c r="D13" i="75"/>
  <c r="D14" i="75"/>
  <c r="D15" i="75"/>
  <c r="B16" i="75"/>
  <c r="C16" i="75"/>
  <c r="D16" i="75"/>
  <c r="D19" i="75"/>
  <c r="D20" i="75"/>
  <c r="D21" i="75"/>
  <c r="D22" i="75"/>
  <c r="D23" i="75"/>
  <c r="D24" i="75"/>
  <c r="D25" i="75"/>
  <c r="D26" i="75"/>
  <c r="B27" i="75"/>
  <c r="C27" i="75"/>
  <c r="C30" i="75"/>
  <c r="D28" i="75"/>
  <c r="D29" i="75"/>
  <c r="F37" i="75"/>
  <c r="C38" i="75"/>
  <c r="E38" i="75"/>
  <c r="F38" i="75"/>
  <c r="B39" i="75"/>
  <c r="F39" i="75"/>
  <c r="C39" i="75"/>
  <c r="D39" i="75"/>
  <c r="C40" i="75"/>
  <c r="E40" i="75"/>
  <c r="F40" i="75"/>
  <c r="C41" i="75"/>
  <c r="E41" i="75"/>
  <c r="F41" i="75"/>
  <c r="B42" i="75"/>
  <c r="D42" i="75"/>
  <c r="E42" i="75"/>
  <c r="C44" i="75"/>
  <c r="E44" i="75"/>
  <c r="F44" i="75"/>
  <c r="C45" i="75"/>
  <c r="E45" i="75"/>
  <c r="F45" i="75"/>
  <c r="C46" i="75"/>
  <c r="E46" i="75"/>
  <c r="F46" i="75"/>
  <c r="C47" i="75"/>
  <c r="E47" i="75"/>
  <c r="F47" i="75"/>
  <c r="C48" i="75"/>
  <c r="E48" i="75"/>
  <c r="F48" i="75"/>
  <c r="C49" i="75"/>
  <c r="E49" i="75"/>
  <c r="F49" i="75"/>
  <c r="B50" i="75"/>
  <c r="C50" i="75"/>
  <c r="D50" i="75"/>
  <c r="E50" i="75"/>
  <c r="C52" i="75"/>
  <c r="E52" i="75"/>
  <c r="F52" i="75"/>
  <c r="C53" i="75"/>
  <c r="E53" i="75"/>
  <c r="F53" i="75"/>
  <c r="C55" i="75"/>
  <c r="E55" i="75"/>
  <c r="F55" i="75"/>
  <c r="D7" i="74"/>
  <c r="D8" i="74"/>
  <c r="D9" i="74"/>
  <c r="D10" i="74"/>
  <c r="D11" i="74"/>
  <c r="D12" i="74"/>
  <c r="B13" i="74"/>
  <c r="C13" i="74"/>
  <c r="D13" i="74"/>
  <c r="D16" i="74"/>
  <c r="D17" i="74"/>
  <c r="D18" i="74"/>
  <c r="D19" i="74"/>
  <c r="D20" i="74"/>
  <c r="D21" i="74"/>
  <c r="B22" i="74"/>
  <c r="C22" i="74"/>
  <c r="C24" i="74"/>
  <c r="D23" i="74"/>
  <c r="B26" i="74"/>
  <c r="C26" i="74"/>
  <c r="D32" i="74"/>
  <c r="D33" i="74"/>
  <c r="D34" i="74"/>
  <c r="D35" i="74"/>
  <c r="B36" i="74"/>
  <c r="D36" i="74"/>
  <c r="C36" i="74"/>
  <c r="D37" i="74"/>
  <c r="B38" i="74"/>
  <c r="B41" i="74"/>
  <c r="C38" i="74"/>
  <c r="C41" i="74"/>
  <c r="C43" i="74"/>
  <c r="D39" i="74"/>
  <c r="D40" i="74"/>
  <c r="D42" i="74"/>
  <c r="D7" i="73"/>
  <c r="D8" i="73"/>
  <c r="D9" i="73"/>
  <c r="D10" i="73"/>
  <c r="D11" i="73"/>
  <c r="D12" i="73"/>
  <c r="D13" i="73"/>
  <c r="D14" i="73"/>
  <c r="D15" i="73"/>
  <c r="B16" i="73"/>
  <c r="D16" i="73"/>
  <c r="C16" i="73"/>
  <c r="D19" i="73"/>
  <c r="D20" i="73"/>
  <c r="D21" i="73"/>
  <c r="D22" i="73"/>
  <c r="D23" i="73"/>
  <c r="D24" i="73"/>
  <c r="D25" i="73"/>
  <c r="D26" i="73"/>
  <c r="B27" i="73"/>
  <c r="D27" i="73"/>
  <c r="B30" i="73"/>
  <c r="D30" i="73"/>
  <c r="C27" i="73"/>
  <c r="D28" i="73"/>
  <c r="D29" i="73"/>
  <c r="C30" i="73"/>
  <c r="F37" i="73"/>
  <c r="C38" i="73"/>
  <c r="E38" i="73"/>
  <c r="F38" i="73"/>
  <c r="B39" i="73"/>
  <c r="C39" i="73"/>
  <c r="D39" i="73"/>
  <c r="E39" i="73"/>
  <c r="C40" i="73"/>
  <c r="E40" i="73"/>
  <c r="F40" i="73"/>
  <c r="C41" i="73"/>
  <c r="E41" i="73"/>
  <c r="F41" i="73"/>
  <c r="B42" i="73"/>
  <c r="C42" i="73"/>
  <c r="D42" i="73"/>
  <c r="E42" i="73"/>
  <c r="C44" i="73"/>
  <c r="E44" i="73"/>
  <c r="F44" i="73"/>
  <c r="B45" i="73"/>
  <c r="F45" i="73"/>
  <c r="E45" i="73"/>
  <c r="C46" i="73"/>
  <c r="E46" i="73"/>
  <c r="F46" i="73"/>
  <c r="B47" i="73"/>
  <c r="C47" i="73"/>
  <c r="E47" i="73"/>
  <c r="C48" i="73"/>
  <c r="E48" i="73"/>
  <c r="F48" i="73"/>
  <c r="C49" i="73"/>
  <c r="E49" i="73"/>
  <c r="F49" i="73"/>
  <c r="D50" i="73"/>
  <c r="E50" i="73"/>
  <c r="C52" i="73"/>
  <c r="E52" i="73"/>
  <c r="F52" i="73"/>
  <c r="C53" i="73"/>
  <c r="E53" i="73"/>
  <c r="F53" i="73"/>
  <c r="C55" i="73"/>
  <c r="E55" i="73"/>
  <c r="F55" i="73"/>
  <c r="D7" i="72"/>
  <c r="D8" i="72"/>
  <c r="D9" i="72"/>
  <c r="B10" i="72"/>
  <c r="D11" i="72"/>
  <c r="C12" i="72"/>
  <c r="D15" i="72"/>
  <c r="D16" i="72"/>
  <c r="D17" i="72"/>
  <c r="D18" i="72"/>
  <c r="D19" i="72"/>
  <c r="D20" i="72"/>
  <c r="B21" i="72"/>
  <c r="C21" i="72"/>
  <c r="C23" i="72"/>
  <c r="D22" i="72"/>
  <c r="B25" i="72"/>
  <c r="C25" i="72"/>
  <c r="D31" i="72"/>
  <c r="D32" i="72"/>
  <c r="D33" i="72"/>
  <c r="B34" i="72"/>
  <c r="D34" i="72"/>
  <c r="C35" i="72"/>
  <c r="C37" i="72"/>
  <c r="D36" i="72"/>
  <c r="D38" i="72"/>
  <c r="C39" i="72"/>
  <c r="C40" i="72"/>
  <c r="C42" i="72"/>
  <c r="D41" i="72"/>
  <c r="D7" i="65"/>
  <c r="D8" i="65"/>
  <c r="B9" i="65"/>
  <c r="C9" i="65"/>
  <c r="D9" i="65"/>
  <c r="E9" i="65"/>
  <c r="D10" i="65"/>
  <c r="D11" i="65"/>
  <c r="D12" i="65"/>
  <c r="B13" i="65"/>
  <c r="D13" i="65"/>
  <c r="C13" i="65"/>
  <c r="E13" i="65"/>
  <c r="E16" i="65"/>
  <c r="B14" i="65"/>
  <c r="C14" i="65"/>
  <c r="E14" i="65"/>
  <c r="D15" i="65"/>
  <c r="B19" i="65"/>
  <c r="C19" i="65"/>
  <c r="D19" i="65"/>
  <c r="E19" i="65"/>
  <c r="E27" i="65"/>
  <c r="E30" i="65"/>
  <c r="D20" i="65"/>
  <c r="B21" i="65"/>
  <c r="C21" i="65"/>
  <c r="D21" i="65"/>
  <c r="E21" i="65"/>
  <c r="D22" i="65"/>
  <c r="B23" i="65"/>
  <c r="C23" i="65"/>
  <c r="D23" i="65"/>
  <c r="E23" i="65"/>
  <c r="B24" i="65"/>
  <c r="C24" i="65"/>
  <c r="D24" i="65"/>
  <c r="E24" i="65"/>
  <c r="D25" i="65"/>
  <c r="D26" i="65"/>
  <c r="D28" i="65"/>
  <c r="D29" i="65"/>
  <c r="C37" i="65"/>
  <c r="E37" i="65"/>
  <c r="F37" i="65"/>
  <c r="C38" i="65"/>
  <c r="E38" i="65"/>
  <c r="F38" i="65"/>
  <c r="B39" i="65"/>
  <c r="C39" i="65"/>
  <c r="D39" i="65"/>
  <c r="E39" i="65"/>
  <c r="C40" i="65"/>
  <c r="E40" i="65"/>
  <c r="F40" i="65"/>
  <c r="C41" i="65"/>
  <c r="E41" i="65"/>
  <c r="F41" i="65"/>
  <c r="B42" i="65"/>
  <c r="C42" i="65"/>
  <c r="D42" i="65"/>
  <c r="D43" i="65"/>
  <c r="E43" i="65"/>
  <c r="F42" i="65"/>
  <c r="B44" i="65"/>
  <c r="E44" i="65"/>
  <c r="B45" i="65"/>
  <c r="C45" i="65"/>
  <c r="D45" i="65"/>
  <c r="B46" i="65"/>
  <c r="C46" i="65"/>
  <c r="D46" i="65"/>
  <c r="F46" i="65"/>
  <c r="B47" i="65"/>
  <c r="F47" i="65"/>
  <c r="C47" i="65"/>
  <c r="E47" i="65"/>
  <c r="C48" i="65"/>
  <c r="E48" i="65"/>
  <c r="F48" i="65"/>
  <c r="C49" i="65"/>
  <c r="E49" i="65"/>
  <c r="F49" i="65"/>
  <c r="B52" i="65"/>
  <c r="C52" i="65"/>
  <c r="D52" i="65"/>
  <c r="E52" i="65"/>
  <c r="F52" i="65"/>
  <c r="C53" i="65"/>
  <c r="E53" i="65"/>
  <c r="F53" i="65"/>
  <c r="C55" i="65"/>
  <c r="E55" i="65"/>
  <c r="F55" i="65"/>
  <c r="D7" i="71"/>
  <c r="D8" i="71"/>
  <c r="D9" i="71"/>
  <c r="D10" i="71"/>
  <c r="D11" i="71"/>
  <c r="D12" i="71"/>
  <c r="D13" i="71"/>
  <c r="B14" i="71"/>
  <c r="C14" i="71"/>
  <c r="D14" i="71"/>
  <c r="D17" i="71"/>
  <c r="D18" i="71"/>
  <c r="D19" i="71"/>
  <c r="D20" i="71"/>
  <c r="D21" i="71"/>
  <c r="D22" i="71"/>
  <c r="B23" i="71"/>
  <c r="C23" i="71"/>
  <c r="D33" i="71"/>
  <c r="D34" i="71"/>
  <c r="D35" i="71"/>
  <c r="D36" i="71"/>
  <c r="B37" i="71"/>
  <c r="D37" i="71"/>
  <c r="C37" i="71"/>
  <c r="D38" i="71"/>
  <c r="B39" i="71"/>
  <c r="D39" i="71"/>
  <c r="C39" i="71"/>
  <c r="D40" i="71"/>
  <c r="D41" i="71"/>
  <c r="D43" i="71"/>
  <c r="D7" i="70"/>
  <c r="D8" i="70"/>
  <c r="D9" i="70"/>
  <c r="D10" i="70"/>
  <c r="D11" i="70"/>
  <c r="D12" i="70"/>
  <c r="D13" i="70"/>
  <c r="D14" i="70"/>
  <c r="D15" i="70"/>
  <c r="B16" i="70"/>
  <c r="D16" i="70"/>
  <c r="C16" i="70"/>
  <c r="D19" i="70"/>
  <c r="C20" i="70"/>
  <c r="D20" i="70"/>
  <c r="C21" i="70"/>
  <c r="D21" i="70"/>
  <c r="D22" i="70"/>
  <c r="D23" i="70"/>
  <c r="D24" i="70"/>
  <c r="D25" i="70"/>
  <c r="D26" i="70"/>
  <c r="B27" i="70"/>
  <c r="B30" i="70"/>
  <c r="D28" i="70"/>
  <c r="D29" i="70"/>
  <c r="F37" i="70"/>
  <c r="C38" i="70"/>
  <c r="E38" i="70"/>
  <c r="F38" i="70"/>
  <c r="B39" i="70"/>
  <c r="C39" i="70"/>
  <c r="D39" i="70"/>
  <c r="D43" i="70"/>
  <c r="E43" i="70"/>
  <c r="C40" i="70"/>
  <c r="E40" i="70"/>
  <c r="F40" i="70"/>
  <c r="C41" i="70"/>
  <c r="E41" i="70"/>
  <c r="F41" i="70"/>
  <c r="B42" i="70"/>
  <c r="C42" i="70"/>
  <c r="D42" i="70"/>
  <c r="E42" i="70"/>
  <c r="C44" i="70"/>
  <c r="E44" i="70"/>
  <c r="F44" i="70"/>
  <c r="C45" i="70"/>
  <c r="E45" i="70"/>
  <c r="F45" i="70"/>
  <c r="C46" i="70"/>
  <c r="E46" i="70"/>
  <c r="F46" i="70"/>
  <c r="C47" i="70"/>
  <c r="E47" i="70"/>
  <c r="F47" i="70"/>
  <c r="C48" i="70"/>
  <c r="E48" i="70"/>
  <c r="F48" i="70"/>
  <c r="C49" i="70"/>
  <c r="E49" i="70"/>
  <c r="F49" i="70"/>
  <c r="B50" i="70"/>
  <c r="C50" i="70"/>
  <c r="D50" i="70"/>
  <c r="F50" i="70"/>
  <c r="C52" i="70"/>
  <c r="E52" i="70"/>
  <c r="F52" i="70"/>
  <c r="C53" i="70"/>
  <c r="E53" i="70"/>
  <c r="F53" i="70"/>
  <c r="C55" i="70"/>
  <c r="E55" i="70"/>
  <c r="F55" i="70"/>
  <c r="D7" i="68"/>
  <c r="D8" i="68"/>
  <c r="D9" i="68"/>
  <c r="D10" i="68"/>
  <c r="D11" i="68"/>
  <c r="C12" i="68"/>
  <c r="D12" i="68"/>
  <c r="D13" i="68"/>
  <c r="B14" i="68"/>
  <c r="D14" i="68"/>
  <c r="C14" i="68"/>
  <c r="D17" i="68"/>
  <c r="D18" i="68"/>
  <c r="D19" i="68"/>
  <c r="D20" i="68"/>
  <c r="D21" i="68"/>
  <c r="D22" i="68"/>
  <c r="B23" i="68"/>
  <c r="C23" i="68"/>
  <c r="D23" i="68"/>
  <c r="D33" i="68"/>
  <c r="D34" i="68"/>
  <c r="D35" i="68"/>
  <c r="D36" i="68"/>
  <c r="B37" i="68"/>
  <c r="C37" i="68"/>
  <c r="C39" i="68"/>
  <c r="C42" i="68"/>
  <c r="C44" i="68"/>
  <c r="D38" i="68"/>
  <c r="D40" i="68"/>
  <c r="D41" i="68"/>
  <c r="D43" i="68"/>
  <c r="D7" i="67"/>
  <c r="D8" i="67"/>
  <c r="D9" i="67"/>
  <c r="D10" i="67"/>
  <c r="D11" i="67"/>
  <c r="D12" i="67"/>
  <c r="D13" i="67"/>
  <c r="D14" i="67"/>
  <c r="D15" i="67"/>
  <c r="B16" i="67"/>
  <c r="C16" i="67"/>
  <c r="D16" i="67"/>
  <c r="D19" i="67"/>
  <c r="D20" i="67"/>
  <c r="D21" i="67"/>
  <c r="D22" i="67"/>
  <c r="D23" i="67"/>
  <c r="D24" i="67"/>
  <c r="D25" i="67"/>
  <c r="D26" i="67"/>
  <c r="B27" i="67"/>
  <c r="C27" i="67"/>
  <c r="D28" i="67"/>
  <c r="D29" i="67"/>
  <c r="F37" i="67"/>
  <c r="C38" i="67"/>
  <c r="E38" i="67"/>
  <c r="F38" i="67"/>
  <c r="B39" i="67"/>
  <c r="C39" i="67"/>
  <c r="D39" i="67"/>
  <c r="F39" i="67"/>
  <c r="E39" i="67"/>
  <c r="C40" i="67"/>
  <c r="E40" i="67"/>
  <c r="F40" i="67"/>
  <c r="C41" i="67"/>
  <c r="E41" i="67"/>
  <c r="F41" i="67"/>
  <c r="B42" i="67"/>
  <c r="C42" i="67"/>
  <c r="D42" i="67"/>
  <c r="E42" i="67"/>
  <c r="C44" i="67"/>
  <c r="E44" i="67"/>
  <c r="F44" i="67"/>
  <c r="C45" i="67"/>
  <c r="E45" i="67"/>
  <c r="F45" i="67"/>
  <c r="C46" i="67"/>
  <c r="E46" i="67"/>
  <c r="F46" i="67"/>
  <c r="C47" i="67"/>
  <c r="E47" i="67"/>
  <c r="F47" i="67"/>
  <c r="C48" i="67"/>
  <c r="E48" i="67"/>
  <c r="F48" i="67"/>
  <c r="C49" i="67"/>
  <c r="E49" i="67"/>
  <c r="F49" i="67"/>
  <c r="B50" i="67"/>
  <c r="F50" i="67"/>
  <c r="C50" i="67"/>
  <c r="D50" i="67"/>
  <c r="E50" i="67"/>
  <c r="C52" i="67"/>
  <c r="E52" i="67"/>
  <c r="F52" i="67"/>
  <c r="C53" i="67"/>
  <c r="E53" i="67"/>
  <c r="F53" i="67"/>
  <c r="C55" i="67"/>
  <c r="E55" i="67"/>
  <c r="F55" i="67"/>
  <c r="D7" i="66"/>
  <c r="D8" i="66"/>
  <c r="D9" i="66"/>
  <c r="D10" i="66"/>
  <c r="C11" i="66"/>
  <c r="D11" i="66"/>
  <c r="D12" i="66"/>
  <c r="B13" i="66"/>
  <c r="D16" i="66"/>
  <c r="D17" i="66"/>
  <c r="D18" i="66"/>
  <c r="D19" i="66"/>
  <c r="D20" i="66"/>
  <c r="D21" i="66"/>
  <c r="B22" i="66"/>
  <c r="C22" i="66"/>
  <c r="C24" i="66"/>
  <c r="D23" i="66"/>
  <c r="B26" i="66"/>
  <c r="C26" i="66"/>
  <c r="D32" i="66"/>
  <c r="D33" i="66"/>
  <c r="D34" i="66"/>
  <c r="D35" i="66"/>
  <c r="B36" i="66"/>
  <c r="B38" i="66"/>
  <c r="C36" i="66"/>
  <c r="C38" i="66"/>
  <c r="C41" i="66"/>
  <c r="C43" i="66"/>
  <c r="D37" i="66"/>
  <c r="D39" i="66"/>
  <c r="D40" i="66"/>
  <c r="D42" i="66"/>
  <c r="D7" i="64"/>
  <c r="D8" i="64"/>
  <c r="D9" i="64"/>
  <c r="D10" i="64"/>
  <c r="D11" i="64"/>
  <c r="D12" i="64"/>
  <c r="D13" i="64"/>
  <c r="D14" i="64"/>
  <c r="D15" i="64"/>
  <c r="B16" i="64"/>
  <c r="C16" i="64"/>
  <c r="D16" i="64"/>
  <c r="D19" i="64"/>
  <c r="D20" i="64"/>
  <c r="D21" i="64"/>
  <c r="D22" i="64"/>
  <c r="D23" i="64"/>
  <c r="D24" i="64"/>
  <c r="D25" i="64"/>
  <c r="D26" i="64"/>
  <c r="B27" i="64"/>
  <c r="C27" i="64"/>
  <c r="D28" i="64"/>
  <c r="D29" i="64"/>
  <c r="F37" i="64"/>
  <c r="C38" i="64"/>
  <c r="E38" i="64"/>
  <c r="F38" i="64"/>
  <c r="B39" i="64"/>
  <c r="C39" i="64"/>
  <c r="D39" i="64"/>
  <c r="C40" i="64"/>
  <c r="E40" i="64"/>
  <c r="F40" i="64"/>
  <c r="C41" i="64"/>
  <c r="E41" i="64"/>
  <c r="F41" i="64"/>
  <c r="B42" i="64"/>
  <c r="D42" i="64"/>
  <c r="E42" i="64"/>
  <c r="C44" i="64"/>
  <c r="E44" i="64"/>
  <c r="F44" i="64"/>
  <c r="B45" i="64"/>
  <c r="C45" i="64"/>
  <c r="D45" i="64"/>
  <c r="E45" i="64"/>
  <c r="F45" i="64"/>
  <c r="C46" i="64"/>
  <c r="E46" i="64"/>
  <c r="F46" i="64"/>
  <c r="B47" i="64"/>
  <c r="D47" i="64"/>
  <c r="E47" i="64"/>
  <c r="F47" i="64"/>
  <c r="C48" i="64"/>
  <c r="E48" i="64"/>
  <c r="F48" i="64"/>
  <c r="C49" i="64"/>
  <c r="E49" i="64"/>
  <c r="F49" i="64"/>
  <c r="C52" i="64"/>
  <c r="E52" i="64"/>
  <c r="F52" i="64"/>
  <c r="C53" i="64"/>
  <c r="E53" i="64"/>
  <c r="F53" i="64"/>
  <c r="C55" i="64"/>
  <c r="E55" i="64"/>
  <c r="F55" i="64"/>
  <c r="B7" i="63"/>
  <c r="D8" i="63"/>
  <c r="D9" i="63"/>
  <c r="C10" i="63"/>
  <c r="D11" i="63"/>
  <c r="D15" i="63"/>
  <c r="D16" i="63"/>
  <c r="D17" i="63"/>
  <c r="D18" i="63"/>
  <c r="D19" i="63"/>
  <c r="D20" i="63"/>
  <c r="B21" i="63"/>
  <c r="C21" i="63"/>
  <c r="C23" i="63"/>
  <c r="D23" i="63"/>
  <c r="D22" i="63"/>
  <c r="B25" i="63"/>
  <c r="C25" i="63"/>
  <c r="B31" i="63"/>
  <c r="D31" i="63"/>
  <c r="D32" i="63"/>
  <c r="D33" i="63"/>
  <c r="B34" i="63"/>
  <c r="B35" i="63"/>
  <c r="C34" i="63"/>
  <c r="C35" i="63"/>
  <c r="C37" i="63"/>
  <c r="C40" i="63"/>
  <c r="C42" i="63"/>
  <c r="D36" i="63"/>
  <c r="D38" i="63"/>
  <c r="D39" i="63"/>
  <c r="D41" i="63"/>
  <c r="B7" i="60"/>
  <c r="D8" i="60"/>
  <c r="B9" i="60"/>
  <c r="C9" i="60"/>
  <c r="D10" i="60"/>
  <c r="D11" i="60"/>
  <c r="D12" i="60"/>
  <c r="B13" i="60"/>
  <c r="C13" i="60"/>
  <c r="D13" i="60"/>
  <c r="B14" i="60"/>
  <c r="C14" i="60"/>
  <c r="C16" i="60"/>
  <c r="D15" i="60"/>
  <c r="C19" i="60"/>
  <c r="D19" i="60"/>
  <c r="D20" i="60"/>
  <c r="C21" i="60"/>
  <c r="D22" i="60"/>
  <c r="C23" i="60"/>
  <c r="C27" i="60"/>
  <c r="C30" i="60"/>
  <c r="D30" i="60"/>
  <c r="D23" i="60"/>
  <c r="C24" i="60"/>
  <c r="D24" i="60"/>
  <c r="D25" i="60"/>
  <c r="D26" i="60"/>
  <c r="B27" i="60"/>
  <c r="B30" i="60"/>
  <c r="D28" i="60"/>
  <c r="D29" i="60"/>
  <c r="C37" i="60"/>
  <c r="E37" i="60"/>
  <c r="F37" i="60"/>
  <c r="C38" i="60"/>
  <c r="E38" i="60"/>
  <c r="F38" i="60"/>
  <c r="B39" i="60"/>
  <c r="C39" i="60"/>
  <c r="D39" i="60"/>
  <c r="F39" i="60"/>
  <c r="C40" i="60"/>
  <c r="E40" i="60"/>
  <c r="F40" i="60"/>
  <c r="C41" i="60"/>
  <c r="E41" i="60"/>
  <c r="F41" i="60"/>
  <c r="B42" i="60"/>
  <c r="D42" i="60"/>
  <c r="F42" i="60"/>
  <c r="E42" i="60"/>
  <c r="C44" i="60"/>
  <c r="D44" i="60"/>
  <c r="C45" i="60"/>
  <c r="D45" i="60"/>
  <c r="C46" i="60"/>
  <c r="D46" i="60"/>
  <c r="C47" i="60"/>
  <c r="D47" i="60"/>
  <c r="C48" i="60"/>
  <c r="E48" i="60"/>
  <c r="F48" i="60"/>
  <c r="C49" i="60"/>
  <c r="E49" i="60"/>
  <c r="F49" i="60"/>
  <c r="B50" i="60"/>
  <c r="C50" i="60"/>
  <c r="C52" i="60"/>
  <c r="D52" i="60"/>
  <c r="F52" i="60"/>
  <c r="C53" i="60"/>
  <c r="E53" i="60"/>
  <c r="F53" i="60"/>
  <c r="C55" i="60"/>
  <c r="E55" i="60"/>
  <c r="F55" i="60"/>
  <c r="D7" i="61"/>
  <c r="D8" i="61"/>
  <c r="B9" i="61"/>
  <c r="D9" i="61"/>
  <c r="C9" i="61"/>
  <c r="D10" i="61"/>
  <c r="B11" i="61"/>
  <c r="D11" i="61"/>
  <c r="C11" i="61"/>
  <c r="D12" i="61"/>
  <c r="B13" i="61"/>
  <c r="D16" i="61"/>
  <c r="C17" i="61"/>
  <c r="C21" i="61"/>
  <c r="C23" i="61"/>
  <c r="D17" i="61"/>
  <c r="D18" i="61"/>
  <c r="D19" i="61"/>
  <c r="D20" i="61"/>
  <c r="B21" i="61"/>
  <c r="D22" i="61"/>
  <c r="B25" i="61"/>
  <c r="C25" i="61"/>
  <c r="D31" i="61"/>
  <c r="D32" i="61"/>
  <c r="D33" i="61"/>
  <c r="B34" i="61"/>
  <c r="B35" i="61"/>
  <c r="B37" i="61"/>
  <c r="B40" i="61"/>
  <c r="B42" i="61"/>
  <c r="B44" i="61"/>
  <c r="C34" i="61"/>
  <c r="C35" i="61"/>
  <c r="D36" i="61"/>
  <c r="D38" i="61"/>
  <c r="D39" i="61"/>
  <c r="D41" i="61"/>
  <c r="D7" i="46"/>
  <c r="D8" i="46"/>
  <c r="D9" i="46"/>
  <c r="D10" i="46"/>
  <c r="D11" i="46"/>
  <c r="D12" i="46"/>
  <c r="D13" i="46"/>
  <c r="D14" i="46"/>
  <c r="D15" i="46"/>
  <c r="B16" i="46"/>
  <c r="D16" i="46"/>
  <c r="C16" i="46"/>
  <c r="D19" i="46"/>
  <c r="D20" i="46"/>
  <c r="D21" i="46"/>
  <c r="D22" i="46"/>
  <c r="D23" i="46"/>
  <c r="D24" i="46"/>
  <c r="D25" i="46"/>
  <c r="D26" i="46"/>
  <c r="B27" i="46"/>
  <c r="B30" i="46"/>
  <c r="D30" i="46"/>
  <c r="C27" i="46"/>
  <c r="C30" i="46"/>
  <c r="D27" i="46"/>
  <c r="D28" i="46"/>
  <c r="D29" i="46"/>
  <c r="C37" i="46"/>
  <c r="E37" i="46"/>
  <c r="F37" i="46"/>
  <c r="C38" i="46"/>
  <c r="E38" i="46"/>
  <c r="F38" i="46"/>
  <c r="B39" i="46"/>
  <c r="D39" i="46"/>
  <c r="E39" i="46"/>
  <c r="C40" i="46"/>
  <c r="E40" i="46"/>
  <c r="F40" i="46"/>
  <c r="C41" i="46"/>
  <c r="E41" i="46"/>
  <c r="F41" i="46"/>
  <c r="B42" i="46"/>
  <c r="C42" i="46"/>
  <c r="D42" i="46"/>
  <c r="C44" i="46"/>
  <c r="E44" i="46"/>
  <c r="F44" i="46"/>
  <c r="C45" i="46"/>
  <c r="E45" i="46"/>
  <c r="F45" i="46"/>
  <c r="C46" i="46"/>
  <c r="E46" i="46"/>
  <c r="F46" i="46"/>
  <c r="C47" i="46"/>
  <c r="E47" i="46"/>
  <c r="F47" i="46"/>
  <c r="C48" i="46"/>
  <c r="E48" i="46"/>
  <c r="F48" i="46"/>
  <c r="C49" i="46"/>
  <c r="E49" i="46"/>
  <c r="F49" i="46"/>
  <c r="B50" i="46"/>
  <c r="C50" i="46"/>
  <c r="D50" i="46"/>
  <c r="C52" i="46"/>
  <c r="E52" i="46"/>
  <c r="F52" i="46"/>
  <c r="C53" i="46"/>
  <c r="E53" i="46"/>
  <c r="F53" i="46"/>
  <c r="C55" i="46"/>
  <c r="E55" i="46"/>
  <c r="F55" i="46"/>
  <c r="D7" i="50"/>
  <c r="D8" i="50"/>
  <c r="D9" i="50"/>
  <c r="D10" i="50"/>
  <c r="B11" i="50"/>
  <c r="C11" i="50"/>
  <c r="C13" i="50"/>
  <c r="D12" i="50"/>
  <c r="D16" i="50"/>
  <c r="D17" i="50"/>
  <c r="D18" i="50"/>
  <c r="D19" i="50"/>
  <c r="D20" i="50"/>
  <c r="D21" i="50"/>
  <c r="B22" i="50"/>
  <c r="C22" i="50"/>
  <c r="D22" i="50"/>
  <c r="D23" i="50"/>
  <c r="B24" i="50"/>
  <c r="C24" i="50"/>
  <c r="D24" i="50"/>
  <c r="B26" i="50"/>
  <c r="C26" i="50"/>
  <c r="B32" i="50"/>
  <c r="B36" i="50"/>
  <c r="B38" i="50"/>
  <c r="B41" i="50"/>
  <c r="B43" i="50"/>
  <c r="C32" i="50"/>
  <c r="D33" i="50"/>
  <c r="D34" i="50"/>
  <c r="B35" i="50"/>
  <c r="C35" i="50"/>
  <c r="D35" i="50"/>
  <c r="D37" i="50"/>
  <c r="D39" i="50"/>
  <c r="D40" i="50"/>
  <c r="D42" i="50"/>
  <c r="D7" i="43"/>
  <c r="D8" i="43"/>
  <c r="D9" i="43"/>
  <c r="D10" i="43"/>
  <c r="D11" i="43"/>
  <c r="D12" i="43"/>
  <c r="D13" i="43"/>
  <c r="D14" i="43"/>
  <c r="D15" i="43"/>
  <c r="B16" i="43"/>
  <c r="C16" i="43"/>
  <c r="D16" i="43"/>
  <c r="D19" i="43"/>
  <c r="D20" i="43"/>
  <c r="D21" i="43"/>
  <c r="D22" i="43"/>
  <c r="D23" i="43"/>
  <c r="D24" i="43"/>
  <c r="D25" i="43"/>
  <c r="D26" i="43"/>
  <c r="B27" i="43"/>
  <c r="B30" i="43"/>
  <c r="C27" i="43"/>
  <c r="D27" i="43"/>
  <c r="D28" i="43"/>
  <c r="D29" i="43"/>
  <c r="F37" i="43"/>
  <c r="C38" i="43"/>
  <c r="E38" i="43"/>
  <c r="F38" i="43"/>
  <c r="B39" i="43"/>
  <c r="D39" i="43"/>
  <c r="E39" i="43"/>
  <c r="C40" i="43"/>
  <c r="E40" i="43"/>
  <c r="F40" i="43"/>
  <c r="C41" i="43"/>
  <c r="E41" i="43"/>
  <c r="F41" i="43"/>
  <c r="B42" i="43"/>
  <c r="C42" i="43"/>
  <c r="D42" i="43"/>
  <c r="E42" i="43"/>
  <c r="B43" i="43"/>
  <c r="C44" i="43"/>
  <c r="E44" i="43"/>
  <c r="F44" i="43"/>
  <c r="C45" i="43"/>
  <c r="E45" i="43"/>
  <c r="F45" i="43"/>
  <c r="C46" i="43"/>
  <c r="E46" i="43"/>
  <c r="F46" i="43"/>
  <c r="C47" i="43"/>
  <c r="E47" i="43"/>
  <c r="F47" i="43"/>
  <c r="C48" i="43"/>
  <c r="E48" i="43"/>
  <c r="F48" i="43"/>
  <c r="C49" i="43"/>
  <c r="E49" i="43"/>
  <c r="F49" i="43"/>
  <c r="B50" i="43"/>
  <c r="D50" i="43"/>
  <c r="E50" i="43"/>
  <c r="C52" i="43"/>
  <c r="E52" i="43"/>
  <c r="F52" i="43"/>
  <c r="C53" i="43"/>
  <c r="E53" i="43"/>
  <c r="F53" i="43"/>
  <c r="C55" i="43"/>
  <c r="E55" i="43"/>
  <c r="F55" i="43"/>
  <c r="D7" i="49"/>
  <c r="D8" i="49"/>
  <c r="D9" i="49"/>
  <c r="D10" i="49"/>
  <c r="B11" i="49"/>
  <c r="C11" i="49"/>
  <c r="D12" i="49"/>
  <c r="D16" i="49"/>
  <c r="D17" i="49"/>
  <c r="D18" i="49"/>
  <c r="D19" i="49"/>
  <c r="D20" i="49"/>
  <c r="D21" i="49"/>
  <c r="B22" i="49"/>
  <c r="C22" i="49"/>
  <c r="D23" i="49"/>
  <c r="B26" i="49"/>
  <c r="C26" i="49"/>
  <c r="B32" i="49"/>
  <c r="D32" i="49"/>
  <c r="D33" i="49"/>
  <c r="D34" i="49"/>
  <c r="B35" i="49"/>
  <c r="C35" i="49"/>
  <c r="C36" i="49"/>
  <c r="C38" i="49"/>
  <c r="B36" i="49"/>
  <c r="D37" i="49"/>
  <c r="D39" i="49"/>
  <c r="D40" i="49"/>
  <c r="D42" i="49"/>
  <c r="D7" i="45"/>
  <c r="D8" i="45"/>
  <c r="D9" i="45"/>
  <c r="D10" i="45"/>
  <c r="D11" i="45"/>
  <c r="D12" i="45"/>
  <c r="D13" i="45"/>
  <c r="D14" i="45"/>
  <c r="D15" i="45"/>
  <c r="B16" i="45"/>
  <c r="D16" i="45"/>
  <c r="C16" i="45"/>
  <c r="D19" i="45"/>
  <c r="D20" i="45"/>
  <c r="D21" i="45"/>
  <c r="D22" i="45"/>
  <c r="D23" i="45"/>
  <c r="D24" i="45"/>
  <c r="D25" i="45"/>
  <c r="D26" i="45"/>
  <c r="D27" i="45"/>
  <c r="D28" i="45"/>
  <c r="D29" i="45"/>
  <c r="B30" i="45"/>
  <c r="C30" i="45"/>
  <c r="D30" i="45"/>
  <c r="F37" i="45"/>
  <c r="C38" i="45"/>
  <c r="E38" i="45"/>
  <c r="F38" i="45"/>
  <c r="B39" i="45"/>
  <c r="C39" i="45"/>
  <c r="D39" i="45"/>
  <c r="F39" i="45"/>
  <c r="C40" i="45"/>
  <c r="E40" i="45"/>
  <c r="F40" i="45"/>
  <c r="C41" i="45"/>
  <c r="E41" i="45"/>
  <c r="F41" i="45"/>
  <c r="B42" i="45"/>
  <c r="C42" i="45"/>
  <c r="D42" i="45"/>
  <c r="C44" i="45"/>
  <c r="E44" i="45"/>
  <c r="F44" i="45"/>
  <c r="C45" i="45"/>
  <c r="E45" i="45"/>
  <c r="F45" i="45"/>
  <c r="C46" i="45"/>
  <c r="E46" i="45"/>
  <c r="F46" i="45"/>
  <c r="C47" i="45"/>
  <c r="E47" i="45"/>
  <c r="F47" i="45"/>
  <c r="C48" i="45"/>
  <c r="E48" i="45"/>
  <c r="F48" i="45"/>
  <c r="C49" i="45"/>
  <c r="E49" i="45"/>
  <c r="F49" i="45"/>
  <c r="B50" i="45"/>
  <c r="C50" i="45"/>
  <c r="D50" i="45"/>
  <c r="C52" i="45"/>
  <c r="E52" i="45"/>
  <c r="F52" i="45"/>
  <c r="C53" i="45"/>
  <c r="E53" i="45"/>
  <c r="F53" i="45"/>
  <c r="C55" i="45"/>
  <c r="E55" i="45"/>
  <c r="F55" i="45"/>
  <c r="D7" i="51"/>
  <c r="D8" i="51"/>
  <c r="D9" i="51"/>
  <c r="D10" i="51"/>
  <c r="D11" i="51"/>
  <c r="B12" i="51"/>
  <c r="D12" i="51"/>
  <c r="C12" i="51"/>
  <c r="D15" i="51"/>
  <c r="D16" i="51"/>
  <c r="D17" i="51"/>
  <c r="D18" i="51"/>
  <c r="D19" i="51"/>
  <c r="D20" i="51"/>
  <c r="B21" i="51"/>
  <c r="C21" i="51"/>
  <c r="D21" i="51"/>
  <c r="D22" i="51"/>
  <c r="B23" i="51"/>
  <c r="C23" i="51"/>
  <c r="D23" i="51"/>
  <c r="B25" i="51"/>
  <c r="C25" i="51"/>
  <c r="C31" i="51"/>
  <c r="D32" i="51"/>
  <c r="D33" i="51"/>
  <c r="C34" i="51"/>
  <c r="D34" i="51"/>
  <c r="B35" i="51"/>
  <c r="B37" i="51"/>
  <c r="B40" i="51"/>
  <c r="B42" i="51"/>
  <c r="D36" i="51"/>
  <c r="D38" i="51"/>
  <c r="D39" i="51"/>
  <c r="D41" i="51"/>
  <c r="D7" i="47"/>
  <c r="D8" i="47"/>
  <c r="D9" i="47"/>
  <c r="D10" i="47"/>
  <c r="D11" i="47"/>
  <c r="D12" i="47"/>
  <c r="D13" i="47"/>
  <c r="D14" i="47"/>
  <c r="D15" i="47"/>
  <c r="B16" i="47"/>
  <c r="D16" i="47"/>
  <c r="C16" i="47"/>
  <c r="D19" i="47"/>
  <c r="D20" i="47"/>
  <c r="D21" i="47"/>
  <c r="D22" i="47"/>
  <c r="D23" i="47"/>
  <c r="D24" i="47"/>
  <c r="D25" i="47"/>
  <c r="D26" i="47"/>
  <c r="B27" i="47"/>
  <c r="D27" i="47"/>
  <c r="B30" i="47"/>
  <c r="C27" i="47"/>
  <c r="D28" i="47"/>
  <c r="D29" i="47"/>
  <c r="F37" i="47"/>
  <c r="C38" i="47"/>
  <c r="E38" i="47"/>
  <c r="F38" i="47"/>
  <c r="B39" i="47"/>
  <c r="C39" i="47"/>
  <c r="D39" i="47"/>
  <c r="F39" i="47"/>
  <c r="C40" i="47"/>
  <c r="E40" i="47"/>
  <c r="F40" i="47"/>
  <c r="C41" i="47"/>
  <c r="E41" i="47"/>
  <c r="F41" i="47"/>
  <c r="B42" i="47"/>
  <c r="C42" i="47"/>
  <c r="D42" i="47"/>
  <c r="E42" i="47"/>
  <c r="C44" i="47"/>
  <c r="E44" i="47"/>
  <c r="F44" i="47"/>
  <c r="C45" i="47"/>
  <c r="E45" i="47"/>
  <c r="F45" i="47"/>
  <c r="C46" i="47"/>
  <c r="E46" i="47"/>
  <c r="F46" i="47"/>
  <c r="B47" i="47"/>
  <c r="C47" i="47"/>
  <c r="E47" i="47"/>
  <c r="C48" i="47"/>
  <c r="E48" i="47"/>
  <c r="F48" i="47"/>
  <c r="C49" i="47"/>
  <c r="E49" i="47"/>
  <c r="F49" i="47"/>
  <c r="D50" i="47"/>
  <c r="C52" i="47"/>
  <c r="E52" i="47"/>
  <c r="F52" i="47"/>
  <c r="C53" i="47"/>
  <c r="E53" i="47"/>
  <c r="F53" i="47"/>
  <c r="C55" i="47"/>
  <c r="E55" i="47"/>
  <c r="F55" i="47"/>
  <c r="D7" i="52"/>
  <c r="D8" i="52"/>
  <c r="B9" i="52"/>
  <c r="C9" i="52"/>
  <c r="B10" i="52"/>
  <c r="C10" i="52"/>
  <c r="D10" i="52"/>
  <c r="B11" i="52"/>
  <c r="B13" i="52"/>
  <c r="D13" i="52"/>
  <c r="C11" i="52"/>
  <c r="D12" i="52"/>
  <c r="D16" i="52"/>
  <c r="B17" i="52"/>
  <c r="C17" i="52"/>
  <c r="D17" i="52"/>
  <c r="C21" i="52"/>
  <c r="C23" i="52"/>
  <c r="D18" i="52"/>
  <c r="D19" i="52"/>
  <c r="D20" i="52"/>
  <c r="D22" i="52"/>
  <c r="B25" i="52"/>
  <c r="C25" i="52"/>
  <c r="D31" i="52"/>
  <c r="D32" i="52"/>
  <c r="D33" i="52"/>
  <c r="B34" i="52"/>
  <c r="B35" i="52"/>
  <c r="D35" i="52"/>
  <c r="C34" i="52"/>
  <c r="C35" i="52"/>
  <c r="D36" i="52"/>
  <c r="D38" i="52"/>
  <c r="D39" i="52"/>
  <c r="D41" i="52"/>
  <c r="D7" i="48"/>
  <c r="D8" i="48"/>
  <c r="D9" i="48"/>
  <c r="D10" i="48"/>
  <c r="D11" i="48"/>
  <c r="D12" i="48"/>
  <c r="D13" i="48"/>
  <c r="D14" i="48"/>
  <c r="D15" i="48"/>
  <c r="B16" i="48"/>
  <c r="C16" i="48"/>
  <c r="D19" i="48"/>
  <c r="D20" i="48"/>
  <c r="D21" i="48"/>
  <c r="D22" i="48"/>
  <c r="D23" i="48"/>
  <c r="D24" i="48"/>
  <c r="D25" i="48"/>
  <c r="D26" i="48"/>
  <c r="B27" i="48"/>
  <c r="B30" i="48"/>
  <c r="C27" i="48"/>
  <c r="D28" i="48"/>
  <c r="D29" i="48"/>
  <c r="F37" i="48"/>
  <c r="C38" i="48"/>
  <c r="E38" i="48"/>
  <c r="F38" i="48"/>
  <c r="B39" i="48"/>
  <c r="C39" i="48"/>
  <c r="D39" i="48"/>
  <c r="C40" i="48"/>
  <c r="E40" i="48"/>
  <c r="F40" i="48"/>
  <c r="C41" i="48"/>
  <c r="E41" i="48"/>
  <c r="F41" i="48"/>
  <c r="B42" i="48"/>
  <c r="C42" i="48"/>
  <c r="D42" i="48"/>
  <c r="C44" i="48"/>
  <c r="E44" i="48"/>
  <c r="F44" i="48"/>
  <c r="C45" i="48"/>
  <c r="E45" i="48"/>
  <c r="F45" i="48"/>
  <c r="C46" i="48"/>
  <c r="E46" i="48"/>
  <c r="F46" i="48"/>
  <c r="B47" i="48"/>
  <c r="E47" i="48"/>
  <c r="C48" i="48"/>
  <c r="E48" i="48"/>
  <c r="F48" i="48"/>
  <c r="C49" i="48"/>
  <c r="E49" i="48"/>
  <c r="F49" i="48"/>
  <c r="D50" i="48"/>
  <c r="E50" i="48"/>
  <c r="C52" i="48"/>
  <c r="E52" i="48"/>
  <c r="F52" i="48"/>
  <c r="C53" i="48"/>
  <c r="E53" i="48"/>
  <c r="F53" i="48"/>
  <c r="C55" i="48"/>
  <c r="E55" i="48"/>
  <c r="F55" i="48"/>
  <c r="D7" i="53"/>
  <c r="D8" i="53"/>
  <c r="D9" i="53"/>
  <c r="D10" i="53"/>
  <c r="D11" i="53"/>
  <c r="B12" i="53"/>
  <c r="C12" i="53"/>
  <c r="D12" i="53"/>
  <c r="D15" i="53"/>
  <c r="D16" i="53"/>
  <c r="D17" i="53"/>
  <c r="D18" i="53"/>
  <c r="D19" i="53"/>
  <c r="D20" i="53"/>
  <c r="B21" i="53"/>
  <c r="C21" i="53"/>
  <c r="D21" i="53"/>
  <c r="D22" i="53"/>
  <c r="B23" i="53"/>
  <c r="C23" i="53"/>
  <c r="D23" i="53"/>
  <c r="B25" i="53"/>
  <c r="C25" i="53"/>
  <c r="D31" i="53"/>
  <c r="D32" i="53"/>
  <c r="D33" i="53"/>
  <c r="D34" i="53"/>
  <c r="B35" i="53"/>
  <c r="C35" i="53"/>
  <c r="D35" i="53"/>
  <c r="D36" i="53"/>
  <c r="B37" i="53"/>
  <c r="B38" i="53"/>
  <c r="D39" i="53"/>
  <c r="D41" i="53"/>
  <c r="D7" i="55"/>
  <c r="D8" i="55"/>
  <c r="D9" i="55"/>
  <c r="D10" i="55"/>
  <c r="D11" i="55"/>
  <c r="D12" i="55"/>
  <c r="D13" i="55"/>
  <c r="D14" i="55"/>
  <c r="D15" i="55"/>
  <c r="B16" i="55"/>
  <c r="D16" i="55"/>
  <c r="C16" i="55"/>
  <c r="D19" i="55"/>
  <c r="D20" i="55"/>
  <c r="D21" i="55"/>
  <c r="D22" i="55"/>
  <c r="D23" i="55"/>
  <c r="D24" i="55"/>
  <c r="D25" i="55"/>
  <c r="D26" i="55"/>
  <c r="B27" i="55"/>
  <c r="B30" i="55"/>
  <c r="C27" i="55"/>
  <c r="D28" i="55"/>
  <c r="D29" i="55"/>
  <c r="F37" i="55"/>
  <c r="C38" i="55"/>
  <c r="E38" i="55"/>
  <c r="F38" i="55"/>
  <c r="B39" i="55"/>
  <c r="D39" i="55"/>
  <c r="E39" i="55"/>
  <c r="C40" i="55"/>
  <c r="E40" i="55"/>
  <c r="F40" i="55"/>
  <c r="C41" i="55"/>
  <c r="E41" i="55"/>
  <c r="F41" i="55"/>
  <c r="B42" i="55"/>
  <c r="C42" i="55"/>
  <c r="D42" i="55"/>
  <c r="E42" i="55"/>
  <c r="C44" i="55"/>
  <c r="E44" i="55"/>
  <c r="F44" i="55"/>
  <c r="C45" i="55"/>
  <c r="E45" i="55"/>
  <c r="F45" i="55"/>
  <c r="C46" i="55"/>
  <c r="E46" i="55"/>
  <c r="F46" i="55"/>
  <c r="B47" i="55"/>
  <c r="C47" i="55"/>
  <c r="B50" i="55"/>
  <c r="C50" i="55"/>
  <c r="E47" i="55"/>
  <c r="F47" i="55"/>
  <c r="C48" i="55"/>
  <c r="E48" i="55"/>
  <c r="F48" i="55"/>
  <c r="C49" i="55"/>
  <c r="E49" i="55"/>
  <c r="F49" i="55"/>
  <c r="D50" i="55"/>
  <c r="C52" i="55"/>
  <c r="E52" i="55"/>
  <c r="F52" i="55"/>
  <c r="C53" i="55"/>
  <c r="E53" i="55"/>
  <c r="F53" i="55"/>
  <c r="C55" i="55"/>
  <c r="E55" i="55"/>
  <c r="F55" i="55"/>
  <c r="D7" i="54"/>
  <c r="D8" i="54"/>
  <c r="D9" i="54"/>
  <c r="D10" i="54"/>
  <c r="D11" i="54"/>
  <c r="B12" i="54"/>
  <c r="C12" i="54"/>
  <c r="D12" i="54"/>
  <c r="D15" i="54"/>
  <c r="D16" i="54"/>
  <c r="D17" i="54"/>
  <c r="D18" i="54"/>
  <c r="D19" i="54"/>
  <c r="D20" i="54"/>
  <c r="B21" i="54"/>
  <c r="C21" i="54"/>
  <c r="D21" i="54"/>
  <c r="D22" i="54"/>
  <c r="B23" i="54"/>
  <c r="B25" i="54"/>
  <c r="C25" i="54"/>
  <c r="D31" i="54"/>
  <c r="D32" i="54"/>
  <c r="D33" i="54"/>
  <c r="D34" i="54"/>
  <c r="B35" i="54"/>
  <c r="B37" i="54"/>
  <c r="C35" i="54"/>
  <c r="C37" i="54"/>
  <c r="D36" i="54"/>
  <c r="B38" i="54"/>
  <c r="B40" i="54"/>
  <c r="B42" i="54"/>
  <c r="D39" i="54"/>
  <c r="D41" i="54"/>
  <c r="D7" i="57"/>
  <c r="D8" i="57"/>
  <c r="D9" i="57"/>
  <c r="D10" i="57"/>
  <c r="D11" i="57"/>
  <c r="D12" i="57"/>
  <c r="D13" i="57"/>
  <c r="D14" i="57"/>
  <c r="D15" i="57"/>
  <c r="B16" i="57"/>
  <c r="C16" i="57"/>
  <c r="D16" i="57"/>
  <c r="D19" i="57"/>
  <c r="D20" i="57"/>
  <c r="D21" i="57"/>
  <c r="D22" i="57"/>
  <c r="D23" i="57"/>
  <c r="D24" i="57"/>
  <c r="D25" i="57"/>
  <c r="D26" i="57"/>
  <c r="B27" i="57"/>
  <c r="B30" i="57"/>
  <c r="C27" i="57"/>
  <c r="D27" i="57"/>
  <c r="D28" i="57"/>
  <c r="D29" i="57"/>
  <c r="F37" i="57"/>
  <c r="C38" i="57"/>
  <c r="E38" i="57"/>
  <c r="F38" i="57"/>
  <c r="B39" i="57"/>
  <c r="C39" i="57"/>
  <c r="D39" i="57"/>
  <c r="E39" i="57"/>
  <c r="C40" i="57"/>
  <c r="E40" i="57"/>
  <c r="F40" i="57"/>
  <c r="C41" i="57"/>
  <c r="E41" i="57"/>
  <c r="F41" i="57"/>
  <c r="B42" i="57"/>
  <c r="D42" i="57"/>
  <c r="F42" i="57"/>
  <c r="E42" i="57"/>
  <c r="C44" i="57"/>
  <c r="E44" i="57"/>
  <c r="F44" i="57"/>
  <c r="C45" i="57"/>
  <c r="E45" i="57"/>
  <c r="F45" i="57"/>
  <c r="C46" i="57"/>
  <c r="E46" i="57"/>
  <c r="F46" i="57"/>
  <c r="B47" i="57"/>
  <c r="E47" i="57"/>
  <c r="C48" i="57"/>
  <c r="E48" i="57"/>
  <c r="F48" i="57"/>
  <c r="C49" i="57"/>
  <c r="E49" i="57"/>
  <c r="F49" i="57"/>
  <c r="D50" i="57"/>
  <c r="E50" i="57"/>
  <c r="C52" i="57"/>
  <c r="E52" i="57"/>
  <c r="F52" i="57"/>
  <c r="C53" i="57"/>
  <c r="E53" i="57"/>
  <c r="F53" i="57"/>
  <c r="C55" i="57"/>
  <c r="E55" i="57"/>
  <c r="F55" i="57"/>
  <c r="D7" i="56"/>
  <c r="D8" i="56"/>
  <c r="D9" i="56"/>
  <c r="D10" i="56"/>
  <c r="D11" i="56"/>
  <c r="B12" i="56"/>
  <c r="D12" i="56"/>
  <c r="C12" i="56"/>
  <c r="D15" i="56"/>
  <c r="D16" i="56"/>
  <c r="D17" i="56"/>
  <c r="D18" i="56"/>
  <c r="D19" i="56"/>
  <c r="D20" i="56"/>
  <c r="B21" i="56"/>
  <c r="D21" i="56"/>
  <c r="C21" i="56"/>
  <c r="D22" i="56"/>
  <c r="B23" i="56"/>
  <c r="B25" i="56"/>
  <c r="C25" i="56"/>
  <c r="D31" i="56"/>
  <c r="D32" i="56"/>
  <c r="D33" i="56"/>
  <c r="D34" i="56"/>
  <c r="B35" i="56"/>
  <c r="B37" i="56"/>
  <c r="C35" i="56"/>
  <c r="C37" i="56"/>
  <c r="D36" i="56"/>
  <c r="B38" i="56"/>
  <c r="D38" i="56"/>
  <c r="D39" i="56"/>
  <c r="D41" i="56"/>
  <c r="D7" i="59"/>
  <c r="D8" i="59"/>
  <c r="D9" i="59"/>
  <c r="D10" i="59"/>
  <c r="D11" i="59"/>
  <c r="D12" i="59"/>
  <c r="D13" i="59"/>
  <c r="D14" i="59"/>
  <c r="D15" i="59"/>
  <c r="B16" i="59"/>
  <c r="C16" i="59"/>
  <c r="D16" i="59"/>
  <c r="D19" i="59"/>
  <c r="D20" i="59"/>
  <c r="D21" i="59"/>
  <c r="D22" i="59"/>
  <c r="D23" i="59"/>
  <c r="D24" i="59"/>
  <c r="D25" i="59"/>
  <c r="D26" i="59"/>
  <c r="B27" i="59"/>
  <c r="B30" i="59"/>
  <c r="C27" i="59"/>
  <c r="D27" i="59"/>
  <c r="D28" i="59"/>
  <c r="D29" i="59"/>
  <c r="F37" i="59"/>
  <c r="C38" i="59"/>
  <c r="E38" i="59"/>
  <c r="F38" i="59"/>
  <c r="B39" i="59"/>
  <c r="C39" i="59"/>
  <c r="D39" i="59"/>
  <c r="F39" i="59"/>
  <c r="C40" i="59"/>
  <c r="E40" i="59"/>
  <c r="F40" i="59"/>
  <c r="C41" i="59"/>
  <c r="E41" i="59"/>
  <c r="F41" i="59"/>
  <c r="B42" i="59"/>
  <c r="D42" i="59"/>
  <c r="C44" i="59"/>
  <c r="E44" i="59"/>
  <c r="F44" i="59"/>
  <c r="C45" i="59"/>
  <c r="E45" i="59"/>
  <c r="F45" i="59"/>
  <c r="C46" i="59"/>
  <c r="E46" i="59"/>
  <c r="F46" i="59"/>
  <c r="C47" i="59"/>
  <c r="E47" i="59"/>
  <c r="F47" i="59"/>
  <c r="C48" i="59"/>
  <c r="E48" i="59"/>
  <c r="F48" i="59"/>
  <c r="C49" i="59"/>
  <c r="E49" i="59"/>
  <c r="F49" i="59"/>
  <c r="B50" i="59"/>
  <c r="C50" i="59"/>
  <c r="D50" i="59"/>
  <c r="C52" i="59"/>
  <c r="E52" i="59"/>
  <c r="F52" i="59"/>
  <c r="C53" i="59"/>
  <c r="E53" i="59"/>
  <c r="F53" i="59"/>
  <c r="B55" i="59"/>
  <c r="C55" i="59"/>
  <c r="E55" i="59"/>
  <c r="D7" i="58"/>
  <c r="D8" i="58"/>
  <c r="B9" i="58"/>
  <c r="B13" i="58"/>
  <c r="D13" i="58"/>
  <c r="C9" i="58"/>
  <c r="C13" i="58"/>
  <c r="D10" i="58"/>
  <c r="D11" i="58"/>
  <c r="D12" i="58"/>
  <c r="B16" i="58"/>
  <c r="C16" i="58"/>
  <c r="D16" i="58"/>
  <c r="C20" i="58"/>
  <c r="C22" i="58"/>
  <c r="D17" i="58"/>
  <c r="D18" i="58"/>
  <c r="D19" i="58"/>
  <c r="D21" i="58"/>
  <c r="B24" i="58"/>
  <c r="C24" i="58"/>
  <c r="D30" i="58"/>
  <c r="D31" i="58"/>
  <c r="D32" i="58"/>
  <c r="B33" i="58"/>
  <c r="B34" i="58"/>
  <c r="B36" i="58"/>
  <c r="C33" i="58"/>
  <c r="D33" i="58"/>
  <c r="C34" i="58"/>
  <c r="D35" i="58"/>
  <c r="B37" i="58"/>
  <c r="C37" i="58"/>
  <c r="D37" i="58"/>
  <c r="B38" i="58"/>
  <c r="C38" i="58"/>
  <c r="D38" i="58"/>
  <c r="D40" i="58"/>
  <c r="C42" i="59"/>
  <c r="B43" i="59"/>
  <c r="B20" i="58"/>
  <c r="C13" i="52"/>
  <c r="E39" i="47"/>
  <c r="D31" i="51"/>
  <c r="C35" i="51"/>
  <c r="C37" i="51"/>
  <c r="D37" i="51"/>
  <c r="B24" i="49"/>
  <c r="C13" i="61"/>
  <c r="D9" i="60"/>
  <c r="B23" i="63"/>
  <c r="D14" i="60"/>
  <c r="C13" i="66"/>
  <c r="D13" i="66"/>
  <c r="B43" i="48"/>
  <c r="D9" i="52"/>
  <c r="D34" i="52"/>
  <c r="C13" i="49"/>
  <c r="E50" i="46"/>
  <c r="F50" i="46"/>
  <c r="D34" i="61"/>
  <c r="C37" i="52"/>
  <c r="C40" i="52"/>
  <c r="C42" i="52"/>
  <c r="E50" i="47"/>
  <c r="F47" i="47"/>
  <c r="C42" i="60"/>
  <c r="B43" i="60"/>
  <c r="B51" i="60"/>
  <c r="D7" i="63"/>
  <c r="B12" i="63"/>
  <c r="B43" i="85"/>
  <c r="H28" i="94"/>
  <c r="L28" i="94"/>
  <c r="N42" i="95"/>
  <c r="L47" i="95"/>
  <c r="J31" i="97"/>
  <c r="I34" i="97"/>
  <c r="J34" i="97"/>
  <c r="L42" i="100"/>
  <c r="L44" i="100"/>
  <c r="P46" i="99"/>
  <c r="N40" i="98"/>
  <c r="Q54" i="101"/>
  <c r="K42" i="105"/>
  <c r="J44" i="105"/>
  <c r="M27" i="108"/>
  <c r="N17" i="110"/>
  <c r="L27" i="110"/>
  <c r="T59" i="111"/>
  <c r="U59" i="111"/>
  <c r="W42" i="111"/>
  <c r="V47" i="111"/>
  <c r="Z42" i="111"/>
  <c r="C30" i="59"/>
  <c r="D30" i="59"/>
  <c r="C30" i="57"/>
  <c r="D30" i="57"/>
  <c r="C40" i="54"/>
  <c r="F42" i="43"/>
  <c r="F39" i="46"/>
  <c r="C30" i="64"/>
  <c r="D43" i="67"/>
  <c r="D51" i="67"/>
  <c r="C30" i="67"/>
  <c r="C27" i="70"/>
  <c r="D27" i="70"/>
  <c r="C27" i="65"/>
  <c r="B35" i="72"/>
  <c r="D35" i="72"/>
  <c r="F47" i="73"/>
  <c r="F45" i="79"/>
  <c r="C27" i="79"/>
  <c r="D27" i="79"/>
  <c r="B44" i="84"/>
  <c r="C44" i="84"/>
  <c r="B44" i="86"/>
  <c r="E39" i="86"/>
  <c r="B36" i="88"/>
  <c r="D36" i="88"/>
  <c r="E39" i="87"/>
  <c r="B44" i="80"/>
  <c r="C44" i="80"/>
  <c r="D30" i="89"/>
  <c r="B44" i="91"/>
  <c r="C44" i="91"/>
  <c r="E39" i="91"/>
  <c r="F46" i="93"/>
  <c r="H49" i="94"/>
  <c r="L49" i="94"/>
  <c r="J42" i="96"/>
  <c r="N42" i="97"/>
  <c r="M47" i="97"/>
  <c r="Q47" i="97"/>
  <c r="N40" i="100"/>
  <c r="P42" i="100"/>
  <c r="P44" i="100"/>
  <c r="P47" i="100"/>
  <c r="P49" i="100"/>
  <c r="O54" i="99"/>
  <c r="P54" i="99"/>
  <c r="U47" i="99"/>
  <c r="L34" i="99"/>
  <c r="L20" i="99"/>
  <c r="V54" i="101"/>
  <c r="W54" i="101"/>
  <c r="O46" i="101"/>
  <c r="R46" i="101"/>
  <c r="K27" i="106"/>
  <c r="J30" i="106"/>
  <c r="S45" i="109"/>
  <c r="R45" i="109"/>
  <c r="B43" i="47"/>
  <c r="D43" i="43"/>
  <c r="E43" i="43"/>
  <c r="C30" i="43"/>
  <c r="F39" i="70"/>
  <c r="F39" i="65"/>
  <c r="B50" i="73"/>
  <c r="C50" i="73"/>
  <c r="D9" i="79"/>
  <c r="F43" i="84"/>
  <c r="D27" i="84"/>
  <c r="F43" i="86"/>
  <c r="D27" i="86"/>
  <c r="F51" i="87"/>
  <c r="D27" i="87"/>
  <c r="F51" i="80"/>
  <c r="F51" i="91"/>
  <c r="D27" i="91"/>
  <c r="D31" i="93"/>
  <c r="O42" i="99"/>
  <c r="P42" i="99"/>
  <c r="N47" i="99"/>
  <c r="O47" i="99"/>
  <c r="L55" i="101"/>
  <c r="L58" i="101"/>
  <c r="R42" i="103"/>
  <c r="S42" i="103"/>
  <c r="Q47" i="103"/>
  <c r="Q55" i="103"/>
  <c r="B43" i="67"/>
  <c r="F43" i="67"/>
  <c r="B43" i="73"/>
  <c r="B27" i="77"/>
  <c r="C42" i="78"/>
  <c r="C44" i="78"/>
  <c r="M42" i="95"/>
  <c r="M42" i="100"/>
  <c r="N42" i="100"/>
  <c r="I47" i="99"/>
  <c r="I55" i="99"/>
  <c r="I58" i="99"/>
  <c r="P46" i="98"/>
  <c r="R44" i="98"/>
  <c r="S44" i="98"/>
  <c r="H55" i="101"/>
  <c r="H58" i="101"/>
  <c r="T46" i="101"/>
  <c r="S47" i="101"/>
  <c r="T47" i="101"/>
  <c r="O42" i="101"/>
  <c r="N47" i="101"/>
  <c r="N55" i="101"/>
  <c r="R42" i="101"/>
  <c r="J47" i="101"/>
  <c r="J55" i="101"/>
  <c r="J58" i="101"/>
  <c r="M43" i="102"/>
  <c r="Q43" i="102"/>
  <c r="R43" i="102"/>
  <c r="K44" i="102"/>
  <c r="K47" i="102"/>
  <c r="K49" i="102"/>
  <c r="R40" i="102"/>
  <c r="H55" i="103"/>
  <c r="H58" i="103"/>
  <c r="M42" i="98"/>
  <c r="M44" i="98"/>
  <c r="M47" i="98"/>
  <c r="M49" i="98"/>
  <c r="P47" i="101"/>
  <c r="S44" i="102"/>
  <c r="S47" i="102"/>
  <c r="S49" i="102"/>
  <c r="U49" i="102"/>
  <c r="R41" i="102"/>
  <c r="N26" i="105"/>
  <c r="K17" i="105"/>
  <c r="I27" i="105"/>
  <c r="I30" i="105"/>
  <c r="J54" i="104"/>
  <c r="I55" i="104"/>
  <c r="O46" i="104"/>
  <c r="N47" i="104"/>
  <c r="O47" i="104"/>
  <c r="R46" i="104"/>
  <c r="S49" i="109"/>
  <c r="R49" i="109"/>
  <c r="W42" i="101"/>
  <c r="U47" i="101"/>
  <c r="U55" i="101"/>
  <c r="T47" i="103"/>
  <c r="T55" i="103"/>
  <c r="R46" i="103"/>
  <c r="M27" i="105"/>
  <c r="M28" i="105"/>
  <c r="N28" i="105"/>
  <c r="P42" i="108"/>
  <c r="T49" i="110"/>
  <c r="J55" i="111"/>
  <c r="J58" i="111"/>
  <c r="P38" i="102"/>
  <c r="L42" i="102"/>
  <c r="L44" i="102"/>
  <c r="L47" i="102"/>
  <c r="L49" i="102"/>
  <c r="R54" i="103"/>
  <c r="S54" i="103"/>
  <c r="W46" i="103"/>
  <c r="X46" i="103"/>
  <c r="K26" i="105"/>
  <c r="K26" i="106"/>
  <c r="J28" i="106"/>
  <c r="N46" i="107"/>
  <c r="Q46" i="107"/>
  <c r="I27" i="108"/>
  <c r="I30" i="108"/>
  <c r="K26" i="108"/>
  <c r="N17" i="108"/>
  <c r="L27" i="108"/>
  <c r="L30" i="108"/>
  <c r="R56" i="109"/>
  <c r="S56" i="109"/>
  <c r="R52" i="109"/>
  <c r="S52" i="109"/>
  <c r="J33" i="109"/>
  <c r="K20" i="109"/>
  <c r="T41" i="111"/>
  <c r="U41" i="111"/>
  <c r="K47" i="104"/>
  <c r="M47" i="104"/>
  <c r="L46" i="104"/>
  <c r="R42" i="106"/>
  <c r="P44" i="106"/>
  <c r="N42" i="106"/>
  <c r="O42" i="106"/>
  <c r="I30" i="106"/>
  <c r="U42" i="107"/>
  <c r="J34" i="107"/>
  <c r="M33" i="107"/>
  <c r="N26" i="108"/>
  <c r="S59" i="109"/>
  <c r="Q54" i="109"/>
  <c r="S54" i="109"/>
  <c r="S48" i="109"/>
  <c r="V47" i="109"/>
  <c r="V55" i="109"/>
  <c r="W46" i="109"/>
  <c r="K17" i="110"/>
  <c r="U56" i="111"/>
  <c r="I34" i="104"/>
  <c r="O47" i="109"/>
  <c r="O55" i="109"/>
  <c r="K47" i="109"/>
  <c r="K55" i="109"/>
  <c r="K58" i="109"/>
  <c r="I27" i="110"/>
  <c r="I30" i="110"/>
  <c r="T52" i="111"/>
  <c r="U52" i="111"/>
  <c r="I33" i="111"/>
  <c r="I34" i="111"/>
  <c r="K20" i="104"/>
  <c r="M30" i="106"/>
  <c r="K20" i="107"/>
  <c r="T47" i="109"/>
  <c r="X42" i="109"/>
  <c r="S42" i="109"/>
  <c r="S41" i="110"/>
  <c r="K26" i="110"/>
  <c r="M27" i="110"/>
  <c r="M30" i="110"/>
  <c r="U50" i="111"/>
  <c r="S54" i="111"/>
  <c r="T54" i="111"/>
  <c r="W46" i="111"/>
  <c r="Z46" i="111"/>
  <c r="M47" i="111"/>
  <c r="M55" i="111"/>
  <c r="M58" i="111"/>
  <c r="J33" i="111"/>
  <c r="K33" i="111"/>
  <c r="J27" i="110"/>
  <c r="J30" i="110"/>
  <c r="T57" i="111"/>
  <c r="U49" i="111"/>
  <c r="T45" i="111"/>
  <c r="U45" i="111"/>
  <c r="M34" i="111"/>
  <c r="X47" i="111"/>
  <c r="X55" i="111"/>
  <c r="U40" i="111"/>
  <c r="S42" i="111"/>
  <c r="T42" i="111"/>
  <c r="T53" i="111"/>
  <c r="T44" i="111"/>
  <c r="U74" i="123"/>
  <c r="C62" i="120"/>
  <c r="H45" i="122"/>
  <c r="H50" i="122"/>
  <c r="J50" i="122"/>
  <c r="P68" i="122"/>
  <c r="Q68" i="122"/>
  <c r="Q62" i="122"/>
  <c r="C45" i="124"/>
  <c r="O74" i="121"/>
  <c r="D37" i="122"/>
  <c r="G68" i="122"/>
  <c r="H68" i="122"/>
  <c r="H62" i="122"/>
  <c r="T86" i="122"/>
  <c r="S86" i="122"/>
  <c r="O72" i="121"/>
  <c r="D15" i="122"/>
  <c r="H28" i="122"/>
  <c r="J28" i="122"/>
  <c r="D37" i="124"/>
  <c r="O73" i="121"/>
  <c r="U80" i="123"/>
  <c r="U85" i="123"/>
  <c r="W47" i="109"/>
  <c r="P44" i="108"/>
  <c r="P47" i="108"/>
  <c r="Q42" i="108"/>
  <c r="S55" i="101"/>
  <c r="T55" i="101"/>
  <c r="W47" i="101"/>
  <c r="B30" i="77"/>
  <c r="D30" i="77"/>
  <c r="D27" i="77"/>
  <c r="B52" i="91"/>
  <c r="B55" i="91"/>
  <c r="C55" i="91"/>
  <c r="C42" i="54"/>
  <c r="D42" i="54"/>
  <c r="L28" i="110"/>
  <c r="N27" i="110"/>
  <c r="L30" i="110"/>
  <c r="X47" i="109"/>
  <c r="N33" i="107"/>
  <c r="M34" i="107"/>
  <c r="N34" i="107"/>
  <c r="N55" i="104"/>
  <c r="N58" i="104"/>
  <c r="O58" i="104"/>
  <c r="R47" i="103"/>
  <c r="M55" i="97"/>
  <c r="N47" i="97"/>
  <c r="B38" i="88"/>
  <c r="D38" i="88"/>
  <c r="E43" i="67"/>
  <c r="L55" i="95"/>
  <c r="M47" i="95"/>
  <c r="J28" i="110"/>
  <c r="P47" i="109"/>
  <c r="K55" i="104"/>
  <c r="L55" i="104"/>
  <c r="F50" i="73"/>
  <c r="W47" i="111"/>
  <c r="V55" i="111"/>
  <c r="W55" i="111"/>
  <c r="B22" i="58"/>
  <c r="D22" i="58"/>
  <c r="D20" i="58"/>
  <c r="J34" i="109"/>
  <c r="K33" i="109"/>
  <c r="V47" i="101"/>
  <c r="C30" i="79"/>
  <c r="D30" i="79"/>
  <c r="B37" i="72"/>
  <c r="P40" i="98"/>
  <c r="B51" i="59"/>
  <c r="C51" i="59"/>
  <c r="C43" i="59"/>
  <c r="M28" i="110"/>
  <c r="N28" i="110"/>
  <c r="B51" i="67"/>
  <c r="C51" i="67"/>
  <c r="C43" i="67"/>
  <c r="N44" i="106"/>
  <c r="N47" i="106"/>
  <c r="N49" i="106"/>
  <c r="P42" i="102"/>
  <c r="R38" i="102"/>
  <c r="N27" i="105"/>
  <c r="M30" i="105"/>
  <c r="I58" i="104"/>
  <c r="J58" i="104"/>
  <c r="J55" i="104"/>
  <c r="N55" i="99"/>
  <c r="N58" i="99"/>
  <c r="O58" i="99"/>
  <c r="C30" i="65"/>
  <c r="C43" i="48"/>
  <c r="D35" i="51"/>
  <c r="P44" i="102"/>
  <c r="P47" i="102"/>
  <c r="C40" i="51"/>
  <c r="D40" i="51"/>
  <c r="V58" i="111"/>
  <c r="W58" i="111"/>
  <c r="B54" i="67"/>
  <c r="C54" i="67"/>
  <c r="L58" i="95"/>
  <c r="M55" i="95"/>
  <c r="S58" i="101"/>
  <c r="T58" i="101"/>
  <c r="B41" i="88"/>
  <c r="B43" i="88"/>
  <c r="D43" i="88"/>
  <c r="M58" i="95"/>
  <c r="C42" i="51"/>
  <c r="D42" i="51"/>
  <c r="D41" i="88"/>
  <c r="B28" i="125"/>
  <c r="D28" i="125"/>
  <c r="J86" i="126"/>
  <c r="K62" i="126"/>
  <c r="J62" i="126"/>
  <c r="D15" i="126"/>
  <c r="B68" i="126"/>
  <c r="B76" i="126"/>
  <c r="E86" i="126"/>
  <c r="C45" i="126"/>
  <c r="C50" i="126"/>
  <c r="B45" i="126"/>
  <c r="B50" i="126"/>
  <c r="B28" i="126"/>
  <c r="D37" i="120"/>
  <c r="C49" i="120"/>
  <c r="D49" i="120"/>
  <c r="C45" i="120"/>
  <c r="D44" i="120"/>
  <c r="C68" i="120"/>
  <c r="F62" i="120"/>
  <c r="D68" i="120"/>
  <c r="B28" i="121"/>
  <c r="O64" i="121"/>
  <c r="O70" i="121"/>
  <c r="R71" i="121"/>
  <c r="R74" i="121"/>
  <c r="O77" i="121"/>
  <c r="O87" i="121"/>
  <c r="I68" i="121"/>
  <c r="J68" i="121"/>
  <c r="G49" i="121"/>
  <c r="R64" i="121"/>
  <c r="R70" i="121"/>
  <c r="R78" i="121"/>
  <c r="O78" i="121"/>
  <c r="D37" i="121"/>
  <c r="B68" i="121"/>
  <c r="C68" i="121"/>
  <c r="D49" i="121"/>
  <c r="Q74" i="121"/>
  <c r="R85" i="121"/>
  <c r="P76" i="122"/>
  <c r="Q76" i="122"/>
  <c r="G27" i="122"/>
  <c r="D44" i="122"/>
  <c r="J44" i="122"/>
  <c r="D49" i="122"/>
  <c r="J49" i="122"/>
  <c r="G76" i="122"/>
  <c r="J62" i="122"/>
  <c r="D27" i="122"/>
  <c r="J27" i="122"/>
  <c r="J37" i="122"/>
  <c r="G44" i="122"/>
  <c r="G49" i="122"/>
  <c r="C45" i="122"/>
  <c r="F45" i="122"/>
  <c r="F50" i="122"/>
  <c r="I76" i="122"/>
  <c r="J68" i="122"/>
  <c r="K68" i="122"/>
  <c r="F28" i="122"/>
  <c r="B45" i="122"/>
  <c r="B50" i="122"/>
  <c r="K62" i="122"/>
  <c r="B28" i="122"/>
  <c r="J15" i="122"/>
  <c r="J49" i="123"/>
  <c r="S87" i="123"/>
  <c r="U77" i="123"/>
  <c r="S85" i="123"/>
  <c r="V69" i="123"/>
  <c r="U87" i="123"/>
  <c r="U75" i="123"/>
  <c r="B28" i="123"/>
  <c r="H28" i="123"/>
  <c r="J28" i="123"/>
  <c r="L28" i="123"/>
  <c r="M28" i="123"/>
  <c r="J62" i="123"/>
  <c r="F28" i="123"/>
  <c r="G28" i="123"/>
  <c r="G44" i="123"/>
  <c r="V60" i="123"/>
  <c r="V63" i="123"/>
  <c r="S66" i="123"/>
  <c r="V71" i="123"/>
  <c r="V74" i="123"/>
  <c r="V77" i="123"/>
  <c r="V78" i="123"/>
  <c r="G27" i="123"/>
  <c r="M27" i="123"/>
  <c r="U78" i="123"/>
  <c r="S77" i="123"/>
  <c r="S61" i="123"/>
  <c r="S78" i="123"/>
  <c r="U63" i="123"/>
  <c r="M44" i="123"/>
  <c r="G49" i="123"/>
  <c r="S64" i="123"/>
  <c r="G15" i="123"/>
  <c r="AA62" i="123"/>
  <c r="S63" i="123"/>
  <c r="S80" i="123"/>
  <c r="S72" i="123"/>
  <c r="T62" i="123"/>
  <c r="U62" i="123"/>
  <c r="S75" i="123"/>
  <c r="M15" i="123"/>
  <c r="S60" i="123"/>
  <c r="V87" i="123"/>
  <c r="K62" i="123"/>
  <c r="J27" i="123"/>
  <c r="D44" i="123"/>
  <c r="D49" i="123"/>
  <c r="J15" i="123"/>
  <c r="F45" i="123"/>
  <c r="F50" i="123"/>
  <c r="S70" i="123"/>
  <c r="U64" i="123"/>
  <c r="V72" i="123"/>
  <c r="V80" i="123"/>
  <c r="D27" i="123"/>
  <c r="U71" i="123"/>
  <c r="D37" i="123"/>
  <c r="U73" i="123"/>
  <c r="H45" i="123"/>
  <c r="H50" i="123"/>
  <c r="J50" i="123"/>
  <c r="U60" i="123"/>
  <c r="B68" i="123"/>
  <c r="C68" i="123"/>
  <c r="G68" i="123"/>
  <c r="H68" i="123"/>
  <c r="S67" i="123"/>
  <c r="V70" i="123"/>
  <c r="U66" i="123"/>
  <c r="S74" i="123"/>
  <c r="W76" i="123"/>
  <c r="C45" i="123"/>
  <c r="C50" i="123"/>
  <c r="D50" i="123"/>
  <c r="G37" i="123"/>
  <c r="H62" i="123"/>
  <c r="Y68" i="123"/>
  <c r="AA68" i="123"/>
  <c r="U65" i="123"/>
  <c r="V73" i="123"/>
  <c r="V75" i="123"/>
  <c r="C50" i="124"/>
  <c r="D44" i="124"/>
  <c r="D27" i="124"/>
  <c r="D27" i="125"/>
  <c r="D37" i="125"/>
  <c r="G49" i="125"/>
  <c r="R73" i="125"/>
  <c r="F62" i="125"/>
  <c r="R85" i="125"/>
  <c r="O63" i="125"/>
  <c r="G15" i="125"/>
  <c r="G37" i="125"/>
  <c r="R67" i="125"/>
  <c r="C45" i="125"/>
  <c r="C50" i="125"/>
  <c r="Q69" i="125"/>
  <c r="F28" i="125"/>
  <c r="O84" i="125"/>
  <c r="O70" i="125"/>
  <c r="R78" i="125"/>
  <c r="O69" i="125"/>
  <c r="O85" i="125"/>
  <c r="O67" i="125"/>
  <c r="O71" i="125"/>
  <c r="O80" i="125"/>
  <c r="O66" i="125"/>
  <c r="R69" i="125"/>
  <c r="P86" i="125"/>
  <c r="Q86" i="125"/>
  <c r="F86" i="125"/>
  <c r="Q61" i="125"/>
  <c r="R71" i="125"/>
  <c r="R84" i="125"/>
  <c r="Q63" i="125"/>
  <c r="Q65" i="125"/>
  <c r="Q73" i="125"/>
  <c r="Q77" i="125"/>
  <c r="R61" i="125"/>
  <c r="R65" i="125"/>
  <c r="E28" i="125"/>
  <c r="Q66" i="125"/>
  <c r="Q72" i="125"/>
  <c r="Q67" i="125"/>
  <c r="Q85" i="125"/>
  <c r="R60" i="125"/>
  <c r="M86" i="125"/>
  <c r="R74" i="125"/>
  <c r="Q74" i="125"/>
  <c r="R77" i="125"/>
  <c r="Q80" i="125"/>
  <c r="Q75" i="125"/>
  <c r="Q78" i="125"/>
  <c r="G15" i="121"/>
  <c r="G27" i="121"/>
  <c r="G37" i="121"/>
  <c r="Q66" i="121"/>
  <c r="Q80" i="121"/>
  <c r="Q87" i="121"/>
  <c r="F28" i="121"/>
  <c r="G28" i="121"/>
  <c r="D27" i="121"/>
  <c r="O75" i="121"/>
  <c r="D68" i="121"/>
  <c r="D76" i="121"/>
  <c r="K68" i="121"/>
  <c r="P68" i="121"/>
  <c r="Q68" i="121"/>
  <c r="F62" i="121"/>
  <c r="O71" i="121"/>
  <c r="P62" i="121"/>
  <c r="Q62" i="121"/>
  <c r="R67" i="121"/>
  <c r="O80" i="121"/>
  <c r="B50" i="121"/>
  <c r="D50" i="121"/>
  <c r="D45" i="121"/>
  <c r="H76" i="121"/>
  <c r="Q70" i="121"/>
  <c r="Q71" i="121"/>
  <c r="R80" i="121"/>
  <c r="Q85" i="121"/>
  <c r="D44" i="121"/>
  <c r="Q61" i="121"/>
  <c r="M62" i="121"/>
  <c r="O66" i="121"/>
  <c r="O67" i="121"/>
  <c r="Q64" i="121"/>
  <c r="R87" i="121"/>
  <c r="W62" i="126"/>
  <c r="X62" i="126"/>
  <c r="G27" i="126"/>
  <c r="D44" i="126"/>
  <c r="D49" i="126"/>
  <c r="F86" i="126"/>
  <c r="V67" i="126"/>
  <c r="I45" i="126"/>
  <c r="I50" i="126"/>
  <c r="G15" i="126"/>
  <c r="G44" i="126"/>
  <c r="G49" i="126"/>
  <c r="J15" i="126"/>
  <c r="J27" i="126"/>
  <c r="V80" i="126"/>
  <c r="X70" i="126"/>
  <c r="X61" i="126"/>
  <c r="J37" i="126"/>
  <c r="D68" i="126"/>
  <c r="D76" i="126"/>
  <c r="I28" i="126"/>
  <c r="J28" i="126"/>
  <c r="F62" i="126"/>
  <c r="K86" i="126"/>
  <c r="X78" i="126"/>
  <c r="Y84" i="126"/>
  <c r="H62" i="126"/>
  <c r="I76" i="126"/>
  <c r="I79" i="126"/>
  <c r="P68" i="126"/>
  <c r="P76" i="126"/>
  <c r="U86" i="126"/>
  <c r="V86" i="126"/>
  <c r="H68" i="126"/>
  <c r="K68" i="126"/>
  <c r="D45" i="126"/>
  <c r="R76" i="126"/>
  <c r="R79" i="126"/>
  <c r="R81" i="126"/>
  <c r="Y61" i="126"/>
  <c r="Y64" i="126"/>
  <c r="G28" i="126"/>
  <c r="G37" i="126"/>
  <c r="D27" i="126"/>
  <c r="J44" i="126"/>
  <c r="H45" i="126"/>
  <c r="X63" i="126"/>
  <c r="X77" i="126"/>
  <c r="X85" i="126"/>
  <c r="U62" i="126"/>
  <c r="X69" i="126"/>
  <c r="X87" i="126"/>
  <c r="F50" i="126"/>
  <c r="C28" i="126"/>
  <c r="D28" i="126"/>
  <c r="L68" i="126"/>
  <c r="L76" i="126"/>
  <c r="V75" i="126"/>
  <c r="X66" i="126"/>
  <c r="G76" i="126"/>
  <c r="X67" i="126"/>
  <c r="C68" i="126"/>
  <c r="X64" i="126"/>
  <c r="X84" i="126"/>
  <c r="Y65" i="126"/>
  <c r="C51" i="60"/>
  <c r="B54" i="60"/>
  <c r="C54" i="60"/>
  <c r="D38" i="53"/>
  <c r="B40" i="53"/>
  <c r="B42" i="53"/>
  <c r="D27" i="48"/>
  <c r="C30" i="48"/>
  <c r="D30" i="48"/>
  <c r="C12" i="63"/>
  <c r="D10" i="63"/>
  <c r="D22" i="69"/>
  <c r="B24" i="69"/>
  <c r="D24" i="69"/>
  <c r="Q42" i="100"/>
  <c r="M81" i="123"/>
  <c r="O55" i="101"/>
  <c r="R44" i="106"/>
  <c r="P47" i="106"/>
  <c r="Q47" i="101"/>
  <c r="P55" i="101"/>
  <c r="M28" i="108"/>
  <c r="M30" i="108"/>
  <c r="E39" i="48"/>
  <c r="F39" i="48"/>
  <c r="D35" i="61"/>
  <c r="C37" i="61"/>
  <c r="F42" i="77"/>
  <c r="E42" i="77"/>
  <c r="D43" i="77"/>
  <c r="F43" i="87"/>
  <c r="C43" i="87"/>
  <c r="D37" i="72"/>
  <c r="B40" i="72"/>
  <c r="B51" i="73"/>
  <c r="R54" i="109"/>
  <c r="C30" i="70"/>
  <c r="D30" i="70"/>
  <c r="K47" i="96"/>
  <c r="C24" i="49"/>
  <c r="D24" i="49"/>
  <c r="D22" i="49"/>
  <c r="C39" i="43"/>
  <c r="F39" i="43"/>
  <c r="E47" i="60"/>
  <c r="F47" i="60"/>
  <c r="D7" i="60"/>
  <c r="B16" i="60"/>
  <c r="F39" i="64"/>
  <c r="E39" i="64"/>
  <c r="F44" i="65"/>
  <c r="B50" i="65"/>
  <c r="C44" i="65"/>
  <c r="D22" i="74"/>
  <c r="B24" i="74"/>
  <c r="D24" i="74"/>
  <c r="D37" i="83"/>
  <c r="B40" i="83"/>
  <c r="E39" i="84"/>
  <c r="D44" i="84"/>
  <c r="L31" i="95"/>
  <c r="I34" i="95"/>
  <c r="L34" i="95"/>
  <c r="M31" i="97"/>
  <c r="K34" i="97"/>
  <c r="W42" i="103"/>
  <c r="X42" i="103"/>
  <c r="V47" i="103"/>
  <c r="X47" i="103"/>
  <c r="N42" i="107"/>
  <c r="M47" i="107"/>
  <c r="Q42" i="107"/>
  <c r="S40" i="110"/>
  <c r="Q42" i="110"/>
  <c r="Q44" i="110"/>
  <c r="I45" i="123"/>
  <c r="J37" i="123"/>
  <c r="B76" i="123"/>
  <c r="B54" i="59"/>
  <c r="C54" i="59"/>
  <c r="B52" i="80"/>
  <c r="Z47" i="111"/>
  <c r="O44" i="100"/>
  <c r="B50" i="57"/>
  <c r="C47" i="57"/>
  <c r="F47" i="57"/>
  <c r="F50" i="55"/>
  <c r="E50" i="55"/>
  <c r="C30" i="47"/>
  <c r="D30" i="47"/>
  <c r="F42" i="45"/>
  <c r="E42" i="45"/>
  <c r="B38" i="49"/>
  <c r="B41" i="49"/>
  <c r="D36" i="49"/>
  <c r="C50" i="43"/>
  <c r="F50" i="43"/>
  <c r="E42" i="46"/>
  <c r="F42" i="46"/>
  <c r="D16" i="60"/>
  <c r="B37" i="63"/>
  <c r="D35" i="63"/>
  <c r="F42" i="64"/>
  <c r="C42" i="64"/>
  <c r="B43" i="64"/>
  <c r="C16" i="65"/>
  <c r="D10" i="72"/>
  <c r="B12" i="72"/>
  <c r="D12" i="72"/>
  <c r="B43" i="77"/>
  <c r="C39" i="77"/>
  <c r="F39" i="77"/>
  <c r="C46" i="79"/>
  <c r="F46" i="79"/>
  <c r="B50" i="79"/>
  <c r="C50" i="79"/>
  <c r="E42" i="79"/>
  <c r="F42" i="79"/>
  <c r="C12" i="83"/>
  <c r="B30" i="80"/>
  <c r="D27" i="80"/>
  <c r="D36" i="82"/>
  <c r="B38" i="82"/>
  <c r="L26" i="94"/>
  <c r="J26" i="96"/>
  <c r="H28" i="96"/>
  <c r="J28" i="96"/>
  <c r="K42" i="97"/>
  <c r="J47" i="97"/>
  <c r="V46" i="107"/>
  <c r="T47" i="107"/>
  <c r="U46" i="107"/>
  <c r="E28" i="122"/>
  <c r="G15" i="122"/>
  <c r="O55" i="99"/>
  <c r="D21" i="61"/>
  <c r="B23" i="61"/>
  <c r="D23" i="61"/>
  <c r="D22" i="66"/>
  <c r="B24" i="66"/>
  <c r="D24" i="66"/>
  <c r="B42" i="78"/>
  <c r="D39" i="78"/>
  <c r="K28" i="98"/>
  <c r="L28" i="98"/>
  <c r="L26" i="98"/>
  <c r="L33" i="111"/>
  <c r="L34" i="111"/>
  <c r="N34" i="111"/>
  <c r="N20" i="111"/>
  <c r="C52" i="91"/>
  <c r="U47" i="109"/>
  <c r="T55" i="109"/>
  <c r="D43" i="48"/>
  <c r="K44" i="105"/>
  <c r="J47" i="105"/>
  <c r="L47" i="100"/>
  <c r="C39" i="55"/>
  <c r="F39" i="55"/>
  <c r="B43" i="55"/>
  <c r="E50" i="45"/>
  <c r="F50" i="45"/>
  <c r="C41" i="49"/>
  <c r="D38" i="49"/>
  <c r="B51" i="43"/>
  <c r="C43" i="43"/>
  <c r="F43" i="43"/>
  <c r="E45" i="60"/>
  <c r="F45" i="60"/>
  <c r="B30" i="75"/>
  <c r="D27" i="75"/>
  <c r="D39" i="76"/>
  <c r="B42" i="76"/>
  <c r="D18" i="78"/>
  <c r="B23" i="78"/>
  <c r="B37" i="90"/>
  <c r="C47" i="92"/>
  <c r="C49" i="92"/>
  <c r="N42" i="98"/>
  <c r="P41" i="98"/>
  <c r="R44" i="110"/>
  <c r="S42" i="110"/>
  <c r="V61" i="123"/>
  <c r="U61" i="123"/>
  <c r="O55" i="104"/>
  <c r="R47" i="101"/>
  <c r="E50" i="123"/>
  <c r="C43" i="60"/>
  <c r="N55" i="97"/>
  <c r="M58" i="97"/>
  <c r="N58" i="97"/>
  <c r="J44" i="123"/>
  <c r="J34" i="111"/>
  <c r="K34" i="111"/>
  <c r="S42" i="98"/>
  <c r="C43" i="47"/>
  <c r="B52" i="86"/>
  <c r="C44" i="86"/>
  <c r="B24" i="78"/>
  <c r="D43" i="64"/>
  <c r="D12" i="63"/>
  <c r="D35" i="54"/>
  <c r="E50" i="59"/>
  <c r="F50" i="59"/>
  <c r="B50" i="48"/>
  <c r="C47" i="48"/>
  <c r="F47" i="48"/>
  <c r="N27" i="108"/>
  <c r="O47" i="101"/>
  <c r="B52" i="84"/>
  <c r="U47" i="103"/>
  <c r="C50" i="122"/>
  <c r="D50" i="122"/>
  <c r="I76" i="123"/>
  <c r="I28" i="105"/>
  <c r="M44" i="100"/>
  <c r="M47" i="100"/>
  <c r="C43" i="73"/>
  <c r="D40" i="54"/>
  <c r="Q47" i="98"/>
  <c r="D43" i="46"/>
  <c r="C36" i="58"/>
  <c r="D34" i="58"/>
  <c r="D37" i="54"/>
  <c r="D11" i="49"/>
  <c r="B13" i="49"/>
  <c r="D13" i="49"/>
  <c r="E46" i="60"/>
  <c r="F46" i="60"/>
  <c r="D50" i="60"/>
  <c r="E44" i="60"/>
  <c r="F44" i="60"/>
  <c r="B30" i="64"/>
  <c r="D30" i="64"/>
  <c r="D27" i="64"/>
  <c r="B30" i="67"/>
  <c r="D30" i="67"/>
  <c r="D27" i="67"/>
  <c r="C42" i="75"/>
  <c r="F42" i="75"/>
  <c r="C16" i="79"/>
  <c r="D8" i="79"/>
  <c r="D12" i="83"/>
  <c r="C24" i="88"/>
  <c r="D24" i="88"/>
  <c r="C13" i="69"/>
  <c r="D13" i="69"/>
  <c r="D44" i="80"/>
  <c r="F44" i="80"/>
  <c r="E39" i="80"/>
  <c r="B12" i="90"/>
  <c r="D12" i="90"/>
  <c r="D10" i="90"/>
  <c r="N46" i="97"/>
  <c r="Q46" i="97"/>
  <c r="N42" i="105"/>
  <c r="L44" i="105"/>
  <c r="Q42" i="104"/>
  <c r="P47" i="104"/>
  <c r="N33" i="104"/>
  <c r="M34" i="104"/>
  <c r="N34" i="104"/>
  <c r="F50" i="57"/>
  <c r="F50" i="48"/>
  <c r="C36" i="50"/>
  <c r="D11" i="50"/>
  <c r="E39" i="60"/>
  <c r="D43" i="60"/>
  <c r="D21" i="72"/>
  <c r="F39" i="73"/>
  <c r="D43" i="73"/>
  <c r="E50" i="79"/>
  <c r="F50" i="79"/>
  <c r="C42" i="79"/>
  <c r="B43" i="79"/>
  <c r="C39" i="87"/>
  <c r="B44" i="87"/>
  <c r="C43" i="80"/>
  <c r="F43" i="80"/>
  <c r="C39" i="89"/>
  <c r="B44" i="89"/>
  <c r="F39" i="91"/>
  <c r="D44" i="91"/>
  <c r="L44" i="94"/>
  <c r="H47" i="97"/>
  <c r="I42" i="97"/>
  <c r="Q48" i="100"/>
  <c r="Q40" i="100"/>
  <c r="W54" i="103"/>
  <c r="X54" i="103"/>
  <c r="Y71" i="126"/>
  <c r="X71" i="126"/>
  <c r="X80" i="126"/>
  <c r="Y80" i="126"/>
  <c r="B50" i="47"/>
  <c r="C50" i="47"/>
  <c r="E42" i="48"/>
  <c r="F42" i="48"/>
  <c r="D43" i="45"/>
  <c r="B13" i="50"/>
  <c r="D13" i="50"/>
  <c r="D37" i="68"/>
  <c r="C24" i="68"/>
  <c r="D51" i="70"/>
  <c r="D23" i="71"/>
  <c r="E45" i="65"/>
  <c r="D50" i="65"/>
  <c r="F45" i="65"/>
  <c r="B16" i="65"/>
  <c r="B23" i="72"/>
  <c r="D23" i="72"/>
  <c r="F42" i="73"/>
  <c r="D30" i="75"/>
  <c r="C23" i="76"/>
  <c r="D23" i="76"/>
  <c r="B16" i="79"/>
  <c r="F39" i="84"/>
  <c r="B16" i="86"/>
  <c r="D16" i="86"/>
  <c r="F39" i="87"/>
  <c r="F54" i="93"/>
  <c r="L17" i="100"/>
  <c r="T46" i="99"/>
  <c r="M42" i="99"/>
  <c r="O43" i="98"/>
  <c r="P43" i="98"/>
  <c r="O42" i="98"/>
  <c r="J34" i="101"/>
  <c r="L34" i="101"/>
  <c r="L31" i="101"/>
  <c r="T44" i="102"/>
  <c r="R42" i="104"/>
  <c r="L55" i="107"/>
  <c r="L58" i="107"/>
  <c r="U54" i="109"/>
  <c r="X54" i="109"/>
  <c r="S43" i="109"/>
  <c r="R43" i="109"/>
  <c r="Q46" i="109"/>
  <c r="M55" i="109"/>
  <c r="M58" i="109"/>
  <c r="I55" i="109"/>
  <c r="I58" i="109"/>
  <c r="E39" i="45"/>
  <c r="B40" i="56"/>
  <c r="B42" i="56"/>
  <c r="I28" i="108"/>
  <c r="B43" i="75"/>
  <c r="D51" i="65"/>
  <c r="B43" i="45"/>
  <c r="F43" i="45"/>
  <c r="D43" i="55"/>
  <c r="D27" i="60"/>
  <c r="C42" i="57"/>
  <c r="F42" i="55"/>
  <c r="E39" i="59"/>
  <c r="D43" i="59"/>
  <c r="D27" i="55"/>
  <c r="C30" i="55"/>
  <c r="D30" i="55"/>
  <c r="D16" i="48"/>
  <c r="F42" i="47"/>
  <c r="C39" i="46"/>
  <c r="B43" i="46"/>
  <c r="D13" i="61"/>
  <c r="D21" i="63"/>
  <c r="B39" i="68"/>
  <c r="C24" i="71"/>
  <c r="C27" i="71"/>
  <c r="B24" i="71"/>
  <c r="B25" i="71"/>
  <c r="D25" i="71"/>
  <c r="D14" i="65"/>
  <c r="E39" i="75"/>
  <c r="D43" i="75"/>
  <c r="D37" i="76"/>
  <c r="D35" i="83"/>
  <c r="D22" i="85"/>
  <c r="F51" i="86"/>
  <c r="D44" i="86"/>
  <c r="F44" i="86"/>
  <c r="D30" i="80"/>
  <c r="F39" i="89"/>
  <c r="B22" i="82"/>
  <c r="B47" i="93"/>
  <c r="H47" i="96"/>
  <c r="J44" i="96"/>
  <c r="L42" i="97"/>
  <c r="M34" i="97"/>
  <c r="N48" i="100"/>
  <c r="Q55" i="99"/>
  <c r="Q58" i="99"/>
  <c r="R58" i="99"/>
  <c r="L42" i="98"/>
  <c r="L44" i="98"/>
  <c r="L47" i="98"/>
  <c r="L49" i="98"/>
  <c r="Q42" i="102"/>
  <c r="P46" i="103"/>
  <c r="S46" i="103"/>
  <c r="L30" i="105"/>
  <c r="J27" i="105"/>
  <c r="M42" i="104"/>
  <c r="L42" i="104"/>
  <c r="K31" i="104"/>
  <c r="J34" i="104"/>
  <c r="K34" i="104"/>
  <c r="N20" i="104"/>
  <c r="L45" i="123"/>
  <c r="M37" i="123"/>
  <c r="E62" i="123"/>
  <c r="D68" i="123"/>
  <c r="F62" i="123"/>
  <c r="M43" i="106"/>
  <c r="K44" i="106"/>
  <c r="K47" i="106"/>
  <c r="K49" i="106"/>
  <c r="N17" i="106"/>
  <c r="L27" i="106"/>
  <c r="U54" i="107"/>
  <c r="V54" i="107"/>
  <c r="H47" i="107"/>
  <c r="H55" i="107"/>
  <c r="H58" i="107"/>
  <c r="I33" i="107"/>
  <c r="I34" i="107"/>
  <c r="K34" i="107"/>
  <c r="J28" i="108"/>
  <c r="K28" i="108"/>
  <c r="R50" i="109"/>
  <c r="S50" i="109"/>
  <c r="H55" i="109"/>
  <c r="H58" i="109"/>
  <c r="U43" i="111"/>
  <c r="S46" i="111"/>
  <c r="R73" i="121"/>
  <c r="Q73" i="121"/>
  <c r="L79" i="123"/>
  <c r="V65" i="123"/>
  <c r="S65" i="123"/>
  <c r="V67" i="123"/>
  <c r="U67" i="123"/>
  <c r="B76" i="125"/>
  <c r="C68" i="125"/>
  <c r="D44" i="89"/>
  <c r="F42" i="93"/>
  <c r="D47" i="93"/>
  <c r="L42" i="94"/>
  <c r="M17" i="96"/>
  <c r="Q41" i="100"/>
  <c r="Q38" i="100"/>
  <c r="R48" i="102"/>
  <c r="O47" i="103"/>
  <c r="P47" i="103"/>
  <c r="H55" i="104"/>
  <c r="H58" i="104"/>
  <c r="V42" i="107"/>
  <c r="Q54" i="111"/>
  <c r="U54" i="111"/>
  <c r="E62" i="120"/>
  <c r="N62" i="121"/>
  <c r="G68" i="121"/>
  <c r="W68" i="122"/>
  <c r="Y62" i="122"/>
  <c r="X62" i="122"/>
  <c r="L47" i="109"/>
  <c r="L55" i="109"/>
  <c r="L58" i="109"/>
  <c r="I34" i="109"/>
  <c r="K34" i="109"/>
  <c r="K44" i="110"/>
  <c r="K47" i="110"/>
  <c r="K49" i="110"/>
  <c r="P47" i="111"/>
  <c r="D15" i="120"/>
  <c r="C28" i="120"/>
  <c r="D28" i="120"/>
  <c r="D27" i="120"/>
  <c r="F45" i="121"/>
  <c r="G44" i="121"/>
  <c r="R63" i="121"/>
  <c r="Q63" i="121"/>
  <c r="Q65" i="121"/>
  <c r="R65" i="121"/>
  <c r="R66" i="121"/>
  <c r="R77" i="121"/>
  <c r="Q77" i="121"/>
  <c r="S62" i="122"/>
  <c r="R68" i="122"/>
  <c r="N68" i="123"/>
  <c r="R62" i="123"/>
  <c r="B28" i="124"/>
  <c r="D15" i="124"/>
  <c r="S43" i="110"/>
  <c r="N33" i="111"/>
  <c r="O65" i="121"/>
  <c r="R60" i="121"/>
  <c r="O69" i="121"/>
  <c r="O61" i="121"/>
  <c r="R72" i="121"/>
  <c r="Q72" i="121"/>
  <c r="O85" i="121"/>
  <c r="E45" i="122"/>
  <c r="E50" i="122"/>
  <c r="G37" i="122"/>
  <c r="I45" i="122"/>
  <c r="C62" i="122"/>
  <c r="B68" i="122"/>
  <c r="B76" i="122"/>
  <c r="F62" i="122"/>
  <c r="D15" i="123"/>
  <c r="C28" i="123"/>
  <c r="D28" i="123"/>
  <c r="N31" i="111"/>
  <c r="Q78" i="121"/>
  <c r="Q67" i="121"/>
  <c r="Q75" i="121"/>
  <c r="R61" i="121"/>
  <c r="O63" i="121"/>
  <c r="C28" i="122"/>
  <c r="D28" i="122"/>
  <c r="D68" i="122"/>
  <c r="D76" i="122"/>
  <c r="V66" i="123"/>
  <c r="U70" i="123"/>
  <c r="D15" i="125"/>
  <c r="G76" i="125"/>
  <c r="D68" i="125"/>
  <c r="E62" i="125"/>
  <c r="J62" i="125"/>
  <c r="I68" i="125"/>
  <c r="I76" i="125"/>
  <c r="N62" i="125"/>
  <c r="O62" i="125"/>
  <c r="R75" i="125"/>
  <c r="O75" i="125"/>
  <c r="Q87" i="125"/>
  <c r="R87" i="125"/>
  <c r="D15" i="121"/>
  <c r="C28" i="121"/>
  <c r="D28" i="121"/>
  <c r="R69" i="121"/>
  <c r="Q69" i="121"/>
  <c r="S73" i="123"/>
  <c r="S71" i="123"/>
  <c r="O86" i="125"/>
  <c r="H81" i="125"/>
  <c r="L62" i="125"/>
  <c r="K68" i="125"/>
  <c r="P68" i="125"/>
  <c r="M62" i="125"/>
  <c r="P62" i="125"/>
  <c r="V60" i="126"/>
  <c r="V61" i="126"/>
  <c r="Y60" i="126"/>
  <c r="V63" i="126"/>
  <c r="V74" i="126"/>
  <c r="V73" i="126"/>
  <c r="V64" i="126"/>
  <c r="V72" i="126"/>
  <c r="R64" i="125"/>
  <c r="Q64" i="125"/>
  <c r="O73" i="125"/>
  <c r="Q71" i="125"/>
  <c r="Y69" i="126"/>
  <c r="V69" i="126"/>
  <c r="V84" i="126"/>
  <c r="Y72" i="126"/>
  <c r="X72" i="126"/>
  <c r="C28" i="124"/>
  <c r="D28" i="124"/>
  <c r="G27" i="125"/>
  <c r="F45" i="125"/>
  <c r="Q84" i="125"/>
  <c r="T86" i="126"/>
  <c r="X65" i="126"/>
  <c r="S62" i="126"/>
  <c r="V70" i="126"/>
  <c r="V85" i="126"/>
  <c r="Y70" i="126"/>
  <c r="Y73" i="126"/>
  <c r="X73" i="126"/>
  <c r="V85" i="123"/>
  <c r="R80" i="125"/>
  <c r="R63" i="125"/>
  <c r="Q70" i="125"/>
  <c r="R70" i="125"/>
  <c r="O72" i="125"/>
  <c r="R72" i="125"/>
  <c r="O64" i="125"/>
  <c r="O61" i="125"/>
  <c r="O77" i="125"/>
  <c r="O87" i="125"/>
  <c r="D37" i="126"/>
  <c r="W68" i="126"/>
  <c r="Y66" i="126"/>
  <c r="V77" i="126"/>
  <c r="T62" i="126"/>
  <c r="V66" i="126"/>
  <c r="V71" i="126"/>
  <c r="V78" i="126"/>
  <c r="V87" i="126"/>
  <c r="Y74" i="126"/>
  <c r="X74" i="126"/>
  <c r="X75" i="126"/>
  <c r="C50" i="120"/>
  <c r="C76" i="120"/>
  <c r="D45" i="120"/>
  <c r="E68" i="120"/>
  <c r="F68" i="120"/>
  <c r="D76" i="120"/>
  <c r="D79" i="120"/>
  <c r="E68" i="121"/>
  <c r="I76" i="121"/>
  <c r="F68" i="121"/>
  <c r="K76" i="122"/>
  <c r="G28" i="122"/>
  <c r="P79" i="122"/>
  <c r="Q79" i="122"/>
  <c r="I79" i="122"/>
  <c r="I81" i="122"/>
  <c r="J81" i="122"/>
  <c r="J76" i="122"/>
  <c r="G79" i="122"/>
  <c r="H76" i="122"/>
  <c r="D45" i="123"/>
  <c r="G50" i="123"/>
  <c r="G76" i="123"/>
  <c r="H76" i="123"/>
  <c r="G45" i="123"/>
  <c r="Y76" i="123"/>
  <c r="AA76" i="123"/>
  <c r="T68" i="123"/>
  <c r="U68" i="123"/>
  <c r="Z68" i="123"/>
  <c r="W79" i="123"/>
  <c r="X76" i="123"/>
  <c r="K68" i="123"/>
  <c r="G28" i="125"/>
  <c r="R86" i="125"/>
  <c r="M68" i="121"/>
  <c r="K76" i="121"/>
  <c r="P76" i="121"/>
  <c r="L68" i="121"/>
  <c r="H79" i="121"/>
  <c r="H81" i="121"/>
  <c r="Y62" i="126"/>
  <c r="J76" i="126"/>
  <c r="T68" i="126"/>
  <c r="V62" i="126"/>
  <c r="F68" i="126"/>
  <c r="Q68" i="126"/>
  <c r="E68" i="126"/>
  <c r="S76" i="126"/>
  <c r="W76" i="126"/>
  <c r="X76" i="126"/>
  <c r="U68" i="126"/>
  <c r="V68" i="126"/>
  <c r="H76" i="126"/>
  <c r="G79" i="126"/>
  <c r="K76" i="126"/>
  <c r="Q68" i="125"/>
  <c r="N76" i="123"/>
  <c r="R68" i="123"/>
  <c r="G76" i="121"/>
  <c r="N68" i="121"/>
  <c r="O68" i="121"/>
  <c r="L81" i="123"/>
  <c r="D76" i="123"/>
  <c r="E68" i="123"/>
  <c r="F68" i="123"/>
  <c r="R55" i="99"/>
  <c r="B42" i="68"/>
  <c r="D39" i="68"/>
  <c r="D51" i="55"/>
  <c r="E43" i="55"/>
  <c r="F43" i="55"/>
  <c r="S46" i="109"/>
  <c r="Q47" i="109"/>
  <c r="R46" i="109"/>
  <c r="T47" i="102"/>
  <c r="U44" i="102"/>
  <c r="E51" i="70"/>
  <c r="D54" i="70"/>
  <c r="E43" i="45"/>
  <c r="D51" i="45"/>
  <c r="D52" i="91"/>
  <c r="E44" i="91"/>
  <c r="F44" i="91"/>
  <c r="B51" i="79"/>
  <c r="C43" i="79"/>
  <c r="E43" i="73"/>
  <c r="D51" i="73"/>
  <c r="F51" i="73"/>
  <c r="C38" i="50"/>
  <c r="D36" i="50"/>
  <c r="Q49" i="98"/>
  <c r="C50" i="48"/>
  <c r="B51" i="48"/>
  <c r="R47" i="110"/>
  <c r="B44" i="76"/>
  <c r="D44" i="76"/>
  <c r="D42" i="76"/>
  <c r="C43" i="49"/>
  <c r="K47" i="105"/>
  <c r="J49" i="105"/>
  <c r="K49" i="105"/>
  <c r="U55" i="109"/>
  <c r="T58" i="109"/>
  <c r="F50" i="47"/>
  <c r="G45" i="122"/>
  <c r="D38" i="82"/>
  <c r="B41" i="82"/>
  <c r="C79" i="120"/>
  <c r="C76" i="123"/>
  <c r="B79" i="123"/>
  <c r="W47" i="103"/>
  <c r="V55" i="103"/>
  <c r="C50" i="65"/>
  <c r="K49" i="96"/>
  <c r="C51" i="73"/>
  <c r="B54" i="73"/>
  <c r="C54" i="73"/>
  <c r="Q55" i="101"/>
  <c r="P58" i="101"/>
  <c r="L68" i="125"/>
  <c r="K76" i="125"/>
  <c r="M76" i="125"/>
  <c r="M68" i="125"/>
  <c r="E68" i="125"/>
  <c r="D76" i="125"/>
  <c r="D79" i="125"/>
  <c r="F68" i="125"/>
  <c r="C68" i="122"/>
  <c r="S68" i="122"/>
  <c r="R76" i="122"/>
  <c r="T68" i="122"/>
  <c r="F50" i="121"/>
  <c r="G50" i="121"/>
  <c r="G45" i="121"/>
  <c r="R47" i="111"/>
  <c r="P55" i="111"/>
  <c r="O62" i="121"/>
  <c r="R62" i="121"/>
  <c r="Q55" i="111"/>
  <c r="Q58" i="111"/>
  <c r="O55" i="103"/>
  <c r="S55" i="103"/>
  <c r="S47" i="103"/>
  <c r="D52" i="89"/>
  <c r="D55" i="89"/>
  <c r="E44" i="89"/>
  <c r="T46" i="111"/>
  <c r="S47" i="111"/>
  <c r="U46" i="111"/>
  <c r="J47" i="96"/>
  <c r="H49" i="96"/>
  <c r="J49" i="96"/>
  <c r="C43" i="45"/>
  <c r="B51" i="45"/>
  <c r="E50" i="65"/>
  <c r="F50" i="65"/>
  <c r="C27" i="68"/>
  <c r="C25" i="68"/>
  <c r="D51" i="60"/>
  <c r="E43" i="60"/>
  <c r="F43" i="60"/>
  <c r="Q47" i="104"/>
  <c r="P55" i="104"/>
  <c r="D16" i="79"/>
  <c r="E50" i="60"/>
  <c r="F50" i="60"/>
  <c r="J76" i="123"/>
  <c r="K76" i="123"/>
  <c r="I79" i="123"/>
  <c r="B55" i="86"/>
  <c r="C55" i="86"/>
  <c r="C52" i="86"/>
  <c r="B40" i="90"/>
  <c r="D37" i="90"/>
  <c r="K47" i="97"/>
  <c r="J55" i="97"/>
  <c r="D40" i="83"/>
  <c r="B42" i="83"/>
  <c r="D42" i="83"/>
  <c r="D40" i="72"/>
  <c r="B42" i="72"/>
  <c r="D42" i="72"/>
  <c r="M84" i="123"/>
  <c r="X68" i="126"/>
  <c r="F50" i="125"/>
  <c r="L79" i="126"/>
  <c r="J68" i="125"/>
  <c r="C76" i="125"/>
  <c r="B79" i="125"/>
  <c r="M44" i="106"/>
  <c r="O43" i="106"/>
  <c r="J30" i="105"/>
  <c r="K27" i="105"/>
  <c r="R42" i="102"/>
  <c r="Q44" i="102"/>
  <c r="R44" i="102"/>
  <c r="C47" i="93"/>
  <c r="B55" i="93"/>
  <c r="B58" i="93"/>
  <c r="C58" i="93"/>
  <c r="F47" i="93"/>
  <c r="D51" i="75"/>
  <c r="E51" i="75"/>
  <c r="E43" i="75"/>
  <c r="B27" i="71"/>
  <c r="D24" i="71"/>
  <c r="E51" i="65"/>
  <c r="D54" i="65"/>
  <c r="L47" i="97"/>
  <c r="I47" i="97"/>
  <c r="H55" i="97"/>
  <c r="B52" i="89"/>
  <c r="F44" i="89"/>
  <c r="C44" i="89"/>
  <c r="C44" i="87"/>
  <c r="B52" i="87"/>
  <c r="D52" i="80"/>
  <c r="E44" i="80"/>
  <c r="D36" i="58"/>
  <c r="C39" i="58"/>
  <c r="N44" i="100"/>
  <c r="E43" i="64"/>
  <c r="B51" i="47"/>
  <c r="B54" i="47"/>
  <c r="C54" i="47"/>
  <c r="P42" i="98"/>
  <c r="N44" i="98"/>
  <c r="N47" i="98"/>
  <c r="D23" i="78"/>
  <c r="B25" i="78"/>
  <c r="B54" i="43"/>
  <c r="C54" i="43"/>
  <c r="C51" i="43"/>
  <c r="E43" i="48"/>
  <c r="D51" i="48"/>
  <c r="F43" i="48"/>
  <c r="D16" i="65"/>
  <c r="C50" i="57"/>
  <c r="I50" i="123"/>
  <c r="J45" i="123"/>
  <c r="N47" i="107"/>
  <c r="M55" i="107"/>
  <c r="C40" i="61"/>
  <c r="D37" i="61"/>
  <c r="R47" i="106"/>
  <c r="P49" i="106"/>
  <c r="R49" i="106"/>
  <c r="R55" i="101"/>
  <c r="Q62" i="125"/>
  <c r="R62" i="125"/>
  <c r="E68" i="122"/>
  <c r="F68" i="122"/>
  <c r="J45" i="122"/>
  <c r="I50" i="122"/>
  <c r="S62" i="123"/>
  <c r="V62" i="123"/>
  <c r="W76" i="122"/>
  <c r="W79" i="122"/>
  <c r="X68" i="122"/>
  <c r="I79" i="121"/>
  <c r="J76" i="121"/>
  <c r="D55" i="93"/>
  <c r="E47" i="93"/>
  <c r="W79" i="126"/>
  <c r="X79" i="126"/>
  <c r="N27" i="106"/>
  <c r="L28" i="106"/>
  <c r="N28" i="106"/>
  <c r="L30" i="106"/>
  <c r="L50" i="123"/>
  <c r="M50" i="123"/>
  <c r="M45" i="123"/>
  <c r="D22" i="82"/>
  <c r="B24" i="82"/>
  <c r="D24" i="82"/>
  <c r="E44" i="86"/>
  <c r="D52" i="86"/>
  <c r="E52" i="86"/>
  <c r="B51" i="46"/>
  <c r="C43" i="46"/>
  <c r="E43" i="59"/>
  <c r="F43" i="59"/>
  <c r="D51" i="59"/>
  <c r="F43" i="75"/>
  <c r="B51" i="75"/>
  <c r="C51" i="75"/>
  <c r="C43" i="75"/>
  <c r="J28" i="105"/>
  <c r="K28" i="105"/>
  <c r="O44" i="98"/>
  <c r="O47" i="98"/>
  <c r="O49" i="98"/>
  <c r="C24" i="76"/>
  <c r="C25" i="71"/>
  <c r="N44" i="105"/>
  <c r="L47" i="105"/>
  <c r="N47" i="105"/>
  <c r="D51" i="46"/>
  <c r="E43" i="46"/>
  <c r="F43" i="46"/>
  <c r="F43" i="73"/>
  <c r="C52" i="84"/>
  <c r="B55" i="84"/>
  <c r="C55" i="84"/>
  <c r="B27" i="78"/>
  <c r="G79" i="123"/>
  <c r="K79" i="123"/>
  <c r="B51" i="55"/>
  <c r="C43" i="55"/>
  <c r="L49" i="100"/>
  <c r="R47" i="104"/>
  <c r="D42" i="78"/>
  <c r="B44" i="78"/>
  <c r="D44" i="78"/>
  <c r="G50" i="122"/>
  <c r="U47" i="107"/>
  <c r="T55" i="107"/>
  <c r="U55" i="107"/>
  <c r="B51" i="77"/>
  <c r="C43" i="77"/>
  <c r="F43" i="77"/>
  <c r="C43" i="64"/>
  <c r="F43" i="64"/>
  <c r="B40" i="63"/>
  <c r="D37" i="63"/>
  <c r="Q44" i="100"/>
  <c r="O47" i="100"/>
  <c r="Q47" i="100"/>
  <c r="B55" i="80"/>
  <c r="C55" i="80"/>
  <c r="C52" i="80"/>
  <c r="F52" i="80"/>
  <c r="D52" i="84"/>
  <c r="F44" i="84"/>
  <c r="E44" i="84"/>
  <c r="D51" i="77"/>
  <c r="D54" i="77"/>
  <c r="E43" i="77"/>
  <c r="E76" i="120"/>
  <c r="F76" i="120"/>
  <c r="M76" i="121"/>
  <c r="K79" i="122"/>
  <c r="P81" i="122"/>
  <c r="P84" i="122"/>
  <c r="G81" i="122"/>
  <c r="H81" i="122"/>
  <c r="H79" i="122"/>
  <c r="X79" i="123"/>
  <c r="W81" i="123"/>
  <c r="T76" i="123"/>
  <c r="U76" i="123"/>
  <c r="Z76" i="123"/>
  <c r="Y79" i="123"/>
  <c r="AA79" i="123"/>
  <c r="K79" i="121"/>
  <c r="P79" i="121"/>
  <c r="L76" i="121"/>
  <c r="Y68" i="126"/>
  <c r="G81" i="126"/>
  <c r="H79" i="126"/>
  <c r="K79" i="126"/>
  <c r="E51" i="46"/>
  <c r="F51" i="46"/>
  <c r="D54" i="46"/>
  <c r="D55" i="86"/>
  <c r="E55" i="86"/>
  <c r="C51" i="47"/>
  <c r="Q55" i="104"/>
  <c r="P58" i="104"/>
  <c r="R55" i="104"/>
  <c r="E52" i="89"/>
  <c r="V58" i="103"/>
  <c r="W55" i="103"/>
  <c r="X55" i="103"/>
  <c r="E54" i="70"/>
  <c r="R47" i="109"/>
  <c r="Q55" i="109"/>
  <c r="S47" i="109"/>
  <c r="R68" i="121"/>
  <c r="B42" i="63"/>
  <c r="D42" i="63"/>
  <c r="D40" i="63"/>
  <c r="H79" i="123"/>
  <c r="L49" i="105"/>
  <c r="N49" i="105"/>
  <c r="F51" i="75"/>
  <c r="J79" i="121"/>
  <c r="I81" i="121"/>
  <c r="J81" i="121"/>
  <c r="X76" i="122"/>
  <c r="M58" i="107"/>
  <c r="N55" i="107"/>
  <c r="E52" i="80"/>
  <c r="D55" i="80"/>
  <c r="D54" i="75"/>
  <c r="Q47" i="102"/>
  <c r="I81" i="123"/>
  <c r="J79" i="123"/>
  <c r="C51" i="45"/>
  <c r="B54" i="45"/>
  <c r="C54" i="45"/>
  <c r="S55" i="111"/>
  <c r="U55" i="111"/>
  <c r="U47" i="111"/>
  <c r="T47" i="111"/>
  <c r="F76" i="125"/>
  <c r="C81" i="120"/>
  <c r="D41" i="82"/>
  <c r="B43" i="82"/>
  <c r="D43" i="82"/>
  <c r="R49" i="110"/>
  <c r="C41" i="50"/>
  <c r="D38" i="50"/>
  <c r="B54" i="79"/>
  <c r="C54" i="79"/>
  <c r="C51" i="79"/>
  <c r="E76" i="123"/>
  <c r="D79" i="123"/>
  <c r="D81" i="123"/>
  <c r="F76" i="123"/>
  <c r="G79" i="121"/>
  <c r="N79" i="121"/>
  <c r="N76" i="121"/>
  <c r="I84" i="122"/>
  <c r="I86" i="122"/>
  <c r="S76" i="122"/>
  <c r="T76" i="122"/>
  <c r="R79" i="122"/>
  <c r="T79" i="122"/>
  <c r="L76" i="125"/>
  <c r="K79" i="125"/>
  <c r="K81" i="125"/>
  <c r="P76" i="125"/>
  <c r="Q76" i="125"/>
  <c r="E52" i="91"/>
  <c r="D55" i="91"/>
  <c r="F55" i="91"/>
  <c r="F52" i="91"/>
  <c r="E51" i="55"/>
  <c r="D54" i="55"/>
  <c r="F51" i="55"/>
  <c r="D55" i="84"/>
  <c r="E52" i="84"/>
  <c r="O49" i="100"/>
  <c r="Q49" i="100"/>
  <c r="F52" i="84"/>
  <c r="E55" i="93"/>
  <c r="D58" i="93"/>
  <c r="F58" i="93"/>
  <c r="P44" i="98"/>
  <c r="C52" i="87"/>
  <c r="M47" i="106"/>
  <c r="M49" i="106"/>
  <c r="O44" i="106"/>
  <c r="M86" i="123"/>
  <c r="J58" i="97"/>
  <c r="L58" i="97"/>
  <c r="K55" i="97"/>
  <c r="D40" i="90"/>
  <c r="B42" i="90"/>
  <c r="D42" i="90"/>
  <c r="R58" i="101"/>
  <c r="Q58" i="101"/>
  <c r="B81" i="123"/>
  <c r="B84" i="123"/>
  <c r="C79" i="123"/>
  <c r="B54" i="48"/>
  <c r="C54" i="48"/>
  <c r="C51" i="48"/>
  <c r="E51" i="73"/>
  <c r="D54" i="73"/>
  <c r="E54" i="73"/>
  <c r="D54" i="45"/>
  <c r="F51" i="45"/>
  <c r="E51" i="45"/>
  <c r="T49" i="102"/>
  <c r="U47" i="102"/>
  <c r="B44" i="68"/>
  <c r="D44" i="68"/>
  <c r="D42" i="68"/>
  <c r="S68" i="123"/>
  <c r="V68" i="123"/>
  <c r="C27" i="76"/>
  <c r="L55" i="97"/>
  <c r="I55" i="97"/>
  <c r="H58" i="97"/>
  <c r="I58" i="97"/>
  <c r="D54" i="60"/>
  <c r="F54" i="60"/>
  <c r="E51" i="60"/>
  <c r="F51" i="60"/>
  <c r="E51" i="77"/>
  <c r="C51" i="77"/>
  <c r="B54" i="77"/>
  <c r="C54" i="77"/>
  <c r="F51" i="77"/>
  <c r="C51" i="55"/>
  <c r="B54" i="55"/>
  <c r="C54" i="55"/>
  <c r="E51" i="59"/>
  <c r="F51" i="59"/>
  <c r="D54" i="59"/>
  <c r="E54" i="59"/>
  <c r="B54" i="46"/>
  <c r="C54" i="46"/>
  <c r="C51" i="46"/>
  <c r="C42" i="61"/>
  <c r="D42" i="61"/>
  <c r="D40" i="61"/>
  <c r="E51" i="48"/>
  <c r="F51" i="48"/>
  <c r="D54" i="48"/>
  <c r="C41" i="58"/>
  <c r="B55" i="89"/>
  <c r="C55" i="89"/>
  <c r="C52" i="89"/>
  <c r="E54" i="65"/>
  <c r="F55" i="93"/>
  <c r="B81" i="125"/>
  <c r="C81" i="125"/>
  <c r="C79" i="125"/>
  <c r="L81" i="126"/>
  <c r="P55" i="103"/>
  <c r="O58" i="103"/>
  <c r="P58" i="103"/>
  <c r="P58" i="111"/>
  <c r="R58" i="111"/>
  <c r="R55" i="111"/>
  <c r="U58" i="109"/>
  <c r="L84" i="123"/>
  <c r="N79" i="123"/>
  <c r="R79" i="123"/>
  <c r="S79" i="123"/>
  <c r="R76" i="123"/>
  <c r="S76" i="123"/>
  <c r="G84" i="122"/>
  <c r="K84" i="122"/>
  <c r="Z79" i="123"/>
  <c r="Y81" i="123"/>
  <c r="Y84" i="123"/>
  <c r="X81" i="123"/>
  <c r="W84" i="123"/>
  <c r="X84" i="123"/>
  <c r="L79" i="121"/>
  <c r="K81" i="121"/>
  <c r="M81" i="121"/>
  <c r="M79" i="121"/>
  <c r="H81" i="126"/>
  <c r="E54" i="60"/>
  <c r="F54" i="73"/>
  <c r="K58" i="97"/>
  <c r="C43" i="50"/>
  <c r="D43" i="50"/>
  <c r="D41" i="50"/>
  <c r="T55" i="111"/>
  <c r="I84" i="121"/>
  <c r="J84" i="121"/>
  <c r="F55" i="86"/>
  <c r="E58" i="93"/>
  <c r="Q49" i="102"/>
  <c r="Q58" i="109"/>
  <c r="R55" i="109"/>
  <c r="L86" i="123"/>
  <c r="E54" i="48"/>
  <c r="F55" i="84"/>
  <c r="E55" i="84"/>
  <c r="L79" i="125"/>
  <c r="P79" i="125"/>
  <c r="F79" i="123"/>
  <c r="E79" i="123"/>
  <c r="C84" i="120"/>
  <c r="C86" i="120"/>
  <c r="J81" i="123"/>
  <c r="I84" i="123"/>
  <c r="I86" i="123"/>
  <c r="E54" i="75"/>
  <c r="W58" i="103"/>
  <c r="Q58" i="104"/>
  <c r="R58" i="104"/>
  <c r="F54" i="46"/>
  <c r="E54" i="46"/>
  <c r="E54" i="45"/>
  <c r="F54" i="45"/>
  <c r="C81" i="123"/>
  <c r="F54" i="55"/>
  <c r="E54" i="55"/>
  <c r="G81" i="121"/>
  <c r="G84" i="121"/>
  <c r="C43" i="58"/>
  <c r="V76" i="123"/>
  <c r="E55" i="91"/>
  <c r="O76" i="121"/>
  <c r="E55" i="80"/>
  <c r="F55" i="80"/>
  <c r="Z81" i="123"/>
  <c r="T81" i="123"/>
  <c r="U81" i="123"/>
  <c r="Q79" i="125"/>
  <c r="B50" i="124"/>
  <c r="D50" i="124"/>
  <c r="D45" i="124"/>
  <c r="B45" i="125"/>
  <c r="B50" i="125"/>
  <c r="E50" i="125"/>
  <c r="G50" i="125"/>
  <c r="G45" i="125"/>
  <c r="G44" i="125"/>
  <c r="E50" i="126"/>
  <c r="G50" i="126"/>
  <c r="H50" i="126"/>
  <c r="J50" i="126"/>
  <c r="AA80" i="127"/>
  <c r="Z65" i="127"/>
  <c r="AA60" i="127"/>
  <c r="Z86" i="127"/>
  <c r="K45" i="127"/>
  <c r="M45" i="127"/>
  <c r="W62" i="127"/>
  <c r="X62" i="127"/>
  <c r="Z61" i="127"/>
  <c r="AA65" i="127"/>
  <c r="F86" i="127"/>
  <c r="Z70" i="127"/>
  <c r="Z85" i="127"/>
  <c r="AA61" i="127"/>
  <c r="Z87" i="127"/>
  <c r="D15" i="127"/>
  <c r="J15" i="127"/>
  <c r="J27" i="127"/>
  <c r="C45" i="127"/>
  <c r="C50" i="127"/>
  <c r="H45" i="127"/>
  <c r="H50" i="127"/>
  <c r="AA77" i="127"/>
  <c r="L76" i="127"/>
  <c r="L79" i="127"/>
  <c r="L81" i="127"/>
  <c r="W68" i="127"/>
  <c r="X68" i="127"/>
  <c r="E45" i="127"/>
  <c r="G45" i="127"/>
  <c r="I45" i="127"/>
  <c r="I50" i="127"/>
  <c r="J50" i="127"/>
  <c r="G44" i="127"/>
  <c r="J49" i="127"/>
  <c r="AA64" i="127"/>
  <c r="F50" i="127"/>
  <c r="D44" i="127"/>
  <c r="AA72" i="127"/>
  <c r="AA70" i="127"/>
  <c r="AA74" i="127"/>
  <c r="Y62" i="127"/>
  <c r="AA62" i="127"/>
  <c r="Z84" i="127"/>
  <c r="Z72" i="127"/>
  <c r="X72" i="127"/>
  <c r="X71" i="127"/>
  <c r="X80" i="127"/>
  <c r="X86" i="127"/>
  <c r="X87" i="127"/>
  <c r="P76" i="127"/>
  <c r="P79" i="127"/>
  <c r="P81" i="127"/>
  <c r="I28" i="127"/>
  <c r="J28" i="127"/>
  <c r="B45" i="127"/>
  <c r="B50" i="127"/>
  <c r="Z73" i="127"/>
  <c r="Z75" i="127"/>
  <c r="F28" i="127"/>
  <c r="G49" i="127"/>
  <c r="X63" i="127"/>
  <c r="X65" i="127"/>
  <c r="Z67" i="127"/>
  <c r="AA69" i="127"/>
  <c r="Z77" i="127"/>
  <c r="Z78" i="127"/>
  <c r="AA87" i="127"/>
  <c r="T68" i="127"/>
  <c r="V68" i="127"/>
  <c r="F62" i="127"/>
  <c r="D27" i="127"/>
  <c r="D49" i="127"/>
  <c r="Z63" i="127"/>
  <c r="Z64" i="127"/>
  <c r="Z66" i="127"/>
  <c r="B68" i="127"/>
  <c r="C68" i="127"/>
  <c r="Z69" i="127"/>
  <c r="AA85" i="127"/>
  <c r="E28" i="127"/>
  <c r="X78" i="127"/>
  <c r="M15" i="127"/>
  <c r="M27" i="127"/>
  <c r="M37" i="127"/>
  <c r="E50" i="127"/>
  <c r="N76" i="127"/>
  <c r="G76" i="127"/>
  <c r="G79" i="127"/>
  <c r="H68" i="127"/>
  <c r="M76" i="127"/>
  <c r="M79" i="127"/>
  <c r="M81" i="127"/>
  <c r="X74" i="127"/>
  <c r="X64" i="127"/>
  <c r="C28" i="127"/>
  <c r="D28" i="127"/>
  <c r="D37" i="127"/>
  <c r="J37" i="127"/>
  <c r="X85" i="127"/>
  <c r="D68" i="127"/>
  <c r="D76" i="127"/>
  <c r="H62" i="127"/>
  <c r="AA66" i="127"/>
  <c r="X69" i="127"/>
  <c r="AA71" i="127"/>
  <c r="Z71" i="127"/>
  <c r="Z74" i="127"/>
  <c r="Z80" i="127"/>
  <c r="X84" i="127"/>
  <c r="K86" i="127"/>
  <c r="I68" i="127"/>
  <c r="I76" i="127"/>
  <c r="X75" i="127"/>
  <c r="X66" i="127"/>
  <c r="X70" i="127"/>
  <c r="AA73" i="127"/>
  <c r="X67" i="127"/>
  <c r="X73" i="127"/>
  <c r="X77" i="127"/>
  <c r="K62" i="127"/>
  <c r="AA63" i="127"/>
  <c r="AA84" i="127"/>
  <c r="L28" i="127"/>
  <c r="M28" i="127"/>
  <c r="L45" i="127"/>
  <c r="G50" i="127"/>
  <c r="J45" i="127"/>
  <c r="B76" i="127"/>
  <c r="B79" i="127"/>
  <c r="AA86" i="127"/>
  <c r="Y68" i="127"/>
  <c r="AA68" i="127"/>
  <c r="G28" i="127"/>
  <c r="D45" i="127"/>
  <c r="H76" i="127"/>
  <c r="F68" i="127"/>
  <c r="N79" i="127"/>
  <c r="N81" i="127"/>
  <c r="Z62" i="127"/>
  <c r="L50" i="127"/>
  <c r="C45" i="128"/>
  <c r="C50" i="128"/>
  <c r="D44" i="128"/>
  <c r="D49" i="128"/>
  <c r="B45" i="128"/>
  <c r="B50" i="128"/>
  <c r="D27" i="128"/>
  <c r="D15" i="128"/>
  <c r="D37" i="128"/>
  <c r="N84" i="121"/>
  <c r="O84" i="121"/>
  <c r="G86" i="121"/>
  <c r="E81" i="123"/>
  <c r="D84" i="123"/>
  <c r="F81" i="123"/>
  <c r="F76" i="127"/>
  <c r="D79" i="127"/>
  <c r="E76" i="127"/>
  <c r="J86" i="123"/>
  <c r="B81" i="127"/>
  <c r="C81" i="127"/>
  <c r="C79" i="127"/>
  <c r="E54" i="77"/>
  <c r="F54" i="77"/>
  <c r="E76" i="122"/>
  <c r="D79" i="122"/>
  <c r="J68" i="127"/>
  <c r="N81" i="121"/>
  <c r="O81" i="121"/>
  <c r="E68" i="127"/>
  <c r="Z68" i="127"/>
  <c r="C76" i="127"/>
  <c r="D45" i="125"/>
  <c r="I86" i="121"/>
  <c r="J86" i="121"/>
  <c r="J84" i="123"/>
  <c r="K84" i="121"/>
  <c r="AA81" i="123"/>
  <c r="H84" i="122"/>
  <c r="F54" i="48"/>
  <c r="S58" i="111"/>
  <c r="R81" i="122"/>
  <c r="O47" i="106"/>
  <c r="T79" i="123"/>
  <c r="C55" i="93"/>
  <c r="B55" i="87"/>
  <c r="F52" i="86"/>
  <c r="E76" i="125"/>
  <c r="N58" i="107"/>
  <c r="Q79" i="121"/>
  <c r="K81" i="122"/>
  <c r="C25" i="76"/>
  <c r="S79" i="126"/>
  <c r="G79" i="125"/>
  <c r="J79" i="126"/>
  <c r="I81" i="126"/>
  <c r="Y55" i="111"/>
  <c r="Z55" i="111"/>
  <c r="X58" i="111"/>
  <c r="R55" i="103"/>
  <c r="Q58" i="103"/>
  <c r="U68" i="127"/>
  <c r="T76" i="127"/>
  <c r="L81" i="121"/>
  <c r="F52" i="89"/>
  <c r="J79" i="122"/>
  <c r="N68" i="125"/>
  <c r="B79" i="126"/>
  <c r="C76" i="126"/>
  <c r="E51" i="67"/>
  <c r="F51" i="67"/>
  <c r="D54" i="67"/>
  <c r="E54" i="67"/>
  <c r="C44" i="52"/>
  <c r="U55" i="103"/>
  <c r="T58" i="103"/>
  <c r="E42" i="59"/>
  <c r="F42" i="59"/>
  <c r="L47" i="96"/>
  <c r="L49" i="96"/>
  <c r="M44" i="96"/>
  <c r="M55" i="104"/>
  <c r="K58" i="104"/>
  <c r="T47" i="99"/>
  <c r="S55" i="99"/>
  <c r="U55" i="99"/>
  <c r="B76" i="121"/>
  <c r="D45" i="122"/>
  <c r="Y47" i="111"/>
  <c r="I28" i="110"/>
  <c r="K28" i="110"/>
  <c r="L47" i="104"/>
  <c r="K27" i="110"/>
  <c r="U42" i="111"/>
  <c r="R47" i="98"/>
  <c r="D30" i="43"/>
  <c r="B39" i="58"/>
  <c r="B41" i="58"/>
  <c r="D41" i="58"/>
  <c r="D30" i="87"/>
  <c r="K33" i="107"/>
  <c r="J45" i="126"/>
  <c r="D51" i="43"/>
  <c r="D30" i="84"/>
  <c r="C23" i="56"/>
  <c r="D23" i="56"/>
  <c r="D43" i="57"/>
  <c r="F39" i="57"/>
  <c r="C23" i="54"/>
  <c r="D23" i="54"/>
  <c r="C37" i="53"/>
  <c r="B21" i="52"/>
  <c r="D43" i="47"/>
  <c r="D35" i="49"/>
  <c r="E52" i="60"/>
  <c r="D21" i="60"/>
  <c r="D34" i="63"/>
  <c r="C47" i="64"/>
  <c r="F42" i="67"/>
  <c r="B43" i="70"/>
  <c r="F42" i="70"/>
  <c r="E39" i="70"/>
  <c r="C42" i="71"/>
  <c r="E46" i="65"/>
  <c r="B43" i="65"/>
  <c r="F50" i="75"/>
  <c r="D33" i="76"/>
  <c r="C52" i="79"/>
  <c r="D43" i="79"/>
  <c r="F39" i="86"/>
  <c r="E51" i="89"/>
  <c r="F43" i="91"/>
  <c r="D15" i="91"/>
  <c r="B42" i="92"/>
  <c r="B17" i="92"/>
  <c r="D17" i="92"/>
  <c r="H47" i="95"/>
  <c r="N54" i="97"/>
  <c r="O55" i="97"/>
  <c r="U46" i="99"/>
  <c r="K47" i="99"/>
  <c r="K55" i="99"/>
  <c r="K58" i="99"/>
  <c r="P45" i="98"/>
  <c r="K44" i="98"/>
  <c r="K47" i="98"/>
  <c r="K49" i="98"/>
  <c r="R46" i="102"/>
  <c r="D32" i="50"/>
  <c r="B27" i="65"/>
  <c r="E39" i="79"/>
  <c r="L46" i="97"/>
  <c r="U54" i="99"/>
  <c r="L47" i="99"/>
  <c r="B43" i="57"/>
  <c r="D50" i="64"/>
  <c r="C38" i="69"/>
  <c r="H17" i="94"/>
  <c r="L17" i="94"/>
  <c r="R46" i="99"/>
  <c r="P48" i="98"/>
  <c r="B24" i="68"/>
  <c r="R54" i="104"/>
  <c r="M46" i="104"/>
  <c r="R47" i="107"/>
  <c r="G45" i="126"/>
  <c r="N31" i="104"/>
  <c r="L34" i="109"/>
  <c r="M42" i="102"/>
  <c r="M44" i="102"/>
  <c r="M47" i="102"/>
  <c r="M49" i="102"/>
  <c r="L33" i="109"/>
  <c r="N33" i="109"/>
  <c r="O78" i="125"/>
  <c r="R57" i="109"/>
  <c r="U51" i="111"/>
  <c r="U44" i="110"/>
  <c r="R76" i="127"/>
  <c r="W76" i="127"/>
  <c r="X76" i="127"/>
  <c r="D50" i="128"/>
  <c r="D45" i="128"/>
  <c r="C43" i="57"/>
  <c r="B51" i="57"/>
  <c r="Q55" i="97"/>
  <c r="B44" i="92"/>
  <c r="D42" i="92"/>
  <c r="M49" i="96"/>
  <c r="M47" i="96"/>
  <c r="C79" i="126"/>
  <c r="B81" i="126"/>
  <c r="U79" i="123"/>
  <c r="V79" i="123"/>
  <c r="L55" i="99"/>
  <c r="M47" i="99"/>
  <c r="P47" i="99"/>
  <c r="B30" i="65"/>
  <c r="D30" i="65"/>
  <c r="D27" i="65"/>
  <c r="E43" i="79"/>
  <c r="D51" i="79"/>
  <c r="F43" i="79"/>
  <c r="F43" i="65"/>
  <c r="C43" i="65"/>
  <c r="B51" i="65"/>
  <c r="D51" i="47"/>
  <c r="E43" i="47"/>
  <c r="F43" i="47"/>
  <c r="F51" i="43"/>
  <c r="B43" i="58"/>
  <c r="D43" i="58"/>
  <c r="R58" i="103"/>
  <c r="S58" i="103"/>
  <c r="J81" i="126"/>
  <c r="K81" i="126"/>
  <c r="C55" i="87"/>
  <c r="K86" i="121"/>
  <c r="L84" i="121"/>
  <c r="M84" i="121"/>
  <c r="D81" i="122"/>
  <c r="E79" i="122"/>
  <c r="B25" i="68"/>
  <c r="D25" i="68"/>
  <c r="B27" i="68"/>
  <c r="D24" i="68"/>
  <c r="C41" i="69"/>
  <c r="N47" i="95"/>
  <c r="I47" i="95"/>
  <c r="H55" i="95"/>
  <c r="C43" i="70"/>
  <c r="B51" i="70"/>
  <c r="F43" i="70"/>
  <c r="B23" i="52"/>
  <c r="D23" i="52"/>
  <c r="D21" i="52"/>
  <c r="E43" i="57"/>
  <c r="F43" i="57"/>
  <c r="D51" i="57"/>
  <c r="B79" i="121"/>
  <c r="F76" i="121"/>
  <c r="C76" i="121"/>
  <c r="O68" i="125"/>
  <c r="R68" i="125"/>
  <c r="Y58" i="111"/>
  <c r="Z58" i="111"/>
  <c r="S81" i="122"/>
  <c r="T81" i="122"/>
  <c r="D81" i="127"/>
  <c r="E79" i="127"/>
  <c r="F79" i="127"/>
  <c r="D86" i="123"/>
  <c r="F84" i="123"/>
  <c r="E84" i="123"/>
  <c r="N86" i="121"/>
  <c r="O86" i="121"/>
  <c r="S76" i="127"/>
  <c r="R79" i="127"/>
  <c r="S47" i="107"/>
  <c r="R55" i="107"/>
  <c r="V47" i="107"/>
  <c r="E50" i="64"/>
  <c r="D51" i="64"/>
  <c r="C44" i="71"/>
  <c r="D37" i="53"/>
  <c r="C40" i="53"/>
  <c r="S47" i="98"/>
  <c r="R49" i="98"/>
  <c r="S49" i="98"/>
  <c r="S58" i="99"/>
  <c r="T55" i="99"/>
  <c r="L58" i="104"/>
  <c r="M58" i="104"/>
  <c r="U58" i="103"/>
  <c r="X58" i="103"/>
  <c r="V76" i="127"/>
  <c r="U76" i="127"/>
  <c r="Y76" i="127"/>
  <c r="Z76" i="127"/>
  <c r="T79" i="127"/>
  <c r="G81" i="125"/>
  <c r="T58" i="111"/>
  <c r="U58" i="111"/>
  <c r="D39" i="58"/>
  <c r="C43" i="69"/>
  <c r="V79" i="127"/>
  <c r="T81" i="127"/>
  <c r="U79" i="127"/>
  <c r="Y79" i="127"/>
  <c r="D54" i="64"/>
  <c r="E51" i="64"/>
  <c r="AA76" i="127"/>
  <c r="T58" i="99"/>
  <c r="U58" i="99"/>
  <c r="C51" i="70"/>
  <c r="B54" i="70"/>
  <c r="F51" i="70"/>
  <c r="B47" i="92"/>
  <c r="D44" i="92"/>
  <c r="B54" i="57"/>
  <c r="C54" i="57"/>
  <c r="C51" i="57"/>
  <c r="H58" i="95"/>
  <c r="I55" i="95"/>
  <c r="N55" i="95"/>
  <c r="R58" i="107"/>
  <c r="S55" i="107"/>
  <c r="V55" i="107"/>
  <c r="E81" i="122"/>
  <c r="D84" i="122"/>
  <c r="E51" i="79"/>
  <c r="F51" i="79"/>
  <c r="D54" i="79"/>
  <c r="S79" i="127"/>
  <c r="R81" i="127"/>
  <c r="W79" i="127"/>
  <c r="X79" i="127"/>
  <c r="F81" i="127"/>
  <c r="E81" i="127"/>
  <c r="C79" i="121"/>
  <c r="B81" i="121"/>
  <c r="M55" i="99"/>
  <c r="L58" i="99"/>
  <c r="P55" i="99"/>
  <c r="C81" i="126"/>
  <c r="E51" i="57"/>
  <c r="D54" i="57"/>
  <c r="F51" i="57"/>
  <c r="M86" i="121"/>
  <c r="L86" i="121"/>
  <c r="E51" i="47"/>
  <c r="D54" i="47"/>
  <c r="F51" i="47"/>
  <c r="E86" i="123"/>
  <c r="C42" i="53"/>
  <c r="D42" i="53"/>
  <c r="D40" i="53"/>
  <c r="F51" i="65"/>
  <c r="B54" i="65"/>
  <c r="F54" i="65"/>
  <c r="C51" i="65"/>
  <c r="E54" i="47"/>
  <c r="F54" i="47"/>
  <c r="F54" i="79"/>
  <c r="E54" i="79"/>
  <c r="B49" i="92"/>
  <c r="D49" i="92"/>
  <c r="D47" i="92"/>
  <c r="C54" i="65"/>
  <c r="M58" i="99"/>
  <c r="P58" i="99"/>
  <c r="E54" i="57"/>
  <c r="F54" i="57"/>
  <c r="B84" i="121"/>
  <c r="C84" i="121"/>
  <c r="C81" i="121"/>
  <c r="N58" i="95"/>
  <c r="I58" i="95"/>
  <c r="V81" i="127"/>
  <c r="U81" i="127"/>
  <c r="Y81" i="127"/>
  <c r="Z81" i="127"/>
  <c r="AA79" i="127"/>
  <c r="Z79" i="127"/>
  <c r="S81" i="127"/>
  <c r="W81" i="127"/>
  <c r="X81" i="127"/>
  <c r="E84" i="122"/>
  <c r="D86" i="122"/>
  <c r="S58" i="107"/>
  <c r="C54" i="70"/>
  <c r="F54" i="70"/>
  <c r="E54" i="64"/>
  <c r="E86" i="122"/>
  <c r="E85" i="128"/>
  <c r="E62" i="129"/>
  <c r="G44" i="129"/>
  <c r="E28" i="129"/>
  <c r="B45" i="129"/>
  <c r="B50" i="129"/>
  <c r="D49" i="129"/>
  <c r="D28" i="129"/>
  <c r="F86" i="129"/>
  <c r="F45" i="129"/>
  <c r="F28" i="129"/>
  <c r="G28" i="129"/>
  <c r="G15" i="129"/>
  <c r="G27" i="129"/>
  <c r="G37" i="129"/>
  <c r="C68" i="129"/>
  <c r="F68" i="129"/>
  <c r="E68" i="129"/>
  <c r="C62" i="129"/>
  <c r="D15" i="129"/>
  <c r="D37" i="129"/>
  <c r="F62" i="129"/>
  <c r="D79" i="129"/>
  <c r="F79" i="129"/>
  <c r="F76" i="129"/>
  <c r="E76" i="129"/>
  <c r="C76" i="129"/>
  <c r="B79" i="129"/>
  <c r="C79" i="129"/>
  <c r="D81" i="129"/>
  <c r="F45" i="130"/>
  <c r="O69" i="130"/>
  <c r="W69" i="130"/>
  <c r="W63" i="130"/>
  <c r="X63" i="130"/>
  <c r="E45" i="130"/>
  <c r="E50" i="130"/>
  <c r="I45" i="130"/>
  <c r="E28" i="130"/>
  <c r="G27" i="130"/>
  <c r="D44" i="130"/>
  <c r="D49" i="130"/>
  <c r="C63" i="130"/>
  <c r="H45" i="130"/>
  <c r="H50" i="130"/>
  <c r="J50" i="130"/>
  <c r="J44" i="130"/>
  <c r="J49" i="130"/>
  <c r="F28" i="130"/>
  <c r="G28" i="130"/>
  <c r="B45" i="130"/>
  <c r="B50" i="130"/>
  <c r="F63" i="130"/>
  <c r="J27" i="130"/>
  <c r="D37" i="130"/>
  <c r="D15" i="130"/>
  <c r="G44" i="130"/>
  <c r="G49" i="130"/>
  <c r="V62" i="130"/>
  <c r="Y64" i="130"/>
  <c r="X66" i="130"/>
  <c r="Y67" i="130"/>
  <c r="X76" i="130"/>
  <c r="Y78" i="130"/>
  <c r="Y79" i="130"/>
  <c r="Y88" i="130"/>
  <c r="X88" i="130"/>
  <c r="Y75" i="130"/>
  <c r="Y86" i="130"/>
  <c r="G15" i="130"/>
  <c r="X71" i="130"/>
  <c r="X81" i="130"/>
  <c r="X85" i="130"/>
  <c r="Y61" i="130"/>
  <c r="Y62" i="130"/>
  <c r="V68" i="130"/>
  <c r="V70" i="130"/>
  <c r="V71" i="130"/>
  <c r="V73" i="130"/>
  <c r="V74" i="130"/>
  <c r="V85" i="130"/>
  <c r="V64" i="130"/>
  <c r="V65" i="130"/>
  <c r="Y72" i="130"/>
  <c r="Y73" i="130"/>
  <c r="Y74" i="130"/>
  <c r="V76" i="130"/>
  <c r="V79" i="130"/>
  <c r="J15" i="130"/>
  <c r="J28" i="130"/>
  <c r="I50" i="130"/>
  <c r="J37" i="130"/>
  <c r="O77" i="130"/>
  <c r="W77" i="130"/>
  <c r="X87" i="130"/>
  <c r="F50" i="130"/>
  <c r="G50" i="130"/>
  <c r="C69" i="130"/>
  <c r="B77" i="130"/>
  <c r="B80" i="130"/>
  <c r="C28" i="130"/>
  <c r="D28" i="130"/>
  <c r="C45" i="130"/>
  <c r="X65" i="130"/>
  <c r="V67" i="130"/>
  <c r="X68" i="130"/>
  <c r="D69" i="130"/>
  <c r="X70" i="130"/>
  <c r="Y71" i="130"/>
  <c r="V72" i="130"/>
  <c r="X74" i="130"/>
  <c r="V75" i="130"/>
  <c r="V78" i="130"/>
  <c r="Y85" i="130"/>
  <c r="V86" i="130"/>
  <c r="F87" i="130"/>
  <c r="V87" i="130"/>
  <c r="V88" i="130"/>
  <c r="X62" i="130"/>
  <c r="X64" i="130"/>
  <c r="Y65" i="130"/>
  <c r="V66" i="130"/>
  <c r="Y68" i="130"/>
  <c r="N69" i="130"/>
  <c r="U69" i="130"/>
  <c r="V69" i="130"/>
  <c r="Y70" i="130"/>
  <c r="X73" i="130"/>
  <c r="X79" i="130"/>
  <c r="G37" i="130"/>
  <c r="E63" i="130"/>
  <c r="X67" i="130"/>
  <c r="X72" i="130"/>
  <c r="X75" i="130"/>
  <c r="X78" i="130"/>
  <c r="X86" i="130"/>
  <c r="V63" i="130"/>
  <c r="G45" i="130"/>
  <c r="J45" i="130"/>
  <c r="D77" i="130"/>
  <c r="E77" i="130"/>
  <c r="F69" i="130"/>
  <c r="E69" i="130"/>
  <c r="D45" i="130"/>
  <c r="C50" i="130"/>
  <c r="D50" i="130"/>
  <c r="N77" i="130"/>
  <c r="N80" i="130"/>
  <c r="U77" i="130"/>
  <c r="V77" i="130"/>
  <c r="Y63" i="130"/>
  <c r="Y87" i="130"/>
  <c r="O80" i="130"/>
  <c r="W80" i="130"/>
  <c r="O82" i="130"/>
  <c r="W82" i="130"/>
  <c r="X82" i="130"/>
  <c r="F77" i="130"/>
  <c r="J15" i="131"/>
  <c r="Z66" i="131"/>
  <c r="E27" i="131"/>
  <c r="D48" i="131"/>
  <c r="B44" i="131"/>
  <c r="B49" i="131"/>
  <c r="H44" i="131"/>
  <c r="H49" i="131"/>
  <c r="X61" i="131"/>
  <c r="X65" i="131"/>
  <c r="X80" i="131"/>
  <c r="D43" i="131"/>
  <c r="Z75" i="131"/>
  <c r="AA61" i="131"/>
  <c r="AA85" i="131"/>
  <c r="G15" i="131"/>
  <c r="C44" i="131"/>
  <c r="D44" i="131"/>
  <c r="X75" i="131"/>
  <c r="Z80" i="131"/>
  <c r="X74" i="131"/>
  <c r="X86" i="131"/>
  <c r="D15" i="131"/>
  <c r="F49" i="131"/>
  <c r="J43" i="131"/>
  <c r="E62" i="131"/>
  <c r="X71" i="131"/>
  <c r="C27" i="131"/>
  <c r="G43" i="131"/>
  <c r="G48" i="131"/>
  <c r="X87" i="131"/>
  <c r="I27" i="131"/>
  <c r="D36" i="131"/>
  <c r="I44" i="131"/>
  <c r="J44" i="131"/>
  <c r="AA60" i="131"/>
  <c r="X63" i="131"/>
  <c r="Z64" i="131"/>
  <c r="X67" i="131"/>
  <c r="AA71" i="131"/>
  <c r="AA74" i="131"/>
  <c r="AA77" i="131"/>
  <c r="Z78" i="131"/>
  <c r="AA84" i="131"/>
  <c r="H27" i="131"/>
  <c r="J27" i="131"/>
  <c r="G36" i="131"/>
  <c r="Z72" i="131"/>
  <c r="X69" i="131"/>
  <c r="Z70" i="131"/>
  <c r="X72" i="131"/>
  <c r="Z73" i="131"/>
  <c r="X85" i="131"/>
  <c r="J26" i="131"/>
  <c r="G26" i="131"/>
  <c r="B27" i="131"/>
  <c r="D27" i="131"/>
  <c r="AA86" i="131"/>
  <c r="Z86" i="131"/>
  <c r="I49" i="131"/>
  <c r="J49" i="131"/>
  <c r="D76" i="131"/>
  <c r="E68" i="131"/>
  <c r="AA63" i="131"/>
  <c r="AA65" i="131"/>
  <c r="AA69" i="131"/>
  <c r="AA72" i="131"/>
  <c r="F86" i="131"/>
  <c r="J36" i="131"/>
  <c r="E44" i="131"/>
  <c r="Z61" i="131"/>
  <c r="X62" i="131"/>
  <c r="AA64" i="131"/>
  <c r="AA66" i="131"/>
  <c r="Z67" i="131"/>
  <c r="AA70" i="131"/>
  <c r="Z71" i="131"/>
  <c r="AA73" i="131"/>
  <c r="Z74" i="131"/>
  <c r="X77" i="131"/>
  <c r="AA78" i="131"/>
  <c r="X84" i="131"/>
  <c r="Z85" i="131"/>
  <c r="F27" i="131"/>
  <c r="G27" i="131"/>
  <c r="Z63" i="131"/>
  <c r="X64" i="131"/>
  <c r="Z65" i="131"/>
  <c r="X66" i="131"/>
  <c r="Z69" i="131"/>
  <c r="X70" i="131"/>
  <c r="X73" i="131"/>
  <c r="X78" i="131"/>
  <c r="Z87" i="131"/>
  <c r="F62" i="131"/>
  <c r="B68" i="131"/>
  <c r="C68" i="131"/>
  <c r="C49" i="131"/>
  <c r="D79" i="131"/>
  <c r="E76" i="131"/>
  <c r="G44" i="131"/>
  <c r="E49" i="131"/>
  <c r="G49" i="131"/>
  <c r="D49" i="131"/>
  <c r="D81" i="131"/>
  <c r="E81" i="131"/>
  <c r="E79" i="131"/>
  <c r="C27" i="132"/>
  <c r="D27" i="132"/>
  <c r="D26" i="132"/>
  <c r="C44" i="132"/>
  <c r="C49" i="132"/>
  <c r="D49" i="132"/>
  <c r="D43" i="132"/>
  <c r="D48" i="132"/>
  <c r="B49" i="132"/>
  <c r="D36" i="132"/>
  <c r="D15" i="132"/>
  <c r="D73" i="132"/>
  <c r="E67" i="132"/>
  <c r="F83" i="132"/>
  <c r="E61" i="132"/>
  <c r="B67" i="132"/>
  <c r="F67" i="132"/>
  <c r="F61" i="132"/>
  <c r="D44" i="132"/>
  <c r="B73" i="132"/>
  <c r="B76" i="132"/>
  <c r="F73" i="132"/>
  <c r="C67" i="132"/>
  <c r="E73" i="132"/>
  <c r="D76" i="132"/>
  <c r="E76" i="132"/>
  <c r="D78" i="132"/>
  <c r="C73" i="132"/>
  <c r="E78" i="132"/>
  <c r="X80" i="130"/>
  <c r="Y77" i="130"/>
  <c r="X77" i="130"/>
  <c r="Y69" i="130"/>
  <c r="X69" i="130"/>
  <c r="B78" i="132"/>
  <c r="C78" i="132"/>
  <c r="C76" i="132"/>
  <c r="F76" i="132"/>
  <c r="U80" i="130"/>
  <c r="V80" i="130"/>
  <c r="N82" i="130"/>
  <c r="U82" i="130"/>
  <c r="V82" i="130"/>
  <c r="C80" i="130"/>
  <c r="B82" i="130"/>
  <c r="C82" i="130"/>
  <c r="AA81" i="127"/>
  <c r="B86" i="121"/>
  <c r="C86" i="121"/>
  <c r="D54" i="43"/>
  <c r="E51" i="43"/>
  <c r="C84" i="123"/>
  <c r="B86" i="123"/>
  <c r="O79" i="121"/>
  <c r="R79" i="121"/>
  <c r="H84" i="121"/>
  <c r="P81" i="121"/>
  <c r="J76" i="125"/>
  <c r="I79" i="125"/>
  <c r="N76" i="125"/>
  <c r="B79" i="122"/>
  <c r="C76" i="122"/>
  <c r="F76" i="122"/>
  <c r="Q76" i="126"/>
  <c r="P79" i="126"/>
  <c r="T76" i="126"/>
  <c r="U76" i="126"/>
  <c r="D50" i="125"/>
  <c r="R47" i="102"/>
  <c r="P49" i="102"/>
  <c r="R49" i="102"/>
  <c r="O49" i="106"/>
  <c r="O58" i="109"/>
  <c r="P58" i="109"/>
  <c r="S55" i="109"/>
  <c r="P55" i="109"/>
  <c r="D80" i="130"/>
  <c r="C77" i="130"/>
  <c r="E81" i="129"/>
  <c r="E79" i="129"/>
  <c r="B81" i="129"/>
  <c r="C81" i="129"/>
  <c r="L81" i="125"/>
  <c r="P81" i="125"/>
  <c r="Q84" i="122"/>
  <c r="T84" i="122"/>
  <c r="W81" i="122"/>
  <c r="X79" i="122"/>
  <c r="F55" i="89"/>
  <c r="E55" i="89"/>
  <c r="F79" i="125"/>
  <c r="E79" i="125"/>
  <c r="D81" i="125"/>
  <c r="M49" i="100"/>
  <c r="N47" i="100"/>
  <c r="B43" i="49"/>
  <c r="D41" i="49"/>
  <c r="S81" i="126"/>
  <c r="W81" i="126"/>
  <c r="D79" i="126"/>
  <c r="E76" i="126"/>
  <c r="F76" i="126"/>
  <c r="E76" i="121"/>
  <c r="D79" i="121"/>
  <c r="V58" i="109"/>
  <c r="W55" i="109"/>
  <c r="X55" i="109"/>
  <c r="U58" i="101"/>
  <c r="V55" i="101"/>
  <c r="W55" i="101"/>
  <c r="B76" i="131"/>
  <c r="F68" i="131"/>
  <c r="Y82" i="130"/>
  <c r="F50" i="129"/>
  <c r="U47" i="110"/>
  <c r="V44" i="110"/>
  <c r="O58" i="97"/>
  <c r="P55" i="97"/>
  <c r="J76" i="127"/>
  <c r="K76" i="127"/>
  <c r="I79" i="127"/>
  <c r="H79" i="127"/>
  <c r="G81" i="127"/>
  <c r="H81" i="127"/>
  <c r="D50" i="127"/>
  <c r="J86" i="122"/>
  <c r="N49" i="98"/>
  <c r="P49" i="98"/>
  <c r="P47" i="98"/>
  <c r="D43" i="49"/>
  <c r="Q76" i="121"/>
  <c r="R76" i="121"/>
  <c r="E79" i="120"/>
  <c r="D81" i="120"/>
  <c r="F79" i="120"/>
  <c r="Q47" i="110"/>
  <c r="S44" i="110"/>
  <c r="Q47" i="108"/>
  <c r="P49" i="108"/>
  <c r="Q49" i="108"/>
  <c r="T84" i="123"/>
  <c r="Y86" i="123"/>
  <c r="Z84" i="123"/>
  <c r="AA84" i="123"/>
  <c r="N49" i="100"/>
  <c r="D50" i="126"/>
  <c r="K50" i="127"/>
  <c r="M50" i="127"/>
  <c r="G86" i="122"/>
  <c r="H86" i="122"/>
  <c r="F54" i="59"/>
  <c r="G81" i="123"/>
  <c r="Q44" i="108"/>
  <c r="K27" i="108"/>
  <c r="F54" i="67"/>
  <c r="R58" i="109"/>
  <c r="W86" i="123"/>
  <c r="C44" i="61"/>
  <c r="N81" i="123"/>
  <c r="J84" i="122"/>
  <c r="B54" i="75"/>
  <c r="T58" i="107"/>
  <c r="Q81" i="122"/>
  <c r="L28" i="108"/>
  <c r="N28" i="108"/>
  <c r="C40" i="56"/>
  <c r="D37" i="56"/>
  <c r="B43" i="74"/>
  <c r="D43" i="74"/>
  <c r="D41" i="74"/>
  <c r="K68" i="127"/>
  <c r="S79" i="122"/>
  <c r="D38" i="66"/>
  <c r="B41" i="66"/>
  <c r="D35" i="56"/>
  <c r="D9" i="58"/>
  <c r="F55" i="59"/>
  <c r="D38" i="54"/>
  <c r="B37" i="52"/>
  <c r="D11" i="52"/>
  <c r="B50" i="64"/>
  <c r="D36" i="66"/>
  <c r="E50" i="70"/>
  <c r="B42" i="71"/>
  <c r="E42" i="65"/>
  <c r="D39" i="72"/>
  <c r="C45" i="73"/>
  <c r="D38" i="74"/>
  <c r="B24" i="76"/>
  <c r="D16" i="80"/>
  <c r="I28" i="106"/>
  <c r="K28" i="106"/>
  <c r="C24" i="78"/>
  <c r="D44" i="87"/>
  <c r="D20" i="93"/>
  <c r="L47" i="94"/>
  <c r="C50" i="77"/>
  <c r="F50" i="77"/>
  <c r="D14" i="78"/>
  <c r="C38" i="85"/>
  <c r="D36" i="85"/>
  <c r="D19" i="79"/>
  <c r="B38" i="69"/>
  <c r="C39" i="80"/>
  <c r="F39" i="80"/>
  <c r="T42" i="108"/>
  <c r="R44" i="108"/>
  <c r="K17" i="106"/>
  <c r="Q54" i="107"/>
  <c r="I47" i="107"/>
  <c r="I55" i="107"/>
  <c r="I58" i="107"/>
  <c r="N47" i="109"/>
  <c r="N55" i="109"/>
  <c r="N58" i="109"/>
  <c r="U69" i="123"/>
  <c r="U72" i="123"/>
  <c r="O47" i="107"/>
  <c r="R48" i="109"/>
  <c r="R44" i="109"/>
  <c r="S46" i="110"/>
  <c r="S38" i="110"/>
  <c r="N55" i="111"/>
  <c r="N58" i="111"/>
  <c r="D44" i="125"/>
  <c r="D49" i="125"/>
  <c r="W86" i="126"/>
  <c r="S86" i="126"/>
  <c r="S51" i="109"/>
  <c r="R51" i="109"/>
  <c r="Z54" i="111"/>
  <c r="U48" i="111"/>
  <c r="T48" i="111"/>
  <c r="V62" i="122"/>
  <c r="U68" i="122"/>
  <c r="E78" i="128"/>
  <c r="D80" i="128"/>
  <c r="R86" i="129"/>
  <c r="O64" i="129"/>
  <c r="R64" i="129"/>
  <c r="Q65" i="129"/>
  <c r="Q80" i="129"/>
  <c r="Q77" i="129"/>
  <c r="Q60" i="129"/>
  <c r="R60" i="129"/>
  <c r="Q74" i="129"/>
  <c r="Q73" i="129"/>
  <c r="Q78" i="129"/>
  <c r="R78" i="129"/>
  <c r="Q87" i="129"/>
  <c r="R87" i="129"/>
  <c r="Y62" i="131"/>
  <c r="M68" i="131"/>
  <c r="M26" i="131"/>
  <c r="L27" i="131"/>
  <c r="M27" i="131"/>
  <c r="C45" i="129"/>
  <c r="E45" i="129"/>
  <c r="E50" i="129"/>
  <c r="G49" i="129"/>
  <c r="H76" i="129"/>
  <c r="M62" i="129"/>
  <c r="I68" i="129"/>
  <c r="J62" i="129"/>
  <c r="Q61" i="129"/>
  <c r="Q66" i="129"/>
  <c r="Q86" i="129"/>
  <c r="M34" i="109"/>
  <c r="N34" i="109"/>
  <c r="B50" i="120"/>
  <c r="D50" i="120"/>
  <c r="U62" i="127"/>
  <c r="V62" i="127"/>
  <c r="Q64" i="129"/>
  <c r="N62" i="129"/>
  <c r="O62" i="129"/>
  <c r="Q62" i="129"/>
  <c r="Q63" i="129"/>
  <c r="R63" i="129"/>
  <c r="Q75" i="129"/>
  <c r="Q84" i="129"/>
  <c r="R84" i="129"/>
  <c r="B78" i="128"/>
  <c r="C75" i="128"/>
  <c r="Q70" i="129"/>
  <c r="G79" i="129"/>
  <c r="Q71" i="129"/>
  <c r="Q69" i="129"/>
  <c r="Q72" i="129"/>
  <c r="Q85" i="129"/>
  <c r="J48" i="131"/>
  <c r="M49" i="131"/>
  <c r="Q67" i="129"/>
  <c r="F68" i="128"/>
  <c r="K68" i="129"/>
  <c r="P68" i="129"/>
  <c r="N68" i="131"/>
  <c r="Q68" i="129"/>
  <c r="Y68" i="131"/>
  <c r="M76" i="131"/>
  <c r="E80" i="128"/>
  <c r="C27" i="78"/>
  <c r="C25" i="78"/>
  <c r="D25" i="78"/>
  <c r="D24" i="78"/>
  <c r="B44" i="71"/>
  <c r="D44" i="71"/>
  <c r="D42" i="71"/>
  <c r="U58" i="107"/>
  <c r="V58" i="107"/>
  <c r="U84" i="123"/>
  <c r="Q49" i="110"/>
  <c r="S49" i="110"/>
  <c r="S47" i="110"/>
  <c r="U49" i="110"/>
  <c r="V49" i="110"/>
  <c r="V47" i="110"/>
  <c r="F76" i="131"/>
  <c r="B79" i="131"/>
  <c r="C76" i="131"/>
  <c r="D81" i="121"/>
  <c r="E79" i="121"/>
  <c r="F79" i="121"/>
  <c r="D81" i="126"/>
  <c r="F79" i="126"/>
  <c r="E79" i="126"/>
  <c r="R76" i="125"/>
  <c r="O76" i="125"/>
  <c r="P84" i="121"/>
  <c r="H86" i="121"/>
  <c r="P86" i="121"/>
  <c r="C86" i="123"/>
  <c r="F86" i="123"/>
  <c r="E54" i="43"/>
  <c r="F54" i="43"/>
  <c r="F81" i="129"/>
  <c r="G45" i="129"/>
  <c r="B80" i="128"/>
  <c r="C80" i="128"/>
  <c r="C78" i="128"/>
  <c r="C50" i="129"/>
  <c r="D50" i="129"/>
  <c r="D45" i="129"/>
  <c r="Z62" i="131"/>
  <c r="AA62" i="131"/>
  <c r="C41" i="85"/>
  <c r="D38" i="85"/>
  <c r="B40" i="52"/>
  <c r="D37" i="52"/>
  <c r="C42" i="56"/>
  <c r="D42" i="56"/>
  <c r="D40" i="56"/>
  <c r="C54" i="75"/>
  <c r="F54" i="75"/>
  <c r="X86" i="123"/>
  <c r="G50" i="129"/>
  <c r="X81" i="126"/>
  <c r="D82" i="130"/>
  <c r="F80" i="130"/>
  <c r="E80" i="130"/>
  <c r="V76" i="126"/>
  <c r="Y76" i="126"/>
  <c r="M79" i="125"/>
  <c r="J79" i="125"/>
  <c r="N79" i="125"/>
  <c r="I81" i="125"/>
  <c r="G81" i="129"/>
  <c r="H79" i="129"/>
  <c r="F78" i="128"/>
  <c r="T44" i="108"/>
  <c r="R47" i="108"/>
  <c r="B41" i="69"/>
  <c r="D38" i="69"/>
  <c r="D41" i="66"/>
  <c r="B43" i="66"/>
  <c r="D43" i="66"/>
  <c r="G84" i="123"/>
  <c r="H81" i="123"/>
  <c r="K81" i="123"/>
  <c r="E81" i="120"/>
  <c r="D84" i="120"/>
  <c r="F81" i="120"/>
  <c r="K86" i="122"/>
  <c r="J79" i="127"/>
  <c r="I81" i="127"/>
  <c r="K79" i="127"/>
  <c r="P58" i="97"/>
  <c r="Q58" i="97"/>
  <c r="X81" i="122"/>
  <c r="W84" i="122"/>
  <c r="Q81" i="125"/>
  <c r="S58" i="109"/>
  <c r="Y80" i="130"/>
  <c r="L68" i="129"/>
  <c r="K76" i="129"/>
  <c r="M68" i="129"/>
  <c r="W68" i="131"/>
  <c r="X68" i="131"/>
  <c r="N76" i="131"/>
  <c r="R62" i="129"/>
  <c r="J68" i="129"/>
  <c r="I76" i="129"/>
  <c r="N68" i="129"/>
  <c r="O68" i="129"/>
  <c r="U76" i="122"/>
  <c r="V68" i="122"/>
  <c r="Y68" i="122"/>
  <c r="X86" i="126"/>
  <c r="Y86" i="126"/>
  <c r="Q47" i="107"/>
  <c r="O55" i="107"/>
  <c r="P47" i="107"/>
  <c r="E44" i="87"/>
  <c r="F44" i="87"/>
  <c r="D52" i="87"/>
  <c r="B27" i="76"/>
  <c r="B25" i="76"/>
  <c r="D25" i="76"/>
  <c r="D24" i="76"/>
  <c r="C50" i="64"/>
  <c r="B51" i="64"/>
  <c r="F50" i="64"/>
  <c r="N84" i="123"/>
  <c r="R81" i="123"/>
  <c r="Z86" i="123"/>
  <c r="AA86" i="123"/>
  <c r="T86" i="123"/>
  <c r="W58" i="101"/>
  <c r="V58" i="101"/>
  <c r="W58" i="109"/>
  <c r="X58" i="109"/>
  <c r="E81" i="125"/>
  <c r="F81" i="125"/>
  <c r="P81" i="126"/>
  <c r="Q79" i="126"/>
  <c r="T79" i="126"/>
  <c r="U79" i="126"/>
  <c r="C79" i="122"/>
  <c r="F79" i="122"/>
  <c r="B81" i="122"/>
  <c r="Q81" i="121"/>
  <c r="R81" i="121"/>
  <c r="F78" i="132"/>
  <c r="S81" i="123"/>
  <c r="V81" i="123"/>
  <c r="E52" i="87"/>
  <c r="D55" i="87"/>
  <c r="F52" i="87"/>
  <c r="Q55" i="107"/>
  <c r="P55" i="107"/>
  <c r="O58" i="107"/>
  <c r="J76" i="129"/>
  <c r="I79" i="129"/>
  <c r="N76" i="129"/>
  <c r="O76" i="129"/>
  <c r="X84" i="122"/>
  <c r="W86" i="122"/>
  <c r="R86" i="121"/>
  <c r="Q86" i="121"/>
  <c r="Y76" i="131"/>
  <c r="M79" i="131"/>
  <c r="V79" i="126"/>
  <c r="Y79" i="126"/>
  <c r="U86" i="123"/>
  <c r="R84" i="123"/>
  <c r="N86" i="123"/>
  <c r="R86" i="123"/>
  <c r="S86" i="123"/>
  <c r="B42" i="52"/>
  <c r="D40" i="52"/>
  <c r="R84" i="121"/>
  <c r="Q84" i="121"/>
  <c r="D84" i="121"/>
  <c r="E81" i="121"/>
  <c r="F81" i="121"/>
  <c r="Z68" i="131"/>
  <c r="AA68" i="131"/>
  <c r="C81" i="122"/>
  <c r="B84" i="122"/>
  <c r="F81" i="122"/>
  <c r="U81" i="126"/>
  <c r="T81" i="126"/>
  <c r="Q81" i="126"/>
  <c r="V76" i="122"/>
  <c r="U79" i="122"/>
  <c r="Y76" i="122"/>
  <c r="L76" i="129"/>
  <c r="M76" i="129"/>
  <c r="K79" i="129"/>
  <c r="J81" i="127"/>
  <c r="K81" i="127"/>
  <c r="F84" i="120"/>
  <c r="E84" i="120"/>
  <c r="D86" i="120"/>
  <c r="H84" i="123"/>
  <c r="K84" i="123"/>
  <c r="G86" i="123"/>
  <c r="B43" i="69"/>
  <c r="D43" i="69"/>
  <c r="D41" i="69"/>
  <c r="H81" i="129"/>
  <c r="P79" i="129"/>
  <c r="M81" i="125"/>
  <c r="N81" i="125"/>
  <c r="J81" i="125"/>
  <c r="F82" i="130"/>
  <c r="E82" i="130"/>
  <c r="E81" i="126"/>
  <c r="F81" i="126"/>
  <c r="F80" i="128"/>
  <c r="R68" i="129"/>
  <c r="B54" i="64"/>
  <c r="C51" i="64"/>
  <c r="F51" i="64"/>
  <c r="W76" i="131"/>
  <c r="X76" i="131"/>
  <c r="N79" i="131"/>
  <c r="T47" i="108"/>
  <c r="R49" i="108"/>
  <c r="T49" i="108"/>
  <c r="P76" i="129"/>
  <c r="O79" i="125"/>
  <c r="R79" i="125"/>
  <c r="C43" i="85"/>
  <c r="D43" i="85"/>
  <c r="D41" i="85"/>
  <c r="F79" i="131"/>
  <c r="B81" i="131"/>
  <c r="C79" i="131"/>
  <c r="W79" i="131"/>
  <c r="X79" i="131"/>
  <c r="N81" i="131"/>
  <c r="W81" i="131"/>
  <c r="X81" i="131"/>
  <c r="C54" i="64"/>
  <c r="F54" i="64"/>
  <c r="O81" i="125"/>
  <c r="R81" i="125"/>
  <c r="B86" i="122"/>
  <c r="F84" i="122"/>
  <c r="C84" i="122"/>
  <c r="P58" i="107"/>
  <c r="Q58" i="107"/>
  <c r="E55" i="87"/>
  <c r="F55" i="87"/>
  <c r="F86" i="120"/>
  <c r="E86" i="120"/>
  <c r="S84" i="123"/>
  <c r="V84" i="123"/>
  <c r="Q76" i="129"/>
  <c r="R76" i="129"/>
  <c r="Q79" i="129"/>
  <c r="K86" i="123"/>
  <c r="H86" i="123"/>
  <c r="L79" i="129"/>
  <c r="K81" i="129"/>
  <c r="M79" i="129"/>
  <c r="V79" i="122"/>
  <c r="U81" i="122"/>
  <c r="Y79" i="122"/>
  <c r="V81" i="126"/>
  <c r="Y81" i="126"/>
  <c r="E84" i="121"/>
  <c r="D86" i="121"/>
  <c r="F84" i="121"/>
  <c r="B44" i="52"/>
  <c r="D42" i="52"/>
  <c r="V86" i="123"/>
  <c r="Y79" i="131"/>
  <c r="M81" i="131"/>
  <c r="Y81" i="131"/>
  <c r="J79" i="129"/>
  <c r="I81" i="129"/>
  <c r="N79" i="129"/>
  <c r="O79" i="129"/>
  <c r="C81" i="131"/>
  <c r="F81" i="131"/>
  <c r="P81" i="129"/>
  <c r="AA76" i="131"/>
  <c r="Z76" i="131"/>
  <c r="X86" i="122"/>
  <c r="U84" i="122"/>
  <c r="V81" i="122"/>
  <c r="Y81" i="122"/>
  <c r="Z81" i="131"/>
  <c r="AA81" i="131"/>
  <c r="F86" i="122"/>
  <c r="C86" i="122"/>
  <c r="AA79" i="131"/>
  <c r="Z79" i="131"/>
  <c r="Q81" i="129"/>
  <c r="J81" i="129"/>
  <c r="N81" i="129"/>
  <c r="O81" i="129"/>
  <c r="E86" i="121"/>
  <c r="F86" i="121"/>
  <c r="L81" i="129"/>
  <c r="M81" i="129"/>
  <c r="R79" i="129"/>
  <c r="R81" i="129"/>
  <c r="U86" i="122"/>
  <c r="V84" i="122"/>
  <c r="Y84" i="122"/>
  <c r="V86" i="122"/>
  <c r="Y86" i="122"/>
  <c r="R75" i="133"/>
  <c r="R76" i="133"/>
  <c r="R82" i="133"/>
  <c r="Q64" i="133"/>
  <c r="Q71" i="133"/>
  <c r="Q73" i="133"/>
  <c r="M61" i="133"/>
  <c r="O85" i="133"/>
  <c r="O71" i="133"/>
  <c r="O73" i="133"/>
  <c r="R69" i="133"/>
  <c r="O62" i="133"/>
  <c r="K74" i="133"/>
  <c r="P74" i="133"/>
  <c r="L67" i="133"/>
  <c r="D43" i="133"/>
  <c r="P61" i="133"/>
  <c r="Q61" i="133"/>
  <c r="O64" i="133"/>
  <c r="R70" i="133"/>
  <c r="R72" i="133"/>
  <c r="Q76" i="133"/>
  <c r="Q78" i="133"/>
  <c r="O82" i="133"/>
  <c r="B44" i="133"/>
  <c r="R62" i="133"/>
  <c r="R63" i="133"/>
  <c r="R66" i="133"/>
  <c r="Q82" i="133"/>
  <c r="R83" i="133"/>
  <c r="N84" i="133"/>
  <c r="O84" i="133"/>
  <c r="M84" i="133"/>
  <c r="R85" i="133"/>
  <c r="G48" i="133"/>
  <c r="R60" i="133"/>
  <c r="C67" i="133"/>
  <c r="R68" i="133"/>
  <c r="O76" i="133"/>
  <c r="F84" i="133"/>
  <c r="P84" i="133"/>
  <c r="R84" i="133"/>
  <c r="F27" i="133"/>
  <c r="G26" i="133"/>
  <c r="G43" i="133"/>
  <c r="D48" i="133"/>
  <c r="B49" i="133"/>
  <c r="C44" i="133"/>
  <c r="C49" i="133"/>
  <c r="D49" i="133"/>
  <c r="D36" i="133"/>
  <c r="B27" i="133"/>
  <c r="D27" i="133"/>
  <c r="G44" i="133"/>
  <c r="F49" i="133"/>
  <c r="G49" i="133"/>
  <c r="D77" i="133"/>
  <c r="E74" i="133"/>
  <c r="D15" i="133"/>
  <c r="E27" i="133"/>
  <c r="G27" i="133"/>
  <c r="G36" i="133"/>
  <c r="R59" i="133"/>
  <c r="O60" i="133"/>
  <c r="F61" i="133"/>
  <c r="J61" i="133"/>
  <c r="N61" i="133"/>
  <c r="O61" i="133"/>
  <c r="Q63" i="133"/>
  <c r="R64" i="133"/>
  <c r="O65" i="133"/>
  <c r="Q66" i="133"/>
  <c r="I67" i="133"/>
  <c r="N67" i="133"/>
  <c r="O67" i="133"/>
  <c r="P67" i="133"/>
  <c r="O68" i="133"/>
  <c r="Q70" i="133"/>
  <c r="Q72" i="133"/>
  <c r="Q75" i="133"/>
  <c r="Q83" i="133"/>
  <c r="L84" i="133"/>
  <c r="Q85" i="133"/>
  <c r="F74" i="133"/>
  <c r="O59" i="133"/>
  <c r="Q62" i="133"/>
  <c r="E67" i="133"/>
  <c r="Q69" i="133"/>
  <c r="F67" i="133"/>
  <c r="Q60" i="133"/>
  <c r="O63" i="133"/>
  <c r="Q65" i="133"/>
  <c r="O66" i="133"/>
  <c r="Q68" i="133"/>
  <c r="O70" i="133"/>
  <c r="O72" i="133"/>
  <c r="O75" i="133"/>
  <c r="O83" i="133"/>
  <c r="L74" i="133"/>
  <c r="K77" i="133"/>
  <c r="L77" i="133"/>
  <c r="D44" i="133"/>
  <c r="Q84" i="133"/>
  <c r="R61" i="133"/>
  <c r="B77" i="133"/>
  <c r="C72" i="133"/>
  <c r="R67" i="133"/>
  <c r="Q67" i="133"/>
  <c r="D79" i="133"/>
  <c r="E77" i="133"/>
  <c r="I74" i="133"/>
  <c r="J67" i="133"/>
  <c r="M67" i="133"/>
  <c r="C74" i="133"/>
  <c r="Q74" i="133"/>
  <c r="P77" i="133"/>
  <c r="Q77" i="133"/>
  <c r="K79" i="133"/>
  <c r="P79" i="133"/>
  <c r="Q79" i="133"/>
  <c r="F75" i="133"/>
  <c r="C75" i="133"/>
  <c r="E79" i="133"/>
  <c r="C77" i="133"/>
  <c r="B79" i="133"/>
  <c r="C79" i="133"/>
  <c r="I77" i="133"/>
  <c r="J74" i="133"/>
  <c r="M74" i="133"/>
  <c r="N74" i="133"/>
  <c r="F77" i="133"/>
  <c r="L79" i="133"/>
  <c r="F79" i="133"/>
  <c r="O74" i="133"/>
  <c r="R74" i="133"/>
  <c r="J77" i="133"/>
  <c r="I79" i="133"/>
  <c r="M77" i="133"/>
  <c r="N77" i="133"/>
  <c r="J79" i="133"/>
  <c r="N79" i="133"/>
  <c r="M79" i="133"/>
  <c r="O77" i="133"/>
  <c r="R77" i="133"/>
  <c r="O79" i="133"/>
  <c r="R79" i="133"/>
  <c r="M67" i="134"/>
  <c r="W61" i="134"/>
  <c r="Y61" i="134"/>
  <c r="F27" i="134"/>
  <c r="U84" i="134"/>
  <c r="V84" i="134"/>
  <c r="H27" i="134"/>
  <c r="L67" i="134"/>
  <c r="U61" i="134"/>
  <c r="V61" i="134"/>
  <c r="W84" i="134"/>
  <c r="D26" i="134"/>
  <c r="G43" i="134"/>
  <c r="G48" i="134"/>
  <c r="B27" i="134"/>
  <c r="D27" i="134"/>
  <c r="E44" i="134"/>
  <c r="E49" i="134"/>
  <c r="I44" i="134"/>
  <c r="I49" i="134"/>
  <c r="J49" i="134"/>
  <c r="F44" i="134"/>
  <c r="C61" i="134"/>
  <c r="E61" i="134"/>
  <c r="F84" i="134"/>
  <c r="C27" i="134"/>
  <c r="E84" i="134"/>
  <c r="D15" i="134"/>
  <c r="C44" i="134"/>
  <c r="C49" i="134"/>
  <c r="D49" i="134"/>
  <c r="E27" i="134"/>
  <c r="G26" i="134"/>
  <c r="D43" i="134"/>
  <c r="D48" i="134"/>
  <c r="F67" i="134"/>
  <c r="D74" i="134"/>
  <c r="D77" i="134"/>
  <c r="D79" i="134"/>
  <c r="E67" i="134"/>
  <c r="G27" i="134"/>
  <c r="G44" i="134"/>
  <c r="F49" i="134"/>
  <c r="G49" i="134"/>
  <c r="C67" i="134"/>
  <c r="B74" i="134"/>
  <c r="C74" i="134"/>
  <c r="G36" i="134"/>
  <c r="H44" i="134"/>
  <c r="H49" i="134"/>
  <c r="J43" i="134"/>
  <c r="J48" i="134"/>
  <c r="D36" i="134"/>
  <c r="J26" i="134"/>
  <c r="G15" i="134"/>
  <c r="F61" i="134"/>
  <c r="I27" i="134"/>
  <c r="J27" i="134"/>
  <c r="J44" i="134"/>
  <c r="J15" i="134"/>
  <c r="J36" i="134"/>
  <c r="O77" i="134"/>
  <c r="S74" i="134"/>
  <c r="N77" i="134"/>
  <c r="X61" i="134"/>
  <c r="S67" i="134"/>
  <c r="Y84" i="134"/>
  <c r="X84" i="134"/>
  <c r="L74" i="134"/>
  <c r="U67" i="134"/>
  <c r="V67" i="134"/>
  <c r="M74" i="134"/>
  <c r="W67" i="134"/>
  <c r="E77" i="134"/>
  <c r="F74" i="134"/>
  <c r="E74" i="134"/>
  <c r="D44" i="134"/>
  <c r="B77" i="134"/>
  <c r="C77" i="134"/>
  <c r="N79" i="134"/>
  <c r="E79" i="134"/>
  <c r="S77" i="134"/>
  <c r="O79" i="134"/>
  <c r="U74" i="134"/>
  <c r="V74" i="134"/>
  <c r="L77" i="134"/>
  <c r="Y67" i="134"/>
  <c r="X67" i="134"/>
  <c r="M77" i="134"/>
  <c r="W74" i="134"/>
  <c r="F77" i="134"/>
  <c r="B79" i="134"/>
  <c r="C79" i="134"/>
  <c r="S79" i="134"/>
  <c r="U77" i="134"/>
  <c r="V77" i="134"/>
  <c r="L79" i="134"/>
  <c r="U79" i="134"/>
  <c r="V79" i="134"/>
  <c r="Y74" i="134"/>
  <c r="X74" i="134"/>
  <c r="W77" i="134"/>
  <c r="M79" i="134"/>
  <c r="W79" i="134"/>
  <c r="Y79" i="134"/>
  <c r="F79" i="134"/>
  <c r="X79" i="134"/>
  <c r="Y77" i="134"/>
  <c r="X77" i="134"/>
  <c r="Z72" i="135"/>
  <c r="AA61" i="135"/>
  <c r="Z60" i="135"/>
  <c r="U61" i="135"/>
  <c r="U67" i="135"/>
  <c r="T74" i="135"/>
  <c r="Z63" i="135"/>
  <c r="Z65" i="135"/>
  <c r="Z66" i="135"/>
  <c r="Z64" i="135"/>
  <c r="Z68" i="135"/>
  <c r="Z75" i="135"/>
  <c r="Z78" i="135"/>
  <c r="H49" i="135"/>
  <c r="J44" i="135"/>
  <c r="J36" i="135"/>
  <c r="G36" i="135"/>
  <c r="G49" i="135"/>
  <c r="D44" i="135"/>
  <c r="D36" i="135"/>
  <c r="L44" i="135"/>
  <c r="L49" i="135"/>
  <c r="M49" i="135"/>
  <c r="L27" i="135"/>
  <c r="M27" i="135"/>
  <c r="M15" i="135"/>
  <c r="M36" i="135"/>
  <c r="M44" i="135"/>
  <c r="C77" i="135"/>
  <c r="B79" i="135"/>
  <c r="C79" i="135"/>
  <c r="J49" i="135"/>
  <c r="P79" i="135"/>
  <c r="X77" i="135"/>
  <c r="L79" i="135"/>
  <c r="X79" i="135"/>
  <c r="M77" i="135"/>
  <c r="F77" i="135"/>
  <c r="F74" i="135"/>
  <c r="D79" i="135"/>
  <c r="G44" i="135"/>
  <c r="C49" i="135"/>
  <c r="D49" i="135"/>
  <c r="Z61" i="135"/>
  <c r="C74" i="135"/>
  <c r="X74" i="135"/>
  <c r="E77" i="135"/>
  <c r="AA84" i="135"/>
  <c r="Z84" i="135"/>
  <c r="T77" i="135"/>
  <c r="U74" i="135"/>
  <c r="AA74" i="135"/>
  <c r="Z74" i="135"/>
  <c r="AA67" i="135"/>
  <c r="Z67" i="135"/>
  <c r="F79" i="135"/>
  <c r="E79" i="135"/>
  <c r="M79" i="135"/>
  <c r="T79" i="135"/>
  <c r="U77" i="135"/>
  <c r="AA77" i="135"/>
  <c r="Z77" i="135"/>
  <c r="U79" i="135"/>
  <c r="AA79" i="135"/>
  <c r="Z79" i="135"/>
  <c r="E67" i="136"/>
  <c r="B79" i="136"/>
  <c r="C79" i="136"/>
  <c r="C67" i="136"/>
  <c r="F67" i="136"/>
  <c r="D49" i="136"/>
  <c r="C50" i="136"/>
  <c r="C55" i="136"/>
  <c r="D55" i="136"/>
  <c r="C31" i="136"/>
  <c r="D31" i="136"/>
  <c r="D30" i="136"/>
  <c r="B50" i="136"/>
  <c r="B55" i="136"/>
  <c r="D40" i="136"/>
  <c r="B31" i="136"/>
  <c r="D18" i="136"/>
  <c r="B82" i="136"/>
  <c r="C82" i="136"/>
  <c r="D79" i="136"/>
  <c r="D82" i="136"/>
  <c r="E73" i="136"/>
  <c r="F79" i="136"/>
  <c r="E79" i="136"/>
  <c r="D84" i="136"/>
  <c r="F82" i="136"/>
  <c r="E82" i="136"/>
  <c r="D50" i="136"/>
  <c r="F73" i="136"/>
  <c r="E89" i="136"/>
  <c r="B84" i="136"/>
  <c r="C84" i="136"/>
  <c r="E84" i="136"/>
  <c r="F84" i="136"/>
  <c r="R91" i="137"/>
  <c r="O91" i="137"/>
  <c r="N90" i="137"/>
  <c r="O90" i="137"/>
  <c r="J90" i="137"/>
  <c r="J67" i="137"/>
  <c r="R82" i="137"/>
  <c r="R88" i="137"/>
  <c r="R76" i="137"/>
  <c r="R78" i="137"/>
  <c r="R66" i="137"/>
  <c r="R65" i="137"/>
  <c r="R68" i="137"/>
  <c r="R70" i="137"/>
  <c r="R81" i="137"/>
  <c r="R84" i="137"/>
  <c r="R89" i="137"/>
  <c r="R69" i="137"/>
  <c r="N73" i="137"/>
  <c r="R90" i="137"/>
  <c r="R74" i="137"/>
  <c r="R75" i="137"/>
  <c r="N67" i="137"/>
  <c r="H73" i="137"/>
  <c r="C50" i="137"/>
  <c r="D50" i="137"/>
  <c r="F55" i="137"/>
  <c r="G55" i="137"/>
  <c r="C31" i="137"/>
  <c r="D18" i="137"/>
  <c r="D73" i="137"/>
  <c r="F90" i="137"/>
  <c r="E67" i="137"/>
  <c r="B73" i="137"/>
  <c r="R67" i="137"/>
  <c r="P73" i="137"/>
  <c r="I83" i="137"/>
  <c r="G83" i="137"/>
  <c r="C55" i="137"/>
  <c r="D55" i="137"/>
  <c r="D31" i="137"/>
  <c r="C73" i="137"/>
  <c r="F73" i="137"/>
  <c r="E73" i="137"/>
  <c r="J83" i="137"/>
  <c r="M83" i="137"/>
  <c r="H83" i="137"/>
  <c r="P80" i="137"/>
  <c r="R73" i="137"/>
  <c r="N83" i="137"/>
  <c r="G85" i="137"/>
  <c r="I85" i="137"/>
  <c r="B83" i="137"/>
  <c r="D83" i="137"/>
  <c r="J85" i="137"/>
  <c r="M85" i="137"/>
  <c r="R80" i="137"/>
  <c r="H85" i="137"/>
  <c r="P85" i="137"/>
  <c r="P83" i="137"/>
  <c r="D85" i="137"/>
  <c r="F83" i="137"/>
  <c r="E83" i="137"/>
  <c r="C83" i="137"/>
  <c r="B85" i="137"/>
  <c r="C85" i="137"/>
  <c r="R83" i="137"/>
  <c r="R85" i="137"/>
  <c r="F85" i="137"/>
  <c r="E85" i="137"/>
  <c r="S90" i="138"/>
  <c r="T90" i="138"/>
  <c r="W90" i="138"/>
  <c r="R73" i="138"/>
  <c r="T67" i="138"/>
  <c r="W67" i="138"/>
  <c r="J30" i="138"/>
  <c r="D30" i="138"/>
  <c r="D40" i="138"/>
  <c r="B31" i="138"/>
  <c r="K90" i="138"/>
  <c r="K67" i="138"/>
  <c r="D18" i="138"/>
  <c r="E31" i="138"/>
  <c r="B50" i="138"/>
  <c r="C31" i="138"/>
  <c r="H50" i="138"/>
  <c r="H55" i="138"/>
  <c r="J54" i="138"/>
  <c r="G30" i="138"/>
  <c r="F90" i="138"/>
  <c r="J49" i="138"/>
  <c r="G18" i="138"/>
  <c r="G40" i="138"/>
  <c r="F50" i="138"/>
  <c r="F55" i="138"/>
  <c r="I50" i="138"/>
  <c r="I55" i="138"/>
  <c r="J40" i="138"/>
  <c r="I31" i="138"/>
  <c r="J31" i="138"/>
  <c r="J18" i="138"/>
  <c r="C50" i="138"/>
  <c r="C55" i="138"/>
  <c r="G54" i="138"/>
  <c r="E67" i="138"/>
  <c r="E90" i="138"/>
  <c r="F31" i="138"/>
  <c r="E50" i="138"/>
  <c r="E55" i="138"/>
  <c r="G49" i="138"/>
  <c r="K73" i="138"/>
  <c r="F73" i="138"/>
  <c r="D80" i="138"/>
  <c r="D83" i="138"/>
  <c r="E73" i="138"/>
  <c r="S73" i="138"/>
  <c r="D50" i="138"/>
  <c r="C67" i="138"/>
  <c r="S67" i="138"/>
  <c r="F67" i="138"/>
  <c r="B55" i="138"/>
  <c r="D55" i="138"/>
  <c r="G50" i="138"/>
  <c r="B80" i="138"/>
  <c r="C73" i="138"/>
  <c r="R80" i="138"/>
  <c r="X67" i="138"/>
  <c r="Y67" i="138"/>
  <c r="G31" i="138"/>
  <c r="T73" i="138"/>
  <c r="W73" i="138"/>
  <c r="E80" i="138"/>
  <c r="Y90" i="138"/>
  <c r="X90" i="138"/>
  <c r="T80" i="138"/>
  <c r="W80" i="138"/>
  <c r="G55" i="138"/>
  <c r="D31" i="138"/>
  <c r="F80" i="138"/>
  <c r="J50" i="138"/>
  <c r="J55" i="138"/>
  <c r="K80" i="138"/>
  <c r="B83" i="138"/>
  <c r="F83" i="138"/>
  <c r="C80" i="138"/>
  <c r="S80" i="138"/>
  <c r="R83" i="138"/>
  <c r="E83" i="138"/>
  <c r="D85" i="138"/>
  <c r="X80" i="138"/>
  <c r="Y80" i="138"/>
  <c r="X73" i="138"/>
  <c r="Y73" i="138"/>
  <c r="T83" i="138"/>
  <c r="W83" i="138"/>
  <c r="K83" i="138"/>
  <c r="S83" i="138"/>
  <c r="R85" i="138"/>
  <c r="E85" i="138"/>
  <c r="B85" i="138"/>
  <c r="C85" i="138"/>
  <c r="C83" i="138"/>
  <c r="X83" i="138"/>
  <c r="Y83" i="138"/>
  <c r="T85" i="138"/>
  <c r="W85" i="138"/>
  <c r="K85" i="138"/>
  <c r="S85" i="138"/>
  <c r="F85" i="138"/>
  <c r="X85" i="138"/>
  <c r="Y85" i="138"/>
  <c r="Y91" i="139"/>
  <c r="J30" i="139"/>
  <c r="S68" i="139"/>
  <c r="S84" i="139"/>
  <c r="L74" i="139"/>
  <c r="W74" i="139"/>
  <c r="X74" i="139"/>
  <c r="W68" i="139"/>
  <c r="W91" i="139"/>
  <c r="S81" i="139"/>
  <c r="M74" i="139"/>
  <c r="Y68" i="139"/>
  <c r="S74" i="139"/>
  <c r="AA73" i="139"/>
  <c r="AA71" i="139"/>
  <c r="X72" i="139"/>
  <c r="AA76" i="139"/>
  <c r="X82" i="139"/>
  <c r="F31" i="139"/>
  <c r="G31" i="139"/>
  <c r="X70" i="139"/>
  <c r="AA75" i="139"/>
  <c r="AA78" i="139"/>
  <c r="G55" i="139"/>
  <c r="T74" i="139"/>
  <c r="X79" i="139"/>
  <c r="X91" i="139"/>
  <c r="G18" i="139"/>
  <c r="D30" i="139"/>
  <c r="X73" i="139"/>
  <c r="X80" i="139"/>
  <c r="X85" i="139"/>
  <c r="K51" i="139"/>
  <c r="K56" i="139"/>
  <c r="M50" i="139"/>
  <c r="M55" i="139"/>
  <c r="C31" i="139"/>
  <c r="D31" i="139"/>
  <c r="H31" i="139"/>
  <c r="J31" i="139"/>
  <c r="B51" i="139"/>
  <c r="B56" i="139"/>
  <c r="H51" i="139"/>
  <c r="D55" i="139"/>
  <c r="X89" i="139"/>
  <c r="AA67" i="139"/>
  <c r="E68" i="139"/>
  <c r="AA69" i="139"/>
  <c r="Z72" i="139"/>
  <c r="Z73" i="139"/>
  <c r="J74" i="139"/>
  <c r="X75" i="139"/>
  <c r="X76" i="139"/>
  <c r="U91" i="139"/>
  <c r="X92" i="139"/>
  <c r="K31" i="139"/>
  <c r="M30" i="139"/>
  <c r="C51" i="139"/>
  <c r="C56" i="139"/>
  <c r="D56" i="139"/>
  <c r="I51" i="139"/>
  <c r="I56" i="139"/>
  <c r="AA70" i="139"/>
  <c r="B74" i="139"/>
  <c r="B81" i="139"/>
  <c r="Z76" i="139"/>
  <c r="Z79" i="139"/>
  <c r="X90" i="139"/>
  <c r="F91" i="139"/>
  <c r="Z91" i="139"/>
  <c r="Z92" i="139"/>
  <c r="L51" i="139"/>
  <c r="L56" i="139"/>
  <c r="M56" i="139"/>
  <c r="L31" i="139"/>
  <c r="M18" i="139"/>
  <c r="M41" i="139"/>
  <c r="J41" i="139"/>
  <c r="G41" i="139"/>
  <c r="E51" i="139"/>
  <c r="E56" i="139"/>
  <c r="M51" i="139"/>
  <c r="D51" i="139"/>
  <c r="Z68" i="139"/>
  <c r="I84" i="139"/>
  <c r="J81" i="139"/>
  <c r="P81" i="139"/>
  <c r="H56" i="139"/>
  <c r="J56" i="139"/>
  <c r="J51" i="139"/>
  <c r="E74" i="139"/>
  <c r="D81" i="139"/>
  <c r="F74" i="139"/>
  <c r="M81" i="139"/>
  <c r="B84" i="139"/>
  <c r="C81" i="139"/>
  <c r="F56" i="139"/>
  <c r="G56" i="139"/>
  <c r="Z75" i="139"/>
  <c r="Z82" i="139"/>
  <c r="D18" i="139"/>
  <c r="D41" i="139"/>
  <c r="X67" i="139"/>
  <c r="F68" i="139"/>
  <c r="X69" i="139"/>
  <c r="Z70" i="139"/>
  <c r="X71" i="139"/>
  <c r="C74" i="139"/>
  <c r="K74" i="139"/>
  <c r="O74" i="139"/>
  <c r="O81" i="139"/>
  <c r="O84" i="139"/>
  <c r="O86" i="139"/>
  <c r="X77" i="139"/>
  <c r="Z78" i="139"/>
  <c r="G81" i="139"/>
  <c r="K81" i="139"/>
  <c r="Z83" i="139"/>
  <c r="Z89" i="139"/>
  <c r="X68" i="139"/>
  <c r="Z80" i="139"/>
  <c r="Z67" i="139"/>
  <c r="Z69" i="139"/>
  <c r="Z71" i="139"/>
  <c r="Z77" i="139"/>
  <c r="X78" i="139"/>
  <c r="X83" i="139"/>
  <c r="Z85" i="139"/>
  <c r="L81" i="139"/>
  <c r="W81" i="139"/>
  <c r="AA81" i="139"/>
  <c r="Y81" i="139"/>
  <c r="Y74" i="139"/>
  <c r="T81" i="139"/>
  <c r="T84" i="139"/>
  <c r="U74" i="139"/>
  <c r="M31" i="139"/>
  <c r="G51" i="139"/>
  <c r="AA68" i="139"/>
  <c r="C84" i="139"/>
  <c r="B86" i="139"/>
  <c r="C86" i="139"/>
  <c r="P84" i="139"/>
  <c r="M84" i="139"/>
  <c r="Y84" i="139"/>
  <c r="X81" i="139"/>
  <c r="L84" i="139"/>
  <c r="W84" i="139"/>
  <c r="AA84" i="139"/>
  <c r="E81" i="139"/>
  <c r="D84" i="139"/>
  <c r="F81" i="139"/>
  <c r="H81" i="139"/>
  <c r="G84" i="139"/>
  <c r="K84" i="139"/>
  <c r="J84" i="139"/>
  <c r="I86" i="139"/>
  <c r="U81" i="139"/>
  <c r="L86" i="139"/>
  <c r="X84" i="139"/>
  <c r="P86" i="139"/>
  <c r="J86" i="139"/>
  <c r="D86" i="139"/>
  <c r="F84" i="139"/>
  <c r="E84" i="139"/>
  <c r="Z81" i="139"/>
  <c r="U84" i="139"/>
  <c r="T86" i="139"/>
  <c r="G86" i="139"/>
  <c r="H86" i="139"/>
  <c r="H84" i="139"/>
  <c r="M86" i="139"/>
  <c r="Y86" i="139"/>
  <c r="AA74" i="139"/>
  <c r="Z74" i="139"/>
  <c r="W86" i="139"/>
  <c r="AA86" i="139"/>
  <c r="Z86" i="139"/>
  <c r="E86" i="139"/>
  <c r="F86" i="139"/>
  <c r="Z84" i="139"/>
  <c r="U86" i="139"/>
  <c r="K86" i="139"/>
  <c r="X86" i="139"/>
  <c r="F89" i="140"/>
  <c r="B30" i="140"/>
  <c r="D30" i="140"/>
  <c r="D29" i="140"/>
  <c r="C73" i="140"/>
  <c r="B79" i="140"/>
  <c r="B82" i="140"/>
  <c r="C67" i="140"/>
  <c r="E89" i="140"/>
  <c r="B84" i="140"/>
  <c r="C84" i="140"/>
  <c r="C82" i="140"/>
  <c r="D79" i="140"/>
  <c r="E73" i="140"/>
  <c r="F73" i="140"/>
  <c r="C55" i="140"/>
  <c r="D55" i="140"/>
  <c r="D50" i="140"/>
  <c r="C79" i="140"/>
  <c r="F67" i="140"/>
  <c r="D40" i="140"/>
  <c r="E67" i="140"/>
  <c r="D82" i="140"/>
  <c r="F79" i="140"/>
  <c r="E79" i="140"/>
  <c r="F82" i="140"/>
  <c r="E82" i="140"/>
  <c r="D84" i="140"/>
  <c r="E84" i="140"/>
  <c r="F84" i="140"/>
  <c r="G54" i="141"/>
  <c r="F50" i="141"/>
  <c r="G50" i="141"/>
  <c r="G49" i="141"/>
  <c r="F30" i="141"/>
  <c r="G30" i="141"/>
  <c r="G17" i="141"/>
  <c r="G40" i="141"/>
  <c r="D84" i="141"/>
  <c r="E82" i="141"/>
  <c r="F82" i="141"/>
  <c r="B84" i="141"/>
  <c r="C84" i="141"/>
  <c r="C55" i="141"/>
  <c r="D55" i="141"/>
  <c r="E79" i="141"/>
  <c r="F79" i="141"/>
  <c r="F55" i="141"/>
  <c r="G55" i="141"/>
  <c r="E84" i="141"/>
  <c r="F84" i="141"/>
  <c r="J40" i="142"/>
  <c r="J17" i="142"/>
  <c r="E67" i="142"/>
  <c r="D40" i="142"/>
  <c r="F67" i="142"/>
  <c r="I73" i="142"/>
  <c r="Y90" i="142"/>
  <c r="X90" i="142"/>
  <c r="O83" i="142"/>
  <c r="M83" i="142"/>
  <c r="M85" i="142"/>
  <c r="D49" i="142"/>
  <c r="F50" i="142"/>
  <c r="G50" i="142"/>
  <c r="C67" i="142"/>
  <c r="D29" i="142"/>
  <c r="G29" i="142"/>
  <c r="H50" i="142"/>
  <c r="B30" i="142"/>
  <c r="D30" i="142"/>
  <c r="H30" i="142"/>
  <c r="D17" i="142"/>
  <c r="I50" i="142"/>
  <c r="I55" i="142"/>
  <c r="I30" i="142"/>
  <c r="E73" i="142"/>
  <c r="J50" i="142"/>
  <c r="G17" i="142"/>
  <c r="B50" i="142"/>
  <c r="B55" i="142"/>
  <c r="G54" i="142"/>
  <c r="G49" i="142"/>
  <c r="C50" i="142"/>
  <c r="C55" i="142"/>
  <c r="E55" i="142"/>
  <c r="H55" i="142"/>
  <c r="G40" i="142"/>
  <c r="C73" i="142"/>
  <c r="F73" i="142"/>
  <c r="E30" i="142"/>
  <c r="G30" i="142"/>
  <c r="F90" i="142"/>
  <c r="J29" i="142"/>
  <c r="G73" i="142"/>
  <c r="O85" i="142"/>
  <c r="W85" i="142"/>
  <c r="W83" i="142"/>
  <c r="R83" i="142"/>
  <c r="J30" i="142"/>
  <c r="J55" i="142"/>
  <c r="F55" i="142"/>
  <c r="D55" i="142"/>
  <c r="D83" i="142"/>
  <c r="E80" i="142"/>
  <c r="D50" i="142"/>
  <c r="G55" i="142"/>
  <c r="I83" i="142"/>
  <c r="F80" i="142"/>
  <c r="B83" i="142"/>
  <c r="C80" i="142"/>
  <c r="X83" i="142"/>
  <c r="Y83" i="142"/>
  <c r="X85" i="142"/>
  <c r="Y85" i="142"/>
  <c r="J83" i="142"/>
  <c r="R85" i="142"/>
  <c r="D85" i="142"/>
  <c r="E85" i="142"/>
  <c r="E83" i="142"/>
  <c r="I85" i="142"/>
  <c r="G83" i="142"/>
  <c r="B85" i="142"/>
  <c r="F83" i="142"/>
  <c r="C83" i="142"/>
  <c r="J85" i="142"/>
  <c r="K83" i="142"/>
  <c r="H83" i="142"/>
  <c r="G85" i="142"/>
  <c r="C85" i="142"/>
  <c r="F85" i="142"/>
  <c r="K85" i="142"/>
  <c r="H85" i="142"/>
  <c r="M54" i="143"/>
  <c r="M40" i="143"/>
  <c r="X84" i="143"/>
  <c r="E30" i="143"/>
  <c r="D17" i="143"/>
  <c r="AA72" i="143"/>
  <c r="AA79" i="143"/>
  <c r="F50" i="143"/>
  <c r="F55" i="143"/>
  <c r="H30" i="143"/>
  <c r="K92" i="143"/>
  <c r="M75" i="143"/>
  <c r="M82" i="143"/>
  <c r="M85" i="143"/>
  <c r="M87" i="143"/>
  <c r="E92" i="143"/>
  <c r="F56" i="143"/>
  <c r="H50" i="143"/>
  <c r="H55" i="143"/>
  <c r="Z83" i="143"/>
  <c r="AA93" i="143"/>
  <c r="C50" i="143"/>
  <c r="C55" i="143"/>
  <c r="C56" i="143"/>
  <c r="J29" i="143"/>
  <c r="G49" i="143"/>
  <c r="F92" i="143"/>
  <c r="J17" i="143"/>
  <c r="G29" i="143"/>
  <c r="K50" i="143"/>
  <c r="J49" i="143"/>
  <c r="H69" i="143"/>
  <c r="D29" i="143"/>
  <c r="K69" i="143"/>
  <c r="D54" i="143"/>
  <c r="K55" i="143"/>
  <c r="V92" i="143"/>
  <c r="Z91" i="143"/>
  <c r="W69" i="143"/>
  <c r="X69" i="143"/>
  <c r="M49" i="143"/>
  <c r="G17" i="143"/>
  <c r="Y69" i="143"/>
  <c r="Z69" i="143"/>
  <c r="B75" i="143"/>
  <c r="W92" i="143"/>
  <c r="X92" i="143"/>
  <c r="X76" i="143"/>
  <c r="Z68" i="143"/>
  <c r="D30" i="143"/>
  <c r="I75" i="143"/>
  <c r="Y92" i="143"/>
  <c r="F69" i="143"/>
  <c r="X68" i="143"/>
  <c r="M17" i="143"/>
  <c r="I50" i="143"/>
  <c r="I55" i="143"/>
  <c r="I56" i="143"/>
  <c r="K30" i="143"/>
  <c r="M30" i="143"/>
  <c r="T75" i="143"/>
  <c r="E50" i="143"/>
  <c r="G50" i="143"/>
  <c r="V69" i="143"/>
  <c r="X72" i="143"/>
  <c r="Z93" i="143"/>
  <c r="L55" i="143"/>
  <c r="M50" i="143"/>
  <c r="J30" i="143"/>
  <c r="AA92" i="143"/>
  <c r="O85" i="143"/>
  <c r="O87" i="143"/>
  <c r="X79" i="143"/>
  <c r="X80" i="143"/>
  <c r="J40" i="143"/>
  <c r="B50" i="143"/>
  <c r="B55" i="143"/>
  <c r="B56" i="143"/>
  <c r="X81" i="143"/>
  <c r="R75" i="143"/>
  <c r="W75" i="143"/>
  <c r="X75" i="143"/>
  <c r="X77" i="143"/>
  <c r="X70" i="143"/>
  <c r="X78" i="143"/>
  <c r="AA76" i="143"/>
  <c r="AA68" i="143"/>
  <c r="X93" i="143"/>
  <c r="D75" i="143"/>
  <c r="L82" i="143"/>
  <c r="K75" i="143"/>
  <c r="G82" i="143"/>
  <c r="X90" i="143"/>
  <c r="G40" i="143"/>
  <c r="S92" i="143"/>
  <c r="X73" i="143"/>
  <c r="AA67" i="143"/>
  <c r="S69" i="143"/>
  <c r="X74" i="143"/>
  <c r="X67" i="143"/>
  <c r="X71" i="143"/>
  <c r="X83" i="143"/>
  <c r="AA86" i="143"/>
  <c r="X86" i="143"/>
  <c r="AA70" i="143"/>
  <c r="AA78" i="143"/>
  <c r="AA83" i="143"/>
  <c r="Z84" i="143"/>
  <c r="Z70" i="143"/>
  <c r="Z76" i="143"/>
  <c r="Z78" i="143"/>
  <c r="Z86" i="143"/>
  <c r="Z74" i="143"/>
  <c r="Z77" i="143"/>
  <c r="Z81" i="143"/>
  <c r="Z90" i="143"/>
  <c r="Z92" i="143"/>
  <c r="Z79" i="143"/>
  <c r="Z73" i="143"/>
  <c r="Z71" i="143"/>
  <c r="Z72" i="143"/>
  <c r="Z80" i="143"/>
  <c r="X91" i="143"/>
  <c r="D50" i="143"/>
  <c r="J50" i="143"/>
  <c r="E55" i="143"/>
  <c r="T82" i="143"/>
  <c r="U75" i="143"/>
  <c r="I82" i="143"/>
  <c r="J75" i="143"/>
  <c r="D55" i="143"/>
  <c r="D56" i="143"/>
  <c r="Y75" i="143"/>
  <c r="Z75" i="143"/>
  <c r="K82" i="143"/>
  <c r="AA69" i="143"/>
  <c r="K56" i="143"/>
  <c r="B82" i="143"/>
  <c r="C75" i="143"/>
  <c r="F75" i="143"/>
  <c r="D82" i="143"/>
  <c r="E75" i="143"/>
  <c r="S75" i="143"/>
  <c r="R82" i="143"/>
  <c r="W82" i="143"/>
  <c r="X82" i="143"/>
  <c r="G85" i="143"/>
  <c r="H82" i="143"/>
  <c r="L85" i="143"/>
  <c r="H56" i="143"/>
  <c r="J55" i="143"/>
  <c r="J56" i="143"/>
  <c r="V75" i="143"/>
  <c r="L56" i="143"/>
  <c r="M55" i="143"/>
  <c r="M56" i="143"/>
  <c r="E56" i="143"/>
  <c r="G55" i="143"/>
  <c r="G56" i="143"/>
  <c r="B85" i="143"/>
  <c r="C82" i="143"/>
  <c r="J82" i="143"/>
  <c r="I85" i="143"/>
  <c r="AA75" i="143"/>
  <c r="U82" i="143"/>
  <c r="Y82" i="143"/>
  <c r="Z82" i="143"/>
  <c r="T85" i="143"/>
  <c r="L87" i="143"/>
  <c r="H85" i="143"/>
  <c r="G87" i="143"/>
  <c r="H87" i="143"/>
  <c r="D85" i="143"/>
  <c r="F82" i="143"/>
  <c r="E82" i="143"/>
  <c r="AA82" i="143"/>
  <c r="S82" i="143"/>
  <c r="R85" i="143"/>
  <c r="V82" i="143"/>
  <c r="I87" i="143"/>
  <c r="J85" i="143"/>
  <c r="K85" i="143"/>
  <c r="B87" i="143"/>
  <c r="C87" i="143"/>
  <c r="C85" i="143"/>
  <c r="T87" i="143"/>
  <c r="U85" i="143"/>
  <c r="Y85" i="143"/>
  <c r="Z85" i="143"/>
  <c r="D87" i="143"/>
  <c r="F85" i="143"/>
  <c r="E85" i="143"/>
  <c r="R87" i="143"/>
  <c r="W87" i="143"/>
  <c r="S85" i="143"/>
  <c r="V85" i="143"/>
  <c r="W85" i="143"/>
  <c r="K87" i="143"/>
  <c r="J87" i="143"/>
  <c r="U87" i="143"/>
  <c r="Y87" i="143"/>
  <c r="Z87" i="143"/>
  <c r="X87" i="143"/>
  <c r="AA87" i="143"/>
  <c r="E87" i="143"/>
  <c r="F87" i="143"/>
  <c r="S87" i="143"/>
  <c r="V87" i="143"/>
  <c r="X85" i="143"/>
  <c r="AA85" i="143"/>
</calcChain>
</file>

<file path=xl/comments1.xml><?xml version="1.0" encoding="utf-8"?>
<comments xmlns="http://schemas.openxmlformats.org/spreadsheetml/2006/main">
  <authors>
    <author>Gloria Marcela Velasquez Hernandez</author>
  </authors>
  <commentList>
    <comment ref="B38" authorId="0" shapeId="0">
      <text>
        <r>
          <rPr>
            <b/>
            <sz val="8"/>
            <color indexed="81"/>
            <rFont val="Tahoma"/>
            <family val="2"/>
          </rPr>
          <t>Gloria Marcela Velasquez Hernandez:</t>
        </r>
        <r>
          <rPr>
            <sz val="8"/>
            <color indexed="81"/>
            <rFont val="Tahoma"/>
            <family val="2"/>
          </rPr>
          <t xml:space="preserve">
Contiene 520 de correccion monetaria</t>
        </r>
      </text>
    </comment>
  </commentList>
</comments>
</file>

<file path=xl/comments2.xml><?xml version="1.0" encoding="utf-8"?>
<comments xmlns="http://schemas.openxmlformats.org/spreadsheetml/2006/main">
  <authors>
    <author>Gloria Marcela Velasquez Hernandez</author>
  </authors>
  <commentList>
    <comment ref="B47" authorId="0" shapeId="0">
      <text>
        <r>
          <rPr>
            <b/>
            <sz val="8"/>
            <color indexed="81"/>
            <rFont val="Tahoma"/>
            <family val="2"/>
          </rPr>
          <t>Gloria Marcela Velasquez Hernandez:</t>
        </r>
        <r>
          <rPr>
            <sz val="8"/>
            <color indexed="81"/>
            <rFont val="Tahoma"/>
            <family val="2"/>
          </rPr>
          <t xml:space="preserve">
Contiene -2.096 de correccion monetaria
</t>
        </r>
      </text>
    </comment>
  </commentList>
</comments>
</file>

<file path=xl/comments3.xml><?xml version="1.0" encoding="utf-8"?>
<comments xmlns="http://schemas.openxmlformats.org/spreadsheetml/2006/main">
  <authors>
    <author>Gloria Marcela Velasquez Hernandez</author>
  </authors>
  <commentList>
    <comment ref="B38" authorId="0" shapeId="0">
      <text>
        <r>
          <rPr>
            <b/>
            <sz val="8"/>
            <color indexed="81"/>
            <rFont val="Tahoma"/>
            <family val="2"/>
          </rPr>
          <t>Gloria Marcela Velasquez Hernandez:</t>
        </r>
        <r>
          <rPr>
            <sz val="8"/>
            <color indexed="81"/>
            <rFont val="Tahoma"/>
            <family val="2"/>
          </rPr>
          <t xml:space="preserve">
Contiene 2.715 de correccion monetaria</t>
        </r>
      </text>
    </comment>
  </commentList>
</comments>
</file>

<file path=xl/comments4.xml><?xml version="1.0" encoding="utf-8"?>
<comments xmlns="http://schemas.openxmlformats.org/spreadsheetml/2006/main">
  <authors>
    <author>Gloria Marcela Velasquez Hernandez</author>
  </authors>
  <commentList>
    <comment ref="B47" authorId="0" shapeId="0">
      <text>
        <r>
          <rPr>
            <b/>
            <sz val="8"/>
            <color indexed="81"/>
            <rFont val="Tahoma"/>
            <family val="2"/>
          </rPr>
          <t>Gloria Marcela Velasquez Hernandez:</t>
        </r>
        <r>
          <rPr>
            <sz val="8"/>
            <color indexed="81"/>
            <rFont val="Tahoma"/>
            <family val="2"/>
          </rPr>
          <t xml:space="preserve">
Contiene -3.100 de correccion monetaria
</t>
        </r>
      </text>
    </comment>
  </commentList>
</comments>
</file>

<file path=xl/comments5.xml><?xml version="1.0" encoding="utf-8"?>
<comments xmlns="http://schemas.openxmlformats.org/spreadsheetml/2006/main">
  <authors>
    <author>Gloria Marcela Velasquez Hernandez</author>
  </authors>
  <commentList>
    <comment ref="B38" authorId="0" shapeId="0">
      <text>
        <r>
          <rPr>
            <b/>
            <sz val="8"/>
            <color indexed="81"/>
            <rFont val="Tahoma"/>
            <family val="2"/>
          </rPr>
          <t>Gloria Marcela Velasquez Hernandez:</t>
        </r>
        <r>
          <rPr>
            <sz val="8"/>
            <color indexed="81"/>
            <rFont val="Tahoma"/>
            <family val="2"/>
          </rPr>
          <t xml:space="preserve">
Contiene 4.234 de correccion monetaria</t>
        </r>
      </text>
    </comment>
  </commentList>
</comments>
</file>

<file path=xl/comments6.xml><?xml version="1.0" encoding="utf-8"?>
<comments xmlns="http://schemas.openxmlformats.org/spreadsheetml/2006/main">
  <authors>
    <author>Gloria Marcela Velasquez Hernandez</author>
  </authors>
  <commentList>
    <comment ref="B47" authorId="0" shapeId="0">
      <text>
        <r>
          <rPr>
            <b/>
            <sz val="8"/>
            <color indexed="81"/>
            <rFont val="Tahoma"/>
            <family val="2"/>
          </rPr>
          <t>Gloria Marcela Velasquez Hernandez:</t>
        </r>
        <r>
          <rPr>
            <sz val="8"/>
            <color indexed="81"/>
            <rFont val="Tahoma"/>
            <family val="2"/>
          </rPr>
          <t xml:space="preserve">
Contiene 5.528 de correccion monetaria
</t>
        </r>
      </text>
    </comment>
  </commentList>
</comments>
</file>

<file path=xl/sharedStrings.xml><?xml version="1.0" encoding="utf-8"?>
<sst xmlns="http://schemas.openxmlformats.org/spreadsheetml/2006/main" count="6228" uniqueCount="346">
  <si>
    <t>Otros</t>
  </si>
  <si>
    <t>Utilidad Operativa</t>
  </si>
  <si>
    <t>Post Operativos Netos</t>
  </si>
  <si>
    <t>ESTADO DE RESULTADOS CONSOLIDADO</t>
  </si>
  <si>
    <t>Total Ingresos Operacionales</t>
  </si>
  <si>
    <t>Utilidad en realización de inversiones</t>
  </si>
  <si>
    <t>Utilidad Bruta</t>
  </si>
  <si>
    <t>Gastos de administración</t>
  </si>
  <si>
    <t>Gastos de venta</t>
  </si>
  <si>
    <t>Total Gastos Operacionales</t>
  </si>
  <si>
    <t>Ingresos no operacionales</t>
  </si>
  <si>
    <t>Gastos financieros</t>
  </si>
  <si>
    <t>Diferencia en cambio neta</t>
  </si>
  <si>
    <t>Gastos no operacionales</t>
  </si>
  <si>
    <t>Dividendos de portafolio</t>
  </si>
  <si>
    <t>Impuesto de renta</t>
  </si>
  <si>
    <t>Realización de inversiones</t>
  </si>
  <si>
    <t>UTILIDAD NETA</t>
  </si>
  <si>
    <t>Interés minoritario</t>
  </si>
  <si>
    <t>EBITDA CONSOLIDADO</t>
  </si>
  <si>
    <t>ACTIVO</t>
  </si>
  <si>
    <t>Disponible e Inv. Temporales</t>
  </si>
  <si>
    <t>Inversiones</t>
  </si>
  <si>
    <t>Deudores</t>
  </si>
  <si>
    <t>Diferidos</t>
  </si>
  <si>
    <t>Otros activos</t>
  </si>
  <si>
    <t>Valorizaciones</t>
  </si>
  <si>
    <t>Total Activo</t>
  </si>
  <si>
    <t>Obligaciones financieras</t>
  </si>
  <si>
    <t>Proveedores y Cuentas por pagar</t>
  </si>
  <si>
    <t>Impuestos, gravámenes y tasas</t>
  </si>
  <si>
    <t>Obligaciones laborales</t>
  </si>
  <si>
    <t>Pasivos estimados y provisiones</t>
  </si>
  <si>
    <t>Total Pasivo</t>
  </si>
  <si>
    <t>PATRIMONIO</t>
  </si>
  <si>
    <t>Total Pasivo y Patrimonio</t>
  </si>
  <si>
    <t>Inventarios</t>
  </si>
  <si>
    <t>Propiedad, planta y equipo</t>
  </si>
  <si>
    <t>Cuentas por pagar</t>
  </si>
  <si>
    <t>Minoritarios</t>
  </si>
  <si>
    <t>BALANCE GENERAL CONSOLIDADO</t>
  </si>
  <si>
    <t>UAI e Interés minoritario</t>
  </si>
  <si>
    <t>Utilidad Operacional</t>
  </si>
  <si>
    <t>Utilidad antes de impuestos sobre la renta</t>
  </si>
  <si>
    <t>CIFRAS EXPRESADAS</t>
  </si>
  <si>
    <t>EN MILLONES DE PESOS</t>
  </si>
  <si>
    <t>% Variac.</t>
  </si>
  <si>
    <t>Intangibles</t>
  </si>
  <si>
    <t>PASIVO Y PATRIMONIO</t>
  </si>
  <si>
    <t>Proveedores</t>
  </si>
  <si>
    <t>Costo mercancía vendida</t>
  </si>
  <si>
    <t>Ingresos financieros</t>
  </si>
  <si>
    <t>Otros ingresos (egresos) netos</t>
  </si>
  <si>
    <t>* Información ilustrativa, no auditada.</t>
  </si>
  <si>
    <t>Número de acciones en circulación</t>
  </si>
  <si>
    <t>% Ingresos</t>
  </si>
  <si>
    <t>Financieros y otros</t>
  </si>
  <si>
    <t>Dividendos</t>
  </si>
  <si>
    <t>Gastos operacionales</t>
  </si>
  <si>
    <t>Intangibles y otros activos</t>
  </si>
  <si>
    <t>Propiedad, Planta y Equipo</t>
  </si>
  <si>
    <t xml:space="preserve">A Septiembre 30 </t>
  </si>
  <si>
    <t>De Enero 1 a Septiembre 30</t>
  </si>
  <si>
    <t xml:space="preserve">A Junio 30 </t>
  </si>
  <si>
    <t>De Enero 1 a Junio 30</t>
  </si>
  <si>
    <t xml:space="preserve">A Marzo 31 </t>
  </si>
  <si>
    <t>De Enero 1 a Marzo 31</t>
  </si>
  <si>
    <t xml:space="preserve">A Diciembre 31 </t>
  </si>
  <si>
    <t>De Enero 1 a Diciembre 31</t>
  </si>
  <si>
    <t>BALANCE GENERAL BÁSICO</t>
  </si>
  <si>
    <t>ESTADO DE RESULTADOS BÁSICO</t>
  </si>
  <si>
    <t>Valor intrínseco por acción (en pesos colombianos)</t>
  </si>
  <si>
    <t>Ingresos por método de participación</t>
  </si>
  <si>
    <t xml:space="preserve">Intangibles </t>
  </si>
  <si>
    <t>Diferidos y Otros activos</t>
  </si>
  <si>
    <t>Utilidad Neta por Acción (en pesos colombianos)</t>
  </si>
  <si>
    <t xml:space="preserve">A MARZO 31 </t>
  </si>
  <si>
    <t xml:space="preserve">A JUNIO 30 </t>
  </si>
  <si>
    <t xml:space="preserve">A SEPTIEMBRE 30 </t>
  </si>
  <si>
    <t>* Informacion ilustrativa, no auditada.</t>
  </si>
  <si>
    <t>A DICIEMBRE 31</t>
  </si>
  <si>
    <t>Total Pasivo , Patrimonio e interés minoritario</t>
  </si>
  <si>
    <t xml:space="preserve">Nota: Al 30 de septiembre de 2010 incluye los valores recibidos de Valores Nacionales S.A.S y Portafolio de Alimentos S.A.S producto de la Fusión realizada en agosto de 2010. </t>
  </si>
  <si>
    <t>Intangibles, Diferidos y otros activos</t>
  </si>
  <si>
    <t>Gastos de producción</t>
  </si>
  <si>
    <t>A Diciembre 31</t>
  </si>
  <si>
    <t>* El año 2010 se encuentra reclasificado para efectos comparativos.</t>
  </si>
  <si>
    <t>Diferidos y otros pasivos</t>
  </si>
  <si>
    <t>(Valores expresados en millones de pesos colombianos)</t>
  </si>
  <si>
    <t>De Enero 1 a Septiembre 30 de 2012</t>
  </si>
  <si>
    <t>BALANCE GENERAL BASICO</t>
  </si>
  <si>
    <t>Estado de resultados consolidado</t>
  </si>
  <si>
    <t>Estado de Resultados Básico</t>
  </si>
  <si>
    <t>De Enero 1 a Diciembre 31 de 2012</t>
  </si>
  <si>
    <t>A Diciembre 31 de 2012</t>
  </si>
  <si>
    <t>2013-1q</t>
  </si>
  <si>
    <t>2012-1q</t>
  </si>
  <si>
    <t>De Enero 1 a Marzo 31 de 2013</t>
  </si>
  <si>
    <t>A Marzo 31 de 2013</t>
  </si>
  <si>
    <t>2012-2q</t>
  </si>
  <si>
    <t>2013-2q</t>
  </si>
  <si>
    <t>A Junio 30 de 2013</t>
  </si>
  <si>
    <t>A Junio 30</t>
  </si>
  <si>
    <t>De Enero 1 a junio 30 de 2013</t>
  </si>
  <si>
    <t>De Enero 1 a Junio 30 de 2013</t>
  </si>
  <si>
    <t>Utilidad (perdida )en realización de inversiones</t>
  </si>
  <si>
    <t>2012 Acum</t>
  </si>
  <si>
    <t>2013 Acum</t>
  </si>
  <si>
    <t>2012-Acum</t>
  </si>
  <si>
    <t>2013-Acum</t>
  </si>
  <si>
    <t>Intangibles, diferidos y otros activos</t>
  </si>
  <si>
    <t>2012-3q</t>
  </si>
  <si>
    <t>2013-3q</t>
  </si>
  <si>
    <t>De Enero 1 a Septiembre 30 de 2013</t>
  </si>
  <si>
    <t>A Septiembre 30</t>
  </si>
  <si>
    <t>A Septiembre 30 de 2013</t>
  </si>
  <si>
    <t>N.C</t>
  </si>
  <si>
    <t>De Enero 1 a septiembre 30 de 2013</t>
  </si>
  <si>
    <t>A Diciembre 31 de 2013</t>
  </si>
  <si>
    <t>De Enero 1 a Diciembre 31 de 2013</t>
  </si>
  <si>
    <t>2013-4q</t>
  </si>
  <si>
    <t>2012-4q</t>
  </si>
  <si>
    <t>De Enero 1 a diciembre 31 de 2013</t>
  </si>
  <si>
    <t>% Varjac.</t>
  </si>
  <si>
    <t>2014-1q</t>
  </si>
  <si>
    <t>A Marzo 31 de 2014</t>
  </si>
  <si>
    <t>De Enero 1 a Marzo 31 de 2014</t>
  </si>
  <si>
    <t>2014-2q</t>
  </si>
  <si>
    <t>2014-Acum</t>
  </si>
  <si>
    <t>A Junio 30 de 2014</t>
  </si>
  <si>
    <t>De Enero 1 a Junio 30 de 2014</t>
  </si>
  <si>
    <t>N/A</t>
  </si>
  <si>
    <t>2014-3q</t>
  </si>
  <si>
    <t>De Enero 1 a Septiembre 30 de 2014</t>
  </si>
  <si>
    <t>A Septiembre 30 de 2014</t>
  </si>
  <si>
    <t>A Diciembre 31 de 2014</t>
  </si>
  <si>
    <t>2014-4q</t>
  </si>
  <si>
    <t>De Enero 1 a diciembre 31 de 2014</t>
  </si>
  <si>
    <t>De Enero 1 a Diciembre 31 de 2014</t>
  </si>
  <si>
    <t>Diciembre 2014</t>
  </si>
  <si>
    <t>% var</t>
  </si>
  <si>
    <t>Propiedades de inversión</t>
  </si>
  <si>
    <t>PASIVO</t>
  </si>
  <si>
    <t>Otros pasivos</t>
  </si>
  <si>
    <t xml:space="preserve">Otros ingresos (egresos) netos  operacionales      </t>
  </si>
  <si>
    <t>2014-1T</t>
  </si>
  <si>
    <t>2015-1T</t>
  </si>
  <si>
    <t>2014-2T</t>
  </si>
  <si>
    <t>2015-2T</t>
  </si>
  <si>
    <t>2014-1S</t>
  </si>
  <si>
    <t>2015-1S</t>
  </si>
  <si>
    <t>2014-3T</t>
  </si>
  <si>
    <t>2015-3T</t>
  </si>
  <si>
    <t>2014-4T</t>
  </si>
  <si>
    <t>2015-4T</t>
  </si>
  <si>
    <t>2015-FY</t>
  </si>
  <si>
    <t>2014-FY</t>
  </si>
  <si>
    <t xml:space="preserve">Estado de Situación Financiera </t>
  </si>
  <si>
    <t>A 31 de marzo de 2015</t>
  </si>
  <si>
    <t>(Información no auditada)</t>
  </si>
  <si>
    <t>Activo corriente</t>
  </si>
  <si>
    <t xml:space="preserve">Efectivo y equivalentes de efectivo </t>
  </si>
  <si>
    <t>Deudores comerciales y otras cuentas por cobrar</t>
  </si>
  <si>
    <t>Activos biológicos</t>
  </si>
  <si>
    <t>Otros activos corrientes</t>
  </si>
  <si>
    <t>Activos no corrientes mantenidos para la venta</t>
  </si>
  <si>
    <t>Total activo corriente</t>
  </si>
  <si>
    <t>Activo no corriente</t>
  </si>
  <si>
    <t>Activos biológicos no corrientes</t>
  </si>
  <si>
    <t>Inversiones en asociadas y negocios conjuntos</t>
  </si>
  <si>
    <t>Otros activos financieros no corrientes</t>
  </si>
  <si>
    <t>Propiedades, planta y equipo, neto</t>
  </si>
  <si>
    <t>Crédito mercantil</t>
  </si>
  <si>
    <t>Otros activos intangibles</t>
  </si>
  <si>
    <t>Activos por impuestos diferidos</t>
  </si>
  <si>
    <t>Total activo no corriente</t>
  </si>
  <si>
    <t>TOTAL ACTIVOS</t>
  </si>
  <si>
    <t>Pasivo corriente</t>
  </si>
  <si>
    <t>Proveedores y cuentas por pagar</t>
  </si>
  <si>
    <t>Pasivo por beneficios a empleados</t>
  </si>
  <si>
    <t>Provisiones corrientes</t>
  </si>
  <si>
    <t>Total pasivo corriente</t>
  </si>
  <si>
    <t>Pasivos no corriente</t>
  </si>
  <si>
    <t>Pasivo por impuesto diferido</t>
  </si>
  <si>
    <t>-</t>
  </si>
  <si>
    <t>Total pasivo no corriente</t>
  </si>
  <si>
    <t>TOTAL PASIVO</t>
  </si>
  <si>
    <t>Patrimonio atribuible a las participaciones controladoras</t>
  </si>
  <si>
    <t>Participaciones no controladoras</t>
  </si>
  <si>
    <t>TOTAL PATRIMONIO</t>
  </si>
  <si>
    <t>TOTAL PASIVO Y PATRIMONIO</t>
  </si>
  <si>
    <t>Estado de Resultados integrales</t>
  </si>
  <si>
    <t>Del 1 de enero al 31 de marzo</t>
  </si>
  <si>
    <t>Operaciones continuadas</t>
  </si>
  <si>
    <t>Ingresos operacionales</t>
  </si>
  <si>
    <t>Costos de la mercancía vendida</t>
  </si>
  <si>
    <t>Utilidad bruta</t>
  </si>
  <si>
    <t>Diferencia en cambio de activos y pasivos operativos</t>
  </si>
  <si>
    <t>Utilidad operativa</t>
  </si>
  <si>
    <t>Dividendos del portafolio</t>
  </si>
  <si>
    <t>Diferencia en cambio de activos y pasivos no operativos</t>
  </si>
  <si>
    <t>Pérdida por la posición monetaria neta</t>
  </si>
  <si>
    <t xml:space="preserve">Participación en el resultado de las asociadas y negocios conjuntos </t>
  </si>
  <si>
    <t>Otros ingresos (egresos) no operacionales</t>
  </si>
  <si>
    <t>Utilidad antes de impuesto de renta e interés no controlante</t>
  </si>
  <si>
    <t>Impuesto sobre la renta corriente</t>
  </si>
  <si>
    <t>Impuesto sobre la renta diferido</t>
  </si>
  <si>
    <t>Utilidad del ejercicio  de operaciones continuadas</t>
  </si>
  <si>
    <t>Operaciones discontinuadas, después de impuestos</t>
  </si>
  <si>
    <t xml:space="preserve">Utilidad neta del ejercicio </t>
  </si>
  <si>
    <t>Resultado del período atribuible a:</t>
  </si>
  <si>
    <t>Participaciones controladoras</t>
  </si>
  <si>
    <t>Utilidad neta del ejercicio</t>
  </si>
  <si>
    <t>Ebitda</t>
  </si>
  <si>
    <t>A 30 de junio de 2015</t>
  </si>
  <si>
    <t>Del 1 de enero al 30 de junio</t>
  </si>
  <si>
    <t>A 30 de diciembre de 2015</t>
  </si>
  <si>
    <t>Del 1 de enero al 30 de Septiembre</t>
  </si>
  <si>
    <t>A 31 de diciembre de 2015</t>
  </si>
  <si>
    <t>Del 1 de enero al 31 de diciembre</t>
  </si>
  <si>
    <t>A 31 de marzo  de 2016</t>
  </si>
  <si>
    <t>Diciembre 2015</t>
  </si>
  <si>
    <t>2016-1T</t>
  </si>
  <si>
    <t>2014-9M</t>
  </si>
  <si>
    <t>2015-9M</t>
  </si>
  <si>
    <r>
      <t xml:space="preserve"> </t>
    </r>
    <r>
      <rPr>
        <b/>
        <sz val="8"/>
        <color indexed="9"/>
        <rFont val="Calibri"/>
        <family val="2"/>
      </rPr>
      <t>Marzo</t>
    </r>
    <r>
      <rPr>
        <b/>
        <sz val="8"/>
        <rFont val="Calibri"/>
        <family val="2"/>
      </rPr>
      <t xml:space="preserve"> </t>
    </r>
    <r>
      <rPr>
        <b/>
        <sz val="8"/>
        <color indexed="9"/>
        <rFont val="Calibri"/>
        <family val="2"/>
      </rPr>
      <t>2015</t>
    </r>
  </si>
  <si>
    <r>
      <t xml:space="preserve"> </t>
    </r>
    <r>
      <rPr>
        <b/>
        <sz val="8"/>
        <color indexed="9"/>
        <rFont val="Calibri"/>
        <family val="2"/>
      </rPr>
      <t>Marzo</t>
    </r>
    <r>
      <rPr>
        <b/>
        <sz val="8"/>
        <rFont val="Calibri"/>
        <family val="2"/>
      </rPr>
      <t xml:space="preserve"> </t>
    </r>
    <r>
      <rPr>
        <b/>
        <sz val="8"/>
        <color indexed="9"/>
        <rFont val="Calibri"/>
        <family val="2"/>
      </rPr>
      <t>2016</t>
    </r>
  </si>
  <si>
    <r>
      <t xml:space="preserve"> </t>
    </r>
    <r>
      <rPr>
        <b/>
        <sz val="8"/>
        <color indexed="9"/>
        <rFont val="Calibri"/>
        <family val="2"/>
      </rPr>
      <t>Junio</t>
    </r>
    <r>
      <rPr>
        <b/>
        <sz val="8"/>
        <rFont val="Calibri"/>
        <family val="2"/>
      </rPr>
      <t xml:space="preserve"> </t>
    </r>
    <r>
      <rPr>
        <b/>
        <sz val="8"/>
        <color indexed="9"/>
        <rFont val="Calibri"/>
        <family val="2"/>
      </rPr>
      <t>2015</t>
    </r>
  </si>
  <si>
    <r>
      <t xml:space="preserve"> </t>
    </r>
    <r>
      <rPr>
        <b/>
        <sz val="8"/>
        <color indexed="9"/>
        <rFont val="Calibri"/>
        <family val="2"/>
      </rPr>
      <t>Septiembre</t>
    </r>
    <r>
      <rPr>
        <b/>
        <sz val="8"/>
        <rFont val="Calibri"/>
        <family val="2"/>
      </rPr>
      <t xml:space="preserve"> </t>
    </r>
    <r>
      <rPr>
        <b/>
        <sz val="8"/>
        <color indexed="9"/>
        <rFont val="Calibri"/>
        <family val="2"/>
      </rPr>
      <t>2015</t>
    </r>
  </si>
  <si>
    <r>
      <t xml:space="preserve"> </t>
    </r>
    <r>
      <rPr>
        <b/>
        <sz val="8"/>
        <color indexed="9"/>
        <rFont val="Calibri"/>
        <family val="2"/>
      </rPr>
      <t>Diciembre</t>
    </r>
    <r>
      <rPr>
        <b/>
        <sz val="8"/>
        <rFont val="Calibri"/>
        <family val="2"/>
      </rPr>
      <t xml:space="preserve"> </t>
    </r>
    <r>
      <rPr>
        <b/>
        <sz val="8"/>
        <color indexed="9"/>
        <rFont val="Calibri"/>
        <family val="2"/>
      </rPr>
      <t>2015</t>
    </r>
  </si>
  <si>
    <t xml:space="preserve"> Junio 2016</t>
  </si>
  <si>
    <t>2016-2T</t>
  </si>
  <si>
    <t>2016-1S</t>
  </si>
  <si>
    <t>A 30 de junio  de 2016</t>
  </si>
  <si>
    <t>A 30 de septiembre  de 2016</t>
  </si>
  <si>
    <t>Del 1 de enero al 30 de septiembre</t>
  </si>
  <si>
    <t>2016-3T</t>
  </si>
  <si>
    <t>2016-9M</t>
  </si>
  <si>
    <t>Septiembre 2016</t>
  </si>
  <si>
    <r>
      <rPr>
        <b/>
        <sz val="8"/>
        <color indexed="9"/>
        <rFont val="Calibri"/>
        <family val="2"/>
      </rPr>
      <t>Septiembre</t>
    </r>
    <r>
      <rPr>
        <b/>
        <sz val="8"/>
        <rFont val="Calibri"/>
        <family val="2"/>
      </rPr>
      <t xml:space="preserve"> </t>
    </r>
    <r>
      <rPr>
        <b/>
        <sz val="8"/>
        <color indexed="9"/>
        <rFont val="Calibri"/>
        <family val="2"/>
      </rPr>
      <t>2015</t>
    </r>
  </si>
  <si>
    <t>Diciembre 2016</t>
  </si>
  <si>
    <t>A 31 de diciembre  de 2016</t>
  </si>
  <si>
    <t>2016-4T</t>
  </si>
  <si>
    <t>2016-FY</t>
  </si>
  <si>
    <t>A 31 de marzo  de 2017</t>
  </si>
  <si>
    <t>2017-1T</t>
  </si>
  <si>
    <r>
      <t xml:space="preserve"> </t>
    </r>
    <r>
      <rPr>
        <b/>
        <sz val="8"/>
        <color indexed="8"/>
        <rFont val="Calibri"/>
        <family val="2"/>
      </rPr>
      <t>Marzo 2017</t>
    </r>
  </si>
  <si>
    <t>Plusvalía</t>
  </si>
  <si>
    <r>
      <t xml:space="preserve"> Junio</t>
    </r>
    <r>
      <rPr>
        <b/>
        <sz val="8"/>
        <color indexed="8"/>
        <rFont val="Calibri"/>
        <family val="2"/>
      </rPr>
      <t xml:space="preserve"> 2017</t>
    </r>
  </si>
  <si>
    <t>A 30 de junio  de 2017</t>
  </si>
  <si>
    <t>2017-2T</t>
  </si>
  <si>
    <t>2017-1S</t>
  </si>
  <si>
    <t xml:space="preserve">Otros ingresos (egresos) netos  </t>
  </si>
  <si>
    <r>
      <t xml:space="preserve"> Septiembre</t>
    </r>
    <r>
      <rPr>
        <b/>
        <sz val="8"/>
        <color indexed="8"/>
        <rFont val="Calibri"/>
        <family val="2"/>
      </rPr>
      <t xml:space="preserve"> 2017</t>
    </r>
  </si>
  <si>
    <t>A 30 de septiembre  de 2017</t>
  </si>
  <si>
    <t>2017-3T</t>
  </si>
  <si>
    <t>2017-9M</t>
  </si>
  <si>
    <t>Impuesto sobre la renta e impuestos por pagar</t>
  </si>
  <si>
    <t xml:space="preserve">Activos biológicos </t>
  </si>
  <si>
    <t>Otros activos no corrientes</t>
  </si>
  <si>
    <t>Otros pasivos corrientes</t>
  </si>
  <si>
    <t>Otros pasivos no corrientes</t>
  </si>
  <si>
    <t>Costos de ventas</t>
  </si>
  <si>
    <t>A 31 de diciembre  de 2017</t>
  </si>
  <si>
    <r>
      <t xml:space="preserve"> Diciembre</t>
    </r>
    <r>
      <rPr>
        <b/>
        <sz val="8"/>
        <color indexed="8"/>
        <rFont val="Calibri"/>
        <family val="2"/>
      </rPr>
      <t xml:space="preserve"> 2017</t>
    </r>
  </si>
  <si>
    <t>2017-4T</t>
  </si>
  <si>
    <t>2017-FY</t>
  </si>
  <si>
    <t>Diciembre 2017</t>
  </si>
  <si>
    <r>
      <t xml:space="preserve"> </t>
    </r>
    <r>
      <rPr>
        <b/>
        <sz val="8"/>
        <color indexed="8"/>
        <rFont val="Calibri"/>
        <family val="2"/>
      </rPr>
      <t>Marzo 2018</t>
    </r>
  </si>
  <si>
    <t>A 31 de marzo  de 2018</t>
  </si>
  <si>
    <t>2018-1T</t>
  </si>
  <si>
    <t>Otros activos no corriente</t>
  </si>
  <si>
    <t xml:space="preserve">Dividendos </t>
  </si>
  <si>
    <t>Costo de ventas</t>
  </si>
  <si>
    <t>Activo por impuestos diferido</t>
  </si>
  <si>
    <t xml:space="preserve">Participación en asociadas y negocios conjuntos </t>
  </si>
  <si>
    <t>A 30 de junio  de 2018</t>
  </si>
  <si>
    <t>2018-2T</t>
  </si>
  <si>
    <t>2018-1S</t>
  </si>
  <si>
    <r>
      <t xml:space="preserve"> Junio</t>
    </r>
    <r>
      <rPr>
        <b/>
        <sz val="8"/>
        <color indexed="8"/>
        <rFont val="Calibri"/>
        <family val="2"/>
      </rPr>
      <t xml:space="preserve"> 2018</t>
    </r>
  </si>
  <si>
    <t>Activo por impuesto diferido</t>
  </si>
  <si>
    <t>A 30 de septiembre  de 2018</t>
  </si>
  <si>
    <r>
      <t xml:space="preserve"> Septiembre</t>
    </r>
    <r>
      <rPr>
        <b/>
        <sz val="8"/>
        <color indexed="8"/>
        <rFont val="Calibri"/>
        <family val="2"/>
      </rPr>
      <t xml:space="preserve"> 2018</t>
    </r>
  </si>
  <si>
    <t xml:space="preserve">Otros activos </t>
  </si>
  <si>
    <t>2018-3T</t>
  </si>
  <si>
    <t>2018-9M</t>
  </si>
  <si>
    <t xml:space="preserve">Otros ingresos netos  </t>
  </si>
  <si>
    <r>
      <t xml:space="preserve"> Diciembre</t>
    </r>
    <r>
      <rPr>
        <b/>
        <sz val="8"/>
        <color indexed="8"/>
        <rFont val="Calibri"/>
        <family val="2"/>
      </rPr>
      <t xml:space="preserve"> 2018</t>
    </r>
  </si>
  <si>
    <t>A 31 de diciemmbre  de 2018</t>
  </si>
  <si>
    <t>2018-4T</t>
  </si>
  <si>
    <t>2018-FY</t>
  </si>
  <si>
    <t>Deudores comerciales y otras cuentas por cobrar,neto</t>
  </si>
  <si>
    <t>Ingresos operacionales provenientes de contratos con clientes</t>
  </si>
  <si>
    <t>A 31 de marzo  de 2019</t>
  </si>
  <si>
    <t>Diciembre 2018</t>
  </si>
  <si>
    <t>Activos por derecho de uso</t>
  </si>
  <si>
    <t>Pasivos por derecho de uso</t>
  </si>
  <si>
    <t>Provisiones no corrientes</t>
  </si>
  <si>
    <t>Deudores comerciales y otras cuentas por cobrar, neto</t>
  </si>
  <si>
    <t>2019-1T</t>
  </si>
  <si>
    <r>
      <t xml:space="preserve">* </t>
    </r>
    <r>
      <rPr>
        <b/>
        <sz val="8"/>
        <color indexed="8"/>
        <rFont val="Calibri"/>
        <family val="2"/>
      </rPr>
      <t>Marzo 2019</t>
    </r>
  </si>
  <si>
    <t>*Aplicación de la nueva norma de arrendamientos IFRS 16</t>
  </si>
  <si>
    <r>
      <t xml:space="preserve">Para conocer en detalle algunos de los principales cambios que se han registrado en los estados financieros,lo invitamos a visitar la información complementaria publicada en nuestra página web: </t>
    </r>
    <r>
      <rPr>
        <i/>
        <u/>
        <sz val="10"/>
        <color indexed="8"/>
        <rFont val="Calibri"/>
        <family val="2"/>
      </rPr>
      <t>Presentación de Resultados y Estados Financieros Consolidados y sus notas</t>
    </r>
    <r>
      <rPr>
        <b/>
        <i/>
        <u/>
        <sz val="10"/>
        <color indexed="8"/>
        <rFont val="Calibri"/>
        <family val="2"/>
      </rPr>
      <t xml:space="preserve"> </t>
    </r>
    <r>
      <rPr>
        <i/>
        <sz val="10"/>
        <color indexed="8"/>
        <rFont val="Calibri"/>
        <family val="2"/>
      </rPr>
      <t>http://www.gruponutresa.com/inversionistas/resultados-y-publicaciones/resultados-trimestrales/#2019-1</t>
    </r>
  </si>
  <si>
    <t>A 30 de junio  de 2019</t>
  </si>
  <si>
    <r>
      <t xml:space="preserve">Para conocer en detalle algunos de los principales cambios que se han registrado en los estados financieros,lo invitamos a visitar la información complementaria publicada en nuestra página web: </t>
    </r>
    <r>
      <rPr>
        <i/>
        <u/>
        <sz val="10"/>
        <color indexed="8"/>
        <rFont val="Calibri"/>
        <family val="2"/>
      </rPr>
      <t>Presentación de Resultados y Estados Financieros Consolidados y sus notas</t>
    </r>
    <r>
      <rPr>
        <b/>
        <i/>
        <u/>
        <sz val="10"/>
        <color indexed="8"/>
        <rFont val="Calibri"/>
        <family val="2"/>
      </rPr>
      <t xml:space="preserve"> </t>
    </r>
    <r>
      <rPr>
        <i/>
        <sz val="10"/>
        <color indexed="8"/>
        <rFont val="Calibri"/>
        <family val="2"/>
      </rPr>
      <t>http://www.gruponutresa.com/inversionistas/resultados-y-publicaciones/resultados-trimestrales/#2019-2</t>
    </r>
  </si>
  <si>
    <r>
      <t>* Junio</t>
    </r>
    <r>
      <rPr>
        <b/>
        <sz val="8"/>
        <color indexed="8"/>
        <rFont val="Calibri"/>
        <family val="2"/>
      </rPr>
      <t xml:space="preserve"> 2019</t>
    </r>
  </si>
  <si>
    <r>
      <t>* Marzo</t>
    </r>
    <r>
      <rPr>
        <b/>
        <sz val="8"/>
        <color indexed="8"/>
        <rFont val="Calibri"/>
        <family val="2"/>
      </rPr>
      <t xml:space="preserve"> 2019</t>
    </r>
  </si>
  <si>
    <t>2019-2T</t>
  </si>
  <si>
    <t>Otros egresos</t>
  </si>
  <si>
    <t>2019-1S</t>
  </si>
  <si>
    <t>A 30 de septiembre  de 2019</t>
  </si>
  <si>
    <r>
      <t xml:space="preserve">Para conocer en detalle algunos de los principales cambios que se han registrado en los estados financieros,lo invitamos a visitar la información complementaria publicada en nuestra página web: </t>
    </r>
    <r>
      <rPr>
        <i/>
        <u/>
        <sz val="10"/>
        <color indexed="8"/>
        <rFont val="Calibri"/>
        <family val="2"/>
      </rPr>
      <t>Presentación de Resultados y Estados Financieros Consolidados y sus notas</t>
    </r>
    <r>
      <rPr>
        <b/>
        <i/>
        <u/>
        <sz val="10"/>
        <color indexed="8"/>
        <rFont val="Calibri"/>
        <family val="2"/>
      </rPr>
      <t xml:space="preserve"> </t>
    </r>
    <r>
      <rPr>
        <i/>
        <sz val="10"/>
        <color indexed="8"/>
        <rFont val="Calibri"/>
        <family val="2"/>
      </rPr>
      <t>http://www.gruponutresa.com/inversionistas/resultados-y-publicaciones/resultados-trimestrales/#2019-3</t>
    </r>
  </si>
  <si>
    <r>
      <t>* Septiembre</t>
    </r>
    <r>
      <rPr>
        <b/>
        <sz val="8"/>
        <color indexed="8"/>
        <rFont val="Calibri"/>
        <family val="2"/>
      </rPr>
      <t xml:space="preserve"> 2019</t>
    </r>
  </si>
  <si>
    <t>2019-3T</t>
  </si>
  <si>
    <t>2019-9M</t>
  </si>
  <si>
    <t>A 31 de diciembre de 2019</t>
  </si>
  <si>
    <r>
      <t xml:space="preserve">Para conocer en detalle algunos de los principales cambios que se han registrado en los estados financieros,lo invitamos a visitar la información complementaria publicada en nuestra página web: </t>
    </r>
    <r>
      <rPr>
        <i/>
        <u/>
        <sz val="10"/>
        <color indexed="8"/>
        <rFont val="Calibri"/>
        <family val="2"/>
      </rPr>
      <t>Presentación de Resultados y Estados Financieros Consolidados y sus notas</t>
    </r>
    <r>
      <rPr>
        <b/>
        <i/>
        <u/>
        <sz val="10"/>
        <color indexed="8"/>
        <rFont val="Calibri"/>
        <family val="2"/>
      </rPr>
      <t xml:space="preserve"> </t>
    </r>
    <r>
      <rPr>
        <i/>
        <sz val="10"/>
        <color indexed="8"/>
        <rFont val="Calibri"/>
        <family val="2"/>
      </rPr>
      <t>http://www.gruponutresa.com/inversionistas/resultados-y-publicaciones/resultados-trimestrales/#2019-4</t>
    </r>
  </si>
  <si>
    <t>Del 1 de enero al 31 de diciembre 2019</t>
  </si>
  <si>
    <r>
      <t>* Diciembre</t>
    </r>
    <r>
      <rPr>
        <b/>
        <sz val="8"/>
        <color indexed="8"/>
        <rFont val="Calibri"/>
        <family val="2"/>
      </rPr>
      <t xml:space="preserve"> 2019</t>
    </r>
  </si>
  <si>
    <t xml:space="preserve">Otros pasivos </t>
  </si>
  <si>
    <t>2019-4T</t>
  </si>
  <si>
    <t>2019-FY</t>
  </si>
  <si>
    <t>A 31 de marzo  de 2020</t>
  </si>
  <si>
    <t>Diciembre 2019</t>
  </si>
  <si>
    <t>2020-1T</t>
  </si>
  <si>
    <r>
      <t xml:space="preserve"> </t>
    </r>
    <r>
      <rPr>
        <b/>
        <sz val="8"/>
        <color indexed="8"/>
        <rFont val="Calibri"/>
        <family val="2"/>
      </rPr>
      <t>Marzo 2020</t>
    </r>
  </si>
  <si>
    <t xml:space="preserve">Provisiones </t>
  </si>
  <si>
    <t>A 30 de junio  de 2020</t>
  </si>
  <si>
    <r>
      <t xml:space="preserve"> Junio</t>
    </r>
    <r>
      <rPr>
        <b/>
        <sz val="8"/>
        <color indexed="8"/>
        <rFont val="Calibri"/>
        <family val="2"/>
      </rPr>
      <t xml:space="preserve"> 2020</t>
    </r>
  </si>
  <si>
    <t>2020-2T</t>
  </si>
  <si>
    <t>2020-1S</t>
  </si>
  <si>
    <t>A partir de enero 1 de 2019 incluye la nueva norma de arrendamientos IFRS 16</t>
  </si>
  <si>
    <t>A 30 de septiembre  de 2020</t>
  </si>
  <si>
    <r>
      <t xml:space="preserve"> Septiembre</t>
    </r>
    <r>
      <rPr>
        <b/>
        <sz val="8"/>
        <color indexed="8"/>
        <rFont val="Calibri"/>
        <family val="2"/>
      </rPr>
      <t xml:space="preserve"> 2020</t>
    </r>
  </si>
  <si>
    <t>2020-3T</t>
  </si>
  <si>
    <t>2020-9M</t>
  </si>
  <si>
    <r>
      <t xml:space="preserve"> Diciembre</t>
    </r>
    <r>
      <rPr>
        <b/>
        <sz val="8"/>
        <color indexed="8"/>
        <rFont val="Calibri"/>
        <family val="2"/>
      </rPr>
      <t xml:space="preserve"> 2020</t>
    </r>
  </si>
  <si>
    <t>2020-4T</t>
  </si>
  <si>
    <t>2020-FY</t>
  </si>
  <si>
    <t>A 31 de Diciembre 2020, 2019</t>
  </si>
  <si>
    <t>2019-FY**</t>
  </si>
  <si>
    <t>Diciembre 2019**</t>
  </si>
  <si>
    <t>Diciembre 2019 **</t>
  </si>
  <si>
    <t>**Algunas de las cifras y revelaciones en relación con 2019 presentadas en estos estados financieros consolidados muestran variaciones frente a la información publicada al 31 de diciembre de 2019, debido a que se hicieron ajustes a los importes provisionales que habían sido reconocidos en la combinación de negocios con CCDC OPCO Holding Corporation y Atlantic FS S. A. S., adquisiciones realizada en 2019. Estos ajustes son realizados en concordancia con lo establecido en el párrafo 49 de NIIIF 3- Combinación de Negocios.</t>
  </si>
  <si>
    <t>Para mayor detalle consulte las notas a los estados financieros en:</t>
  </si>
  <si>
    <t>http://www.gruponutresa.com/inversionistas/resultados-y-publicaciones/resultados-trimestrales/#2020-4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</si>
</sst>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43" formatCode="_-* #,##0.00_-;\-* #,##0.00_-;_-* &quot;-&quot;??_-;_-@_-"/>
    <numFmt numFmtId="164" formatCode="_-* #,##0\ _€_-;\-* #,##0\ _€_-;_-* &quot;-&quot;\ _€_-;_-@_-"/>
    <numFmt numFmtId="165" formatCode="_(* #,##0.00_);_(* \(#,##0.00\);_(* &quot;-&quot;??_);_(@_)"/>
    <numFmt numFmtId="166" formatCode="_ * #,##0.00_ ;_ * \-#,##0.00_ ;_ * &quot;-&quot;??_ ;_ @_ "/>
    <numFmt numFmtId="167" formatCode="0.0%"/>
    <numFmt numFmtId="168" formatCode="_ * #,##0_ ;_ * \-#,##0_ ;_ * &quot;-&quot;??_ ;_ @_ "/>
    <numFmt numFmtId="169" formatCode="#,##0.0_);\(#,##0.0\)"/>
    <numFmt numFmtId="170" formatCode="&quot;$&quot;_(#,##0.00_);&quot;$&quot;\(#,##0.00\)"/>
    <numFmt numFmtId="171" formatCode="#,##0.0_)\x;\(#,##0.0\)\x"/>
    <numFmt numFmtId="172" formatCode="#,##0.0_)_x;\(#,##0.0\)_x"/>
    <numFmt numFmtId="173" formatCode="0.0_)\%;\(0.0\)\%"/>
    <numFmt numFmtId="174" formatCode="#,##0.0_)_%;\(#,##0.0\)_%"/>
    <numFmt numFmtId="175" formatCode="_ [$€-2]\ * #,##0.00_ ;_ [$€-2]\ * \-#,##0.00_ ;_ [$€-2]\ * &quot;-&quot;??_ "/>
    <numFmt numFmtId="176" formatCode="#,##0.0"/>
    <numFmt numFmtId="177" formatCode="#,##0.00_ ;\-#,##0.00\ "/>
    <numFmt numFmtId="178" formatCode="_-* #,##0\ _p_t_a_-;\-* #,##0\ _p_t_a_-;_-* &quot;-&quot;\ _p_t_a_-;_-@_-"/>
    <numFmt numFmtId="179" formatCode="0.000%"/>
    <numFmt numFmtId="180" formatCode="_(* #,##0_);_(* \(#,##0\);_(* &quot;-&quot;??_);_(@_)"/>
  </numFmts>
  <fonts count="77" x14ac:knownFonts="1">
    <font>
      <sz val="10"/>
      <name val="Arial"/>
    </font>
    <font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sz val="11"/>
      <name val="Arial Narrow"/>
      <family val="2"/>
    </font>
    <font>
      <sz val="10"/>
      <name val="Trebuchet MS"/>
      <family val="2"/>
    </font>
    <font>
      <b/>
      <sz val="10"/>
      <name val="Trebuchet MS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indexed="62"/>
      <name val="Trebuchet MS"/>
      <family val="2"/>
    </font>
    <font>
      <b/>
      <sz val="10"/>
      <color indexed="56"/>
      <name val="Trebuchet MS"/>
      <family val="2"/>
    </font>
    <font>
      <sz val="10"/>
      <name val="Lucida Sans Unicode"/>
      <family val="2"/>
    </font>
    <font>
      <b/>
      <sz val="10"/>
      <name val="Lucida Sans Unicode"/>
      <family val="2"/>
    </font>
    <font>
      <sz val="10"/>
      <name val="Arial"/>
      <family val="2"/>
    </font>
    <font>
      <b/>
      <sz val="8"/>
      <name val="Calibri"/>
      <family val="2"/>
    </font>
    <font>
      <b/>
      <sz val="8"/>
      <color indexed="9"/>
      <name val="Calibri"/>
      <family val="2"/>
    </font>
    <font>
      <b/>
      <sz val="8"/>
      <color indexed="8"/>
      <name val="Calibri"/>
      <family val="2"/>
    </font>
    <font>
      <i/>
      <sz val="10"/>
      <color indexed="8"/>
      <name val="Calibri"/>
      <family val="2"/>
    </font>
    <font>
      <i/>
      <u/>
      <sz val="10"/>
      <color indexed="8"/>
      <name val="Calibri"/>
      <family val="2"/>
    </font>
    <font>
      <b/>
      <i/>
      <u/>
      <sz val="10"/>
      <color indexed="8"/>
      <name val="Calibri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8"/>
      <color theme="0" tint="-0.499984740745262"/>
      <name val="Calibri"/>
      <family val="2"/>
      <scheme val="minor"/>
    </font>
    <font>
      <b/>
      <sz val="10"/>
      <color theme="0" tint="-0.499984740745262"/>
      <name val="Trebuchet MS"/>
      <family val="2"/>
    </font>
    <font>
      <sz val="10"/>
      <color theme="0" tint="-0.499984740745262"/>
      <name val="Trebuchet MS"/>
      <family val="2"/>
    </font>
    <font>
      <sz val="10"/>
      <color theme="0" tint="-0.499984740745262"/>
      <name val="Lucida Sans Unicode"/>
      <family val="2"/>
    </font>
    <font>
      <b/>
      <sz val="10"/>
      <color theme="0" tint="-0.499984740745262"/>
      <name val="Lucida Sans Unicode"/>
      <family val="2"/>
    </font>
    <font>
      <b/>
      <sz val="16"/>
      <color theme="6" tint="-0.249977111117893"/>
      <name val="Calibri"/>
      <family val="2"/>
      <scheme val="minor"/>
    </font>
    <font>
      <sz val="10"/>
      <color theme="6" tint="-0.499984740745262"/>
      <name val="Trebuchet MS"/>
      <family val="2"/>
    </font>
    <font>
      <b/>
      <sz val="10"/>
      <color theme="6" tint="-0.499984740745262"/>
      <name val="Trebuchet MS"/>
      <family val="2"/>
    </font>
    <font>
      <sz val="10"/>
      <color theme="9" tint="-0.499984740745262"/>
      <name val="Trebuchet MS"/>
      <family val="2"/>
    </font>
    <font>
      <b/>
      <sz val="10"/>
      <color theme="9" tint="-0.499984740745262"/>
      <name val="Trebuchet MS"/>
      <family val="2"/>
    </font>
    <font>
      <b/>
      <sz val="10"/>
      <color theme="1" tint="4.9989318521683403E-2"/>
      <name val="Trebuchet MS"/>
      <family val="2"/>
    </font>
    <font>
      <sz val="10"/>
      <color theme="1" tint="4.9989318521683403E-2"/>
      <name val="Trebuchet MS"/>
      <family val="2"/>
    </font>
    <font>
      <b/>
      <sz val="10"/>
      <color theme="5" tint="-0.249977111117893"/>
      <name val="Trebuchet MS"/>
      <family val="2"/>
    </font>
    <font>
      <sz val="10"/>
      <color theme="5" tint="-0.249977111117893"/>
      <name val="Trebuchet MS"/>
      <family val="2"/>
    </font>
    <font>
      <sz val="10"/>
      <color theme="0"/>
      <name val="Trebuchet MS"/>
      <family val="2"/>
    </font>
    <font>
      <b/>
      <sz val="10"/>
      <color theme="1"/>
      <name val="Trebuchet MS"/>
      <family val="2"/>
    </font>
    <font>
      <sz val="10"/>
      <color theme="1"/>
      <name val="Trebuchet MS"/>
      <family val="2"/>
    </font>
    <font>
      <b/>
      <sz val="10"/>
      <color rgb="FFC00000"/>
      <name val="Trebuchet MS"/>
      <family val="2"/>
    </font>
    <font>
      <sz val="10"/>
      <color rgb="FFC00000"/>
      <name val="Trebuchet MS"/>
      <family val="2"/>
    </font>
    <font>
      <b/>
      <sz val="14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b/>
      <sz val="8"/>
      <color rgb="FF404040"/>
      <name val="Calibri"/>
      <family val="2"/>
      <scheme val="minor"/>
    </font>
    <font>
      <b/>
      <sz val="8"/>
      <color rgb="FF056224"/>
      <name val="Calibri"/>
      <family val="2"/>
      <scheme val="minor"/>
    </font>
    <font>
      <sz val="8"/>
      <color rgb="FF404040"/>
      <name val="Calibri"/>
      <family val="2"/>
      <scheme val="minor"/>
    </font>
    <font>
      <sz val="8"/>
      <color rgb="FF056224"/>
      <name val="Calibri"/>
      <family val="2"/>
      <scheme val="minor"/>
    </font>
    <font>
      <sz val="8"/>
      <color rgb="FF000000"/>
      <name val="Calibri"/>
      <family val="2"/>
      <scheme val="minor"/>
    </font>
    <font>
      <sz val="5"/>
      <color rgb="FF404040"/>
      <name val="Calibri"/>
      <family val="2"/>
      <scheme val="minor"/>
    </font>
    <font>
      <sz val="5"/>
      <color rgb="FF056224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rgb="FFFFFFF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9"/>
      <color rgb="FF000000"/>
      <name val="Calibri"/>
      <family val="2"/>
      <scheme val="minor"/>
    </font>
    <font>
      <u/>
      <sz val="10"/>
      <color theme="10"/>
      <name val="Arial"/>
      <family val="2"/>
    </font>
    <font>
      <sz val="11"/>
      <color rgb="FF000000"/>
      <name val="Calibri"/>
      <family val="2"/>
    </font>
    <font>
      <i/>
      <sz val="11"/>
      <color theme="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7B797"/>
        <bgColor indexed="64"/>
      </patternFill>
    </fill>
    <fill>
      <patternFill patternType="solid">
        <fgColor rgb="FFBFD3BF"/>
        <bgColor indexed="64"/>
      </patternFill>
    </fill>
    <fill>
      <patternFill patternType="solid">
        <fgColor rgb="FF056224"/>
        <bgColor indexed="64"/>
      </patternFill>
    </fill>
    <fill>
      <patternFill patternType="solid">
        <fgColor rgb="FFCBE8E6"/>
        <bgColor indexed="64"/>
      </patternFill>
    </fill>
    <fill>
      <patternFill patternType="solid">
        <fgColor rgb="FF2DB6AB"/>
        <bgColor indexed="64"/>
      </patternFill>
    </fill>
    <fill>
      <patternFill patternType="solid">
        <fgColor rgb="FFDFE9DF"/>
        <bgColor indexed="64"/>
      </patternFill>
    </fill>
    <fill>
      <patternFill patternType="solid">
        <fgColor rgb="FF006A5D"/>
        <bgColor indexed="64"/>
      </patternFill>
    </fill>
  </fills>
  <borders count="4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Dashed">
        <color rgb="FF404040"/>
      </top>
      <bottom style="thick">
        <color rgb="FF056224"/>
      </bottom>
      <diagonal/>
    </border>
    <border>
      <left/>
      <right style="medium">
        <color rgb="FF7F7F7F"/>
      </right>
      <top/>
      <bottom/>
      <diagonal/>
    </border>
    <border>
      <left/>
      <right style="medium">
        <color rgb="FF7F7F7F"/>
      </right>
      <top/>
      <bottom style="medium">
        <color rgb="FF808080"/>
      </bottom>
      <diagonal/>
    </border>
    <border>
      <left/>
      <right/>
      <top/>
      <bottom style="medium">
        <color rgb="FF808080"/>
      </bottom>
      <diagonal/>
    </border>
    <border>
      <left/>
      <right style="medium">
        <color rgb="FF7F7F7F"/>
      </right>
      <top/>
      <bottom style="medium">
        <color rgb="FF056224"/>
      </bottom>
      <diagonal/>
    </border>
    <border>
      <left/>
      <right/>
      <top/>
      <bottom style="medium">
        <color rgb="FF056224"/>
      </bottom>
      <diagonal/>
    </border>
    <border>
      <left/>
      <right style="medium">
        <color rgb="FF808080"/>
      </right>
      <top/>
      <bottom/>
      <diagonal/>
    </border>
    <border>
      <left/>
      <right style="medium">
        <color rgb="FF808080"/>
      </right>
      <top/>
      <bottom style="medium">
        <color rgb="FF808080"/>
      </bottom>
      <diagonal/>
    </border>
    <border>
      <left/>
      <right style="medium">
        <color rgb="FF808080"/>
      </right>
      <top/>
      <bottom style="medium">
        <color rgb="FF056224"/>
      </bottom>
      <diagonal/>
    </border>
    <border>
      <left/>
      <right style="medium">
        <color rgb="FF808080"/>
      </right>
      <top/>
      <bottom style="medium">
        <color rgb="FF7F7F7F"/>
      </bottom>
      <diagonal/>
    </border>
    <border>
      <left/>
      <right/>
      <top/>
      <bottom style="medium">
        <color rgb="FF7F7F7F"/>
      </bottom>
      <diagonal/>
    </border>
    <border>
      <left/>
      <right style="medium">
        <color rgb="FF7F7F7F"/>
      </right>
      <top/>
      <bottom style="medium">
        <color rgb="FF7F7F7F"/>
      </bottom>
      <diagonal/>
    </border>
    <border>
      <left style="medium">
        <color rgb="FF7F7F7F"/>
      </left>
      <right/>
      <top style="mediumDashed">
        <color rgb="FF404040"/>
      </top>
      <bottom style="thick">
        <color rgb="FF056224"/>
      </bottom>
      <diagonal/>
    </border>
    <border>
      <left/>
      <right/>
      <top style="mediumDashed">
        <color theme="1" tint="0.24994659260841701"/>
      </top>
      <bottom style="thick">
        <color rgb="FF056224"/>
      </bottom>
      <diagonal/>
    </border>
    <border>
      <left style="medium">
        <color rgb="FF7F7F7F"/>
      </left>
      <right/>
      <top style="mediumDashed">
        <color theme="1" tint="0.24994659260841701"/>
      </top>
      <bottom style="thick">
        <color rgb="FF056224"/>
      </bottom>
      <diagonal/>
    </border>
    <border>
      <left/>
      <right/>
      <top/>
      <bottom style="mediumDashed">
        <color rgb="FF404040"/>
      </bottom>
      <diagonal/>
    </border>
    <border>
      <left/>
      <right/>
      <top/>
      <bottom style="mediumDashed">
        <color theme="1" tint="0.24994659260841701"/>
      </bottom>
      <diagonal/>
    </border>
    <border>
      <left style="medium">
        <color rgb="FF808080"/>
      </left>
      <right style="medium">
        <color rgb="FF808080"/>
      </right>
      <top/>
      <bottom style="medium">
        <color rgb="FF808080"/>
      </bottom>
      <diagonal/>
    </border>
    <border>
      <left style="medium">
        <color rgb="FF808080"/>
      </left>
      <right style="medium">
        <color rgb="FF808080"/>
      </right>
      <top/>
      <bottom style="medium">
        <color rgb="FF7F7F7F"/>
      </bottom>
      <diagonal/>
    </border>
    <border>
      <left style="medium">
        <color rgb="FF808080"/>
      </left>
      <right style="medium">
        <color rgb="FF808080"/>
      </right>
      <top/>
      <bottom style="medium">
        <color rgb="FF056224"/>
      </bottom>
      <diagonal/>
    </border>
    <border>
      <left style="medium">
        <color rgb="FF808080"/>
      </left>
      <right style="medium">
        <color rgb="FF808080"/>
      </right>
      <top style="mediumDashed">
        <color theme="1" tint="0.24994659260841701"/>
      </top>
      <bottom style="thick">
        <color rgb="FF056224"/>
      </bottom>
      <diagonal/>
    </border>
    <border>
      <left style="medium">
        <color rgb="FF808080"/>
      </left>
      <right style="medium">
        <color rgb="FF808080"/>
      </right>
      <top/>
      <bottom/>
      <diagonal/>
    </border>
    <border>
      <left style="medium">
        <color rgb="FF808080"/>
      </left>
      <right style="medium">
        <color rgb="FF808080"/>
      </right>
      <top style="mediumDashed">
        <color rgb="FF404040"/>
      </top>
      <bottom style="thick">
        <color rgb="FF056224"/>
      </bottom>
      <diagonal/>
    </border>
    <border>
      <left style="medium">
        <color rgb="FF808080"/>
      </left>
      <right style="medium">
        <color rgb="FF808080"/>
      </right>
      <top style="medium">
        <color rgb="FF808080"/>
      </top>
      <bottom style="medium">
        <color rgb="FF056224"/>
      </bottom>
      <diagonal/>
    </border>
  </borders>
  <cellStyleXfs count="63">
    <xf numFmtId="0" fontId="0" fillId="0" borderId="0"/>
    <xf numFmtId="169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9" fillId="16" borderId="1" applyNumberFormat="0" applyAlignment="0" applyProtection="0"/>
    <xf numFmtId="0" fontId="10" fillId="17" borderId="2" applyNumberFormat="0" applyAlignment="0" applyProtection="0"/>
    <xf numFmtId="0" fontId="11" fillId="0" borderId="3" applyNumberFormat="0" applyFill="0" applyAlignment="0" applyProtection="0"/>
    <xf numFmtId="0" fontId="12" fillId="0" borderId="0" applyNumberFormat="0" applyFill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13" fillId="7" borderId="1" applyNumberFormat="0" applyAlignment="0" applyProtection="0"/>
    <xf numFmtId="0" fontId="2" fillId="0" borderId="0">
      <alignment vertical="top"/>
    </xf>
    <xf numFmtId="175" fontId="1" fillId="0" borderId="0" applyFont="0" applyFill="0" applyBorder="0" applyAlignment="0" applyProtection="0"/>
    <xf numFmtId="0" fontId="14" fillId="3" borderId="0" applyNumberFormat="0" applyBorder="0" applyAlignment="0" applyProtection="0"/>
    <xf numFmtId="166" fontId="1" fillId="0" borderId="0" applyFont="0" applyFill="0" applyBorder="0" applyAlignment="0" applyProtection="0"/>
    <xf numFmtId="164" fontId="28" fillId="0" borderId="0" applyFont="0" applyFill="0" applyBorder="0" applyAlignment="0" applyProtection="0"/>
    <xf numFmtId="17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35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5" fillId="22" borderId="0" applyNumberFormat="0" applyBorder="0" applyAlignment="0" applyProtection="0"/>
    <xf numFmtId="0" fontId="36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3" fillId="23" borderId="4" applyNumberFormat="0" applyFont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6" fillId="16" borderId="5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6" applyNumberFormat="0" applyFill="0" applyAlignment="0" applyProtection="0"/>
    <xf numFmtId="0" fontId="12" fillId="0" borderId="7" applyNumberFormat="0" applyFill="0" applyAlignment="0" applyProtection="0"/>
    <xf numFmtId="0" fontId="21" fillId="0" borderId="8" applyNumberFormat="0" applyFill="0" applyAlignment="0" applyProtection="0"/>
    <xf numFmtId="0" fontId="74" fillId="0" borderId="0" applyNumberFormat="0" applyFill="0" applyBorder="0" applyAlignment="0" applyProtection="0"/>
  </cellStyleXfs>
  <cellXfs count="484">
    <xf numFmtId="0" fontId="0" fillId="0" borderId="0" xfId="0"/>
    <xf numFmtId="0" fontId="5" fillId="24" borderId="9" xfId="50" applyFont="1" applyFill="1" applyBorder="1"/>
    <xf numFmtId="3" fontId="5" fillId="24" borderId="0" xfId="0" applyNumberFormat="1" applyFont="1" applyFill="1"/>
    <xf numFmtId="167" fontId="5" fillId="24" borderId="0" xfId="53" applyNumberFormat="1" applyFont="1" applyFill="1"/>
    <xf numFmtId="176" fontId="5" fillId="24" borderId="0" xfId="0" applyNumberFormat="1" applyFont="1" applyFill="1"/>
    <xf numFmtId="0" fontId="5" fillId="24" borderId="0" xfId="0" applyFont="1" applyFill="1"/>
    <xf numFmtId="0" fontId="25" fillId="25" borderId="0" xfId="0" applyFont="1" applyFill="1" applyAlignment="1">
      <alignment horizontal="center"/>
    </xf>
    <xf numFmtId="167" fontId="25" fillId="25" borderId="0" xfId="53" applyNumberFormat="1" applyFont="1" applyFill="1" applyAlignment="1">
      <alignment horizontal="center"/>
    </xf>
    <xf numFmtId="176" fontId="6" fillId="24" borderId="0" xfId="0" applyNumberFormat="1" applyFont="1" applyFill="1"/>
    <xf numFmtId="0" fontId="6" fillId="24" borderId="0" xfId="0" applyFont="1" applyFill="1"/>
    <xf numFmtId="3" fontId="5" fillId="24" borderId="0" xfId="53" applyNumberFormat="1" applyFont="1" applyFill="1"/>
    <xf numFmtId="166" fontId="5" fillId="24" borderId="0" xfId="40" applyFont="1" applyFill="1"/>
    <xf numFmtId="166" fontId="6" fillId="24" borderId="0" xfId="40" applyFont="1" applyFill="1"/>
    <xf numFmtId="165" fontId="5" fillId="24" borderId="0" xfId="0" applyNumberFormat="1" applyFont="1" applyFill="1"/>
    <xf numFmtId="3" fontId="5" fillId="0" borderId="0" xfId="0" applyNumberFormat="1" applyFont="1" applyFill="1"/>
    <xf numFmtId="167" fontId="5" fillId="24" borderId="0" xfId="0" applyNumberFormat="1" applyFont="1" applyFill="1"/>
    <xf numFmtId="167" fontId="25" fillId="0" borderId="0" xfId="53" applyNumberFormat="1" applyFont="1" applyFill="1" applyAlignment="1">
      <alignment horizontal="center"/>
    </xf>
    <xf numFmtId="167" fontId="5" fillId="0" borderId="0" xfId="53" applyNumberFormat="1" applyFont="1" applyFill="1"/>
    <xf numFmtId="0" fontId="5" fillId="0" borderId="9" xfId="50" applyFont="1" applyFill="1" applyBorder="1"/>
    <xf numFmtId="0" fontId="5" fillId="0" borderId="0" xfId="0" applyFont="1" applyFill="1"/>
    <xf numFmtId="167" fontId="25" fillId="0" borderId="0" xfId="53" applyNumberFormat="1" applyFont="1" applyFill="1" applyBorder="1" applyAlignment="1">
      <alignment horizontal="center"/>
    </xf>
    <xf numFmtId="167" fontId="5" fillId="0" borderId="0" xfId="53" applyNumberFormat="1" applyFont="1" applyFill="1" applyBorder="1"/>
    <xf numFmtId="167" fontId="6" fillId="0" borderId="0" xfId="53" applyNumberFormat="1" applyFont="1" applyFill="1" applyBorder="1"/>
    <xf numFmtId="176" fontId="5" fillId="0" borderId="0" xfId="0" applyNumberFormat="1" applyFont="1" applyFill="1" applyBorder="1"/>
    <xf numFmtId="3" fontId="24" fillId="0" borderId="0" xfId="0" applyNumberFormat="1" applyFont="1" applyFill="1"/>
    <xf numFmtId="167" fontId="6" fillId="0" borderId="0" xfId="0" applyNumberFormat="1" applyFont="1" applyFill="1"/>
    <xf numFmtId="0" fontId="6" fillId="0" borderId="10" xfId="50" applyFont="1" applyFill="1" applyBorder="1"/>
    <xf numFmtId="3" fontId="6" fillId="0" borderId="11" xfId="0" applyNumberFormat="1" applyFont="1" applyFill="1" applyBorder="1"/>
    <xf numFmtId="167" fontId="6" fillId="0" borderId="11" xfId="45" applyNumberFormat="1" applyFont="1" applyFill="1" applyBorder="1"/>
    <xf numFmtId="0" fontId="6" fillId="0" borderId="9" xfId="50" applyFont="1" applyFill="1" applyBorder="1"/>
    <xf numFmtId="3" fontId="6" fillId="0" borderId="0" xfId="0" applyNumberFormat="1" applyFont="1" applyFill="1"/>
    <xf numFmtId="0" fontId="6" fillId="0" borderId="12" xfId="50" applyFont="1" applyFill="1" applyBorder="1"/>
    <xf numFmtId="3" fontId="6" fillId="0" borderId="13" xfId="0" applyNumberFormat="1" applyFont="1" applyFill="1" applyBorder="1"/>
    <xf numFmtId="4" fontId="5" fillId="0" borderId="0" xfId="0" applyNumberFormat="1" applyFont="1" applyFill="1"/>
    <xf numFmtId="176" fontId="5" fillId="0" borderId="0" xfId="0" applyNumberFormat="1" applyFont="1" applyFill="1"/>
    <xf numFmtId="0" fontId="6" fillId="0" borderId="0" xfId="0" applyFont="1" applyFill="1"/>
    <xf numFmtId="0" fontId="6" fillId="0" borderId="11" xfId="51" applyFont="1" applyFill="1" applyBorder="1"/>
    <xf numFmtId="168" fontId="6" fillId="0" borderId="11" xfId="45" applyNumberFormat="1" applyFont="1" applyFill="1" applyBorder="1"/>
    <xf numFmtId="0" fontId="24" fillId="0" borderId="0" xfId="0" applyFont="1" applyFill="1"/>
    <xf numFmtId="0" fontId="6" fillId="0" borderId="14" xfId="50" applyFont="1" applyFill="1" applyBorder="1"/>
    <xf numFmtId="3" fontId="6" fillId="0" borderId="15" xfId="0" applyNumberFormat="1" applyFont="1" applyFill="1" applyBorder="1"/>
    <xf numFmtId="0" fontId="25" fillId="0" borderId="0" xfId="0" applyFont="1" applyFill="1" applyAlignment="1">
      <alignment horizontal="left"/>
    </xf>
    <xf numFmtId="167" fontId="6" fillId="0" borderId="0" xfId="53" applyNumberFormat="1" applyFont="1" applyFill="1"/>
    <xf numFmtId="3" fontId="6" fillId="0" borderId="16" xfId="0" applyNumberFormat="1" applyFont="1" applyFill="1" applyBorder="1"/>
    <xf numFmtId="167" fontId="6" fillId="0" borderId="16" xfId="53" applyNumberFormat="1" applyFont="1" applyFill="1" applyBorder="1"/>
    <xf numFmtId="167" fontId="6" fillId="0" borderId="11" xfId="53" applyNumberFormat="1" applyFont="1" applyFill="1" applyBorder="1"/>
    <xf numFmtId="167" fontId="5" fillId="0" borderId="11" xfId="53" applyNumberFormat="1" applyFont="1" applyFill="1" applyBorder="1"/>
    <xf numFmtId="167" fontId="6" fillId="0" borderId="13" xfId="53" applyNumberFormat="1" applyFont="1" applyFill="1" applyBorder="1"/>
    <xf numFmtId="177" fontId="6" fillId="0" borderId="11" xfId="45" applyNumberFormat="1" applyFont="1" applyFill="1" applyBorder="1"/>
    <xf numFmtId="167" fontId="6" fillId="0" borderId="15" xfId="53" applyNumberFormat="1" applyFont="1" applyFill="1" applyBorder="1"/>
    <xf numFmtId="3" fontId="6" fillId="0" borderId="0" xfId="53" applyNumberFormat="1" applyFont="1" applyFill="1"/>
    <xf numFmtId="3" fontId="5" fillId="0" borderId="0" xfId="53" applyNumberFormat="1" applyFont="1" applyFill="1"/>
    <xf numFmtId="167" fontId="5" fillId="0" borderId="0" xfId="53" applyNumberFormat="1" applyFont="1" applyFill="1" applyAlignment="1">
      <alignment horizontal="right"/>
    </xf>
    <xf numFmtId="166" fontId="5" fillId="0" borderId="0" xfId="40" applyFont="1" applyFill="1"/>
    <xf numFmtId="167" fontId="5" fillId="0" borderId="0" xfId="0" applyNumberFormat="1" applyFont="1" applyFill="1"/>
    <xf numFmtId="0" fontId="5" fillId="0" borderId="17" xfId="50" applyFont="1" applyFill="1" applyBorder="1"/>
    <xf numFmtId="3" fontId="5" fillId="0" borderId="16" xfId="0" applyNumberFormat="1" applyFont="1" applyFill="1" applyBorder="1"/>
    <xf numFmtId="167" fontId="5" fillId="0" borderId="16" xfId="0" applyNumberFormat="1" applyFont="1" applyFill="1" applyBorder="1"/>
    <xf numFmtId="0" fontId="5" fillId="0" borderId="10" xfId="50" applyFont="1" applyFill="1" applyBorder="1"/>
    <xf numFmtId="3" fontId="5" fillId="0" borderId="11" xfId="0" applyNumberFormat="1" applyFont="1" applyFill="1" applyBorder="1"/>
    <xf numFmtId="3" fontId="6" fillId="24" borderId="0" xfId="0" applyNumberFormat="1" applyFont="1" applyFill="1"/>
    <xf numFmtId="0" fontId="5" fillId="24" borderId="0" xfId="0" applyFont="1" applyFill="1" applyBorder="1"/>
    <xf numFmtId="3" fontId="6" fillId="24" borderId="0" xfId="53" applyNumberFormat="1" applyFont="1" applyFill="1"/>
    <xf numFmtId="3" fontId="6" fillId="24" borderId="16" xfId="0" applyNumberFormat="1" applyFont="1" applyFill="1" applyBorder="1"/>
    <xf numFmtId="3" fontId="6" fillId="24" borderId="11" xfId="0" applyNumberFormat="1" applyFont="1" applyFill="1" applyBorder="1"/>
    <xf numFmtId="3" fontId="6" fillId="24" borderId="13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3" fontId="6" fillId="0" borderId="0" xfId="0" applyNumberFormat="1" applyFont="1" applyFill="1" applyBorder="1"/>
    <xf numFmtId="0" fontId="25" fillId="0" borderId="0" xfId="0" applyFont="1" applyFill="1" applyBorder="1" applyAlignment="1">
      <alignment horizontal="center"/>
    </xf>
    <xf numFmtId="0" fontId="27" fillId="0" borderId="0" xfId="50" applyFont="1" applyFill="1" applyBorder="1"/>
    <xf numFmtId="0" fontId="26" fillId="0" borderId="0" xfId="50" applyFont="1" applyFill="1" applyBorder="1"/>
    <xf numFmtId="3" fontId="5" fillId="26" borderId="0" xfId="0" applyNumberFormat="1" applyFont="1" applyFill="1"/>
    <xf numFmtId="0" fontId="5" fillId="27" borderId="0" xfId="0" applyFont="1" applyFill="1"/>
    <xf numFmtId="3" fontId="5" fillId="27" borderId="0" xfId="0" applyNumberFormat="1" applyFont="1" applyFill="1"/>
    <xf numFmtId="167" fontId="5" fillId="27" borderId="0" xfId="53" applyNumberFormat="1" applyFont="1" applyFill="1"/>
    <xf numFmtId="176" fontId="5" fillId="27" borderId="0" xfId="0" applyNumberFormat="1" applyFont="1" applyFill="1"/>
    <xf numFmtId="166" fontId="5" fillId="27" borderId="0" xfId="40" applyFont="1" applyFill="1"/>
    <xf numFmtId="0" fontId="37" fillId="27" borderId="0" xfId="49" applyFont="1" applyFill="1"/>
    <xf numFmtId="0" fontId="38" fillId="27" borderId="0" xfId="49" applyFont="1" applyFill="1" applyBorder="1"/>
    <xf numFmtId="3" fontId="39" fillId="27" borderId="0" xfId="0" applyNumberFormat="1" applyFont="1" applyFill="1"/>
    <xf numFmtId="3" fontId="40" fillId="27" borderId="0" xfId="0" applyNumberFormat="1" applyFont="1" applyFill="1"/>
    <xf numFmtId="167" fontId="40" fillId="27" borderId="0" xfId="53" applyNumberFormat="1" applyFont="1" applyFill="1"/>
    <xf numFmtId="176" fontId="40" fillId="27" borderId="0" xfId="0" applyNumberFormat="1" applyFont="1" applyFill="1" applyBorder="1"/>
    <xf numFmtId="0" fontId="40" fillId="27" borderId="0" xfId="0" applyFont="1" applyFill="1" applyBorder="1"/>
    <xf numFmtId="0" fontId="40" fillId="27" borderId="0" xfId="0" applyFont="1" applyFill="1"/>
    <xf numFmtId="0" fontId="39" fillId="27" borderId="0" xfId="0" applyFont="1" applyFill="1" applyAlignment="1">
      <alignment horizontal="center"/>
    </xf>
    <xf numFmtId="167" fontId="39" fillId="27" borderId="0" xfId="53" applyNumberFormat="1" applyFont="1" applyFill="1" applyAlignment="1">
      <alignment horizontal="center"/>
    </xf>
    <xf numFmtId="0" fontId="40" fillId="27" borderId="9" xfId="50" applyFont="1" applyFill="1" applyBorder="1"/>
    <xf numFmtId="166" fontId="40" fillId="27" borderId="0" xfId="40" applyFont="1" applyFill="1"/>
    <xf numFmtId="0" fontId="39" fillId="27" borderId="10" xfId="50" applyFont="1" applyFill="1" applyBorder="1"/>
    <xf numFmtId="3" fontId="39" fillId="27" borderId="11" xfId="0" applyNumberFormat="1" applyFont="1" applyFill="1" applyBorder="1"/>
    <xf numFmtId="167" fontId="40" fillId="27" borderId="11" xfId="53" applyNumberFormat="1" applyFont="1" applyFill="1" applyBorder="1"/>
    <xf numFmtId="0" fontId="39" fillId="27" borderId="9" xfId="50" applyFont="1" applyFill="1" applyBorder="1"/>
    <xf numFmtId="167" fontId="39" fillId="27" borderId="0" xfId="53" applyNumberFormat="1" applyFont="1" applyFill="1"/>
    <xf numFmtId="0" fontId="39" fillId="27" borderId="0" xfId="0" applyFont="1" applyFill="1"/>
    <xf numFmtId="0" fontId="39" fillId="27" borderId="12" xfId="50" applyFont="1" applyFill="1" applyBorder="1"/>
    <xf numFmtId="3" fontId="39" fillId="27" borderId="13" xfId="0" applyNumberFormat="1" applyFont="1" applyFill="1" applyBorder="1"/>
    <xf numFmtId="167" fontId="39" fillId="27" borderId="13" xfId="53" applyNumberFormat="1" applyFont="1" applyFill="1" applyBorder="1"/>
    <xf numFmtId="167" fontId="39" fillId="27" borderId="11" xfId="53" applyNumberFormat="1" applyFont="1" applyFill="1" applyBorder="1"/>
    <xf numFmtId="4" fontId="40" fillId="27" borderId="0" xfId="0" applyNumberFormat="1" applyFont="1" applyFill="1"/>
    <xf numFmtId="176" fontId="40" fillId="27" borderId="0" xfId="0" applyNumberFormat="1" applyFont="1" applyFill="1"/>
    <xf numFmtId="0" fontId="39" fillId="27" borderId="11" xfId="51" applyFont="1" applyFill="1" applyBorder="1"/>
    <xf numFmtId="168" fontId="39" fillId="27" borderId="11" xfId="45" applyNumberFormat="1" applyFont="1" applyFill="1" applyBorder="1"/>
    <xf numFmtId="0" fontId="39" fillId="27" borderId="0" xfId="0" applyFont="1" applyFill="1" applyAlignment="1">
      <alignment horizontal="left"/>
    </xf>
    <xf numFmtId="167" fontId="39" fillId="27" borderId="0" xfId="53" applyNumberFormat="1" applyFont="1" applyFill="1" applyBorder="1" applyAlignment="1">
      <alignment horizontal="center"/>
    </xf>
    <xf numFmtId="0" fontId="41" fillId="27" borderId="0" xfId="50" applyFont="1" applyFill="1" applyBorder="1"/>
    <xf numFmtId="167" fontId="40" fillId="27" borderId="0" xfId="53" applyNumberFormat="1" applyFont="1" applyFill="1" applyBorder="1"/>
    <xf numFmtId="0" fontId="42" fillId="27" borderId="0" xfId="50" applyFont="1" applyFill="1" applyBorder="1"/>
    <xf numFmtId="167" fontId="39" fillId="27" borderId="0" xfId="53" applyNumberFormat="1" applyFont="1" applyFill="1" applyBorder="1"/>
    <xf numFmtId="3" fontId="39" fillId="27" borderId="0" xfId="53" applyNumberFormat="1" applyFont="1" applyFill="1"/>
    <xf numFmtId="176" fontId="39" fillId="27" borderId="0" xfId="0" applyNumberFormat="1" applyFont="1" applyFill="1"/>
    <xf numFmtId="3" fontId="40" fillId="27" borderId="0" xfId="53" applyNumberFormat="1" applyFont="1" applyFill="1"/>
    <xf numFmtId="3" fontId="39" fillId="27" borderId="16" xfId="0" applyNumberFormat="1" applyFont="1" applyFill="1" applyBorder="1"/>
    <xf numFmtId="167" fontId="39" fillId="27" borderId="16" xfId="53" applyNumberFormat="1" applyFont="1" applyFill="1" applyBorder="1"/>
    <xf numFmtId="0" fontId="40" fillId="27" borderId="0" xfId="50" applyFont="1" applyFill="1" applyBorder="1"/>
    <xf numFmtId="0" fontId="43" fillId="27" borderId="0" xfId="49" applyFont="1" applyFill="1" applyAlignment="1">
      <alignment horizontal="left"/>
    </xf>
    <xf numFmtId="3" fontId="44" fillId="28" borderId="0" xfId="0" applyNumberFormat="1" applyFont="1" applyFill="1"/>
    <xf numFmtId="3" fontId="45" fillId="28" borderId="11" xfId="0" applyNumberFormat="1" applyFont="1" applyFill="1" applyBorder="1"/>
    <xf numFmtId="3" fontId="45" fillId="28" borderId="0" xfId="0" applyNumberFormat="1" applyFont="1" applyFill="1"/>
    <xf numFmtId="3" fontId="45" fillId="28" borderId="13" xfId="0" applyNumberFormat="1" applyFont="1" applyFill="1" applyBorder="1"/>
    <xf numFmtId="3" fontId="46" fillId="28" borderId="0" xfId="0" applyNumberFormat="1" applyFont="1" applyFill="1"/>
    <xf numFmtId="3" fontId="47" fillId="28" borderId="11" xfId="0" applyNumberFormat="1" applyFont="1" applyFill="1" applyBorder="1"/>
    <xf numFmtId="3" fontId="47" fillId="28" borderId="0" xfId="0" applyNumberFormat="1" applyFont="1" applyFill="1"/>
    <xf numFmtId="3" fontId="47" fillId="28" borderId="13" xfId="0" applyNumberFormat="1" applyFont="1" applyFill="1" applyBorder="1"/>
    <xf numFmtId="0" fontId="39" fillId="27" borderId="0" xfId="0" applyFont="1" applyFill="1" applyAlignment="1">
      <alignment horizontal="right"/>
    </xf>
    <xf numFmtId="0" fontId="47" fillId="28" borderId="0" xfId="0" applyFont="1" applyFill="1" applyAlignment="1">
      <alignment horizontal="right"/>
    </xf>
    <xf numFmtId="0" fontId="45" fillId="28" borderId="0" xfId="0" applyFont="1" applyFill="1" applyAlignment="1">
      <alignment horizontal="right"/>
    </xf>
    <xf numFmtId="167" fontId="39" fillId="29" borderId="0" xfId="53" applyNumberFormat="1" applyFont="1" applyFill="1" applyAlignment="1">
      <alignment horizontal="right"/>
    </xf>
    <xf numFmtId="167" fontId="40" fillId="29" borderId="0" xfId="53" applyNumberFormat="1" applyFont="1" applyFill="1"/>
    <xf numFmtId="167" fontId="39" fillId="29" borderId="11" xfId="53" applyNumberFormat="1" applyFont="1" applyFill="1" applyBorder="1"/>
    <xf numFmtId="167" fontId="39" fillId="29" borderId="13" xfId="53" applyNumberFormat="1" applyFont="1" applyFill="1" applyBorder="1"/>
    <xf numFmtId="3" fontId="39" fillId="28" borderId="0" xfId="53" applyNumberFormat="1" applyFont="1" applyFill="1"/>
    <xf numFmtId="3" fontId="40" fillId="28" borderId="0" xfId="53" applyNumberFormat="1" applyFont="1" applyFill="1"/>
    <xf numFmtId="3" fontId="39" fillId="28" borderId="0" xfId="0" applyNumberFormat="1" applyFont="1" applyFill="1"/>
    <xf numFmtId="3" fontId="40" fillId="28" borderId="0" xfId="0" applyNumberFormat="1" applyFont="1" applyFill="1"/>
    <xf numFmtId="3" fontId="39" fillId="28" borderId="16" xfId="0" applyNumberFormat="1" applyFont="1" applyFill="1" applyBorder="1"/>
    <xf numFmtId="3" fontId="39" fillId="28" borderId="11" xfId="0" applyNumberFormat="1" applyFont="1" applyFill="1" applyBorder="1"/>
    <xf numFmtId="167" fontId="39" fillId="29" borderId="0" xfId="53" applyNumberFormat="1" applyFont="1" applyFill="1"/>
    <xf numFmtId="167" fontId="39" fillId="29" borderId="16" xfId="53" applyNumberFormat="1" applyFont="1" applyFill="1" applyBorder="1"/>
    <xf numFmtId="10" fontId="39" fillId="29" borderId="11" xfId="53" applyNumberFormat="1" applyFont="1" applyFill="1" applyBorder="1"/>
    <xf numFmtId="3" fontId="47" fillId="28" borderId="0" xfId="53" applyNumberFormat="1" applyFont="1" applyFill="1"/>
    <xf numFmtId="3" fontId="46" fillId="28" borderId="0" xfId="53" applyNumberFormat="1" applyFont="1" applyFill="1"/>
    <xf numFmtId="3" fontId="47" fillId="28" borderId="16" xfId="0" applyNumberFormat="1" applyFont="1" applyFill="1" applyBorder="1"/>
    <xf numFmtId="0" fontId="48" fillId="27" borderId="15" xfId="0" applyFont="1" applyFill="1" applyBorder="1" applyAlignment="1">
      <alignment horizontal="center"/>
    </xf>
    <xf numFmtId="0" fontId="48" fillId="28" borderId="15" xfId="0" applyFont="1" applyFill="1" applyBorder="1" applyAlignment="1">
      <alignment horizontal="center"/>
    </xf>
    <xf numFmtId="0" fontId="48" fillId="29" borderId="15" xfId="0" applyFont="1" applyFill="1" applyBorder="1" applyAlignment="1">
      <alignment horizontal="center"/>
    </xf>
    <xf numFmtId="167" fontId="48" fillId="29" borderId="15" xfId="53" applyNumberFormat="1" applyFont="1" applyFill="1" applyBorder="1" applyAlignment="1">
      <alignment horizontal="center"/>
    </xf>
    <xf numFmtId="3" fontId="48" fillId="27" borderId="18" xfId="0" applyNumberFormat="1" applyFont="1" applyFill="1" applyBorder="1"/>
    <xf numFmtId="3" fontId="49" fillId="27" borderId="18" xfId="0" applyNumberFormat="1" applyFont="1" applyFill="1" applyBorder="1"/>
    <xf numFmtId="3" fontId="48" fillId="27" borderId="19" xfId="0" applyNumberFormat="1" applyFont="1" applyFill="1" applyBorder="1"/>
    <xf numFmtId="3" fontId="48" fillId="27" borderId="20" xfId="0" applyNumberFormat="1" applyFont="1" applyFill="1" applyBorder="1"/>
    <xf numFmtId="0" fontId="48" fillId="27" borderId="18" xfId="0" applyFont="1" applyFill="1" applyBorder="1" applyAlignment="1">
      <alignment horizontal="center"/>
    </xf>
    <xf numFmtId="0" fontId="49" fillId="27" borderId="21" xfId="50" applyFont="1" applyFill="1" applyBorder="1"/>
    <xf numFmtId="0" fontId="48" fillId="27" borderId="22" xfId="50" applyFont="1" applyFill="1" applyBorder="1"/>
    <xf numFmtId="3" fontId="48" fillId="27" borderId="23" xfId="0" applyNumberFormat="1" applyFont="1" applyFill="1" applyBorder="1"/>
    <xf numFmtId="0" fontId="39" fillId="27" borderId="15" xfId="0" applyFont="1" applyFill="1" applyBorder="1" applyAlignment="1">
      <alignment horizontal="center"/>
    </xf>
    <xf numFmtId="0" fontId="39" fillId="28" borderId="15" xfId="0" applyFont="1" applyFill="1" applyBorder="1" applyAlignment="1">
      <alignment horizontal="center"/>
    </xf>
    <xf numFmtId="167" fontId="39" fillId="29" borderId="15" xfId="53" applyNumberFormat="1" applyFont="1" applyFill="1" applyBorder="1" applyAlignment="1">
      <alignment horizontal="center"/>
    </xf>
    <xf numFmtId="167" fontId="40" fillId="29" borderId="11" xfId="53" applyNumberFormat="1" applyFont="1" applyFill="1" applyBorder="1"/>
    <xf numFmtId="0" fontId="47" fillId="28" borderId="0" xfId="0" applyFont="1" applyFill="1" applyAlignment="1">
      <alignment horizontal="center"/>
    </xf>
    <xf numFmtId="0" fontId="39" fillId="28" borderId="0" xfId="0" applyFont="1" applyFill="1" applyAlignment="1">
      <alignment horizontal="center"/>
    </xf>
    <xf numFmtId="167" fontId="39" fillId="29" borderId="0" xfId="53" applyNumberFormat="1" applyFont="1" applyFill="1" applyAlignment="1">
      <alignment horizontal="center"/>
    </xf>
    <xf numFmtId="3" fontId="39" fillId="28" borderId="13" xfId="0" applyNumberFormat="1" applyFont="1" applyFill="1" applyBorder="1"/>
    <xf numFmtId="4" fontId="46" fillId="28" borderId="0" xfId="0" applyNumberFormat="1" applyFont="1" applyFill="1"/>
    <xf numFmtId="4" fontId="40" fillId="28" borderId="0" xfId="0" applyNumberFormat="1" applyFont="1" applyFill="1"/>
    <xf numFmtId="168" fontId="39" fillId="28" borderId="11" xfId="45" applyNumberFormat="1" applyFont="1" applyFill="1" applyBorder="1"/>
    <xf numFmtId="0" fontId="39" fillId="29" borderId="15" xfId="0" applyFont="1" applyFill="1" applyBorder="1" applyAlignment="1">
      <alignment horizontal="center"/>
    </xf>
    <xf numFmtId="168" fontId="47" fillId="28" borderId="11" xfId="45" applyNumberFormat="1" applyFont="1" applyFill="1" applyBorder="1"/>
    <xf numFmtId="9" fontId="39" fillId="27" borderId="0" xfId="53" applyFont="1" applyFill="1"/>
    <xf numFmtId="179" fontId="40" fillId="27" borderId="0" xfId="53" applyNumberFormat="1" applyFont="1" applyFill="1" applyBorder="1"/>
    <xf numFmtId="3" fontId="44" fillId="27" borderId="0" xfId="0" applyNumberFormat="1" applyFont="1" applyFill="1"/>
    <xf numFmtId="3" fontId="45" fillId="27" borderId="11" xfId="0" applyNumberFormat="1" applyFont="1" applyFill="1" applyBorder="1"/>
    <xf numFmtId="0" fontId="45" fillId="27" borderId="0" xfId="0" applyFont="1" applyFill="1" applyAlignment="1">
      <alignment horizontal="right"/>
    </xf>
    <xf numFmtId="3" fontId="45" fillId="27" borderId="0" xfId="0" applyNumberFormat="1" applyFont="1" applyFill="1"/>
    <xf numFmtId="3" fontId="45" fillId="27" borderId="13" xfId="0" applyNumberFormat="1" applyFont="1" applyFill="1" applyBorder="1"/>
    <xf numFmtId="0" fontId="50" fillId="28" borderId="15" xfId="0" applyFont="1" applyFill="1" applyBorder="1" applyAlignment="1">
      <alignment horizontal="center"/>
    </xf>
    <xf numFmtId="3" fontId="51" fillId="28" borderId="0" xfId="0" applyNumberFormat="1" applyFont="1" applyFill="1"/>
    <xf numFmtId="3" fontId="50" fillId="28" borderId="11" xfId="0" applyNumberFormat="1" applyFont="1" applyFill="1" applyBorder="1"/>
    <xf numFmtId="0" fontId="50" fillId="28" borderId="0" xfId="0" applyFont="1" applyFill="1" applyAlignment="1">
      <alignment horizontal="right"/>
    </xf>
    <xf numFmtId="3" fontId="50" fillId="28" borderId="0" xfId="0" applyNumberFormat="1" applyFont="1" applyFill="1"/>
    <xf numFmtId="3" fontId="50" fillId="28" borderId="13" xfId="0" applyNumberFormat="1" applyFont="1" applyFill="1" applyBorder="1"/>
    <xf numFmtId="168" fontId="50" fillId="28" borderId="11" xfId="45" applyNumberFormat="1" applyFont="1" applyFill="1" applyBorder="1"/>
    <xf numFmtId="0" fontId="50" fillId="29" borderId="15" xfId="0" applyFont="1" applyFill="1" applyBorder="1" applyAlignment="1">
      <alignment horizontal="center"/>
    </xf>
    <xf numFmtId="167" fontId="50" fillId="29" borderId="15" xfId="53" applyNumberFormat="1" applyFont="1" applyFill="1" applyBorder="1" applyAlignment="1">
      <alignment horizontal="center"/>
    </xf>
    <xf numFmtId="3" fontId="50" fillId="28" borderId="0" xfId="53" applyNumberFormat="1" applyFont="1" applyFill="1"/>
    <xf numFmtId="167" fontId="50" fillId="29" borderId="0" xfId="53" applyNumberFormat="1" applyFont="1" applyFill="1"/>
    <xf numFmtId="167" fontId="51" fillId="29" borderId="0" xfId="53" applyNumberFormat="1" applyFont="1" applyFill="1"/>
    <xf numFmtId="3" fontId="51" fillId="28" borderId="0" xfId="53" applyNumberFormat="1" applyFont="1" applyFill="1"/>
    <xf numFmtId="167" fontId="51" fillId="29" borderId="24" xfId="53" applyNumberFormat="1" applyFont="1" applyFill="1" applyBorder="1"/>
    <xf numFmtId="3" fontId="50" fillId="28" borderId="16" xfId="0" applyNumberFormat="1" applyFont="1" applyFill="1" applyBorder="1"/>
    <xf numFmtId="167" fontId="50" fillId="29" borderId="16" xfId="53" applyNumberFormat="1" applyFont="1" applyFill="1" applyBorder="1"/>
    <xf numFmtId="167" fontId="51" fillId="29" borderId="11" xfId="53" applyNumberFormat="1" applyFont="1" applyFill="1" applyBorder="1"/>
    <xf numFmtId="167" fontId="50" fillId="29" borderId="11" xfId="53" applyNumberFormat="1" applyFont="1" applyFill="1" applyBorder="1"/>
    <xf numFmtId="9" fontId="40" fillId="27" borderId="0" xfId="53" applyFont="1" applyFill="1"/>
    <xf numFmtId="167" fontId="51" fillId="29" borderId="0" xfId="53" applyNumberFormat="1" applyFont="1" applyFill="1" applyAlignment="1">
      <alignment horizontal="right"/>
    </xf>
    <xf numFmtId="0" fontId="52" fillId="27" borderId="0" xfId="0" applyFont="1" applyFill="1"/>
    <xf numFmtId="167" fontId="40" fillId="29" borderId="0" xfId="53" applyNumberFormat="1" applyFont="1" applyFill="1" applyAlignment="1">
      <alignment horizontal="right"/>
    </xf>
    <xf numFmtId="0" fontId="53" fillId="27" borderId="15" xfId="0" applyFont="1" applyFill="1" applyBorder="1" applyAlignment="1">
      <alignment horizontal="center"/>
    </xf>
    <xf numFmtId="3" fontId="54" fillId="27" borderId="0" xfId="0" applyNumberFormat="1" applyFont="1" applyFill="1"/>
    <xf numFmtId="3" fontId="53" fillId="27" borderId="11" xfId="0" applyNumberFormat="1" applyFont="1" applyFill="1" applyBorder="1"/>
    <xf numFmtId="0" fontId="53" fillId="27" borderId="0" xfId="0" applyFont="1" applyFill="1" applyAlignment="1">
      <alignment horizontal="right"/>
    </xf>
    <xf numFmtId="3" fontId="53" fillId="27" borderId="0" xfId="0" applyNumberFormat="1" applyFont="1" applyFill="1"/>
    <xf numFmtId="3" fontId="53" fillId="27" borderId="13" xfId="0" applyNumberFormat="1" applyFont="1" applyFill="1" applyBorder="1"/>
    <xf numFmtId="3" fontId="53" fillId="27" borderId="0" xfId="53" applyNumberFormat="1" applyFont="1" applyFill="1"/>
    <xf numFmtId="3" fontId="54" fillId="27" borderId="0" xfId="53" applyNumberFormat="1" applyFont="1" applyFill="1"/>
    <xf numFmtId="3" fontId="53" fillId="27" borderId="16" xfId="0" applyNumberFormat="1" applyFont="1" applyFill="1" applyBorder="1"/>
    <xf numFmtId="0" fontId="53" fillId="27" borderId="0" xfId="0" applyFont="1" applyFill="1" applyAlignment="1">
      <alignment horizontal="center"/>
    </xf>
    <xf numFmtId="4" fontId="54" fillId="27" borderId="0" xfId="0" applyNumberFormat="1" applyFont="1" applyFill="1"/>
    <xf numFmtId="168" fontId="53" fillId="27" borderId="11" xfId="45" applyNumberFormat="1" applyFont="1" applyFill="1" applyBorder="1"/>
    <xf numFmtId="0" fontId="53" fillId="28" borderId="15" xfId="0" applyFont="1" applyFill="1" applyBorder="1" applyAlignment="1">
      <alignment horizontal="center"/>
    </xf>
    <xf numFmtId="3" fontId="53" fillId="28" borderId="0" xfId="0" applyNumberFormat="1" applyFont="1" applyFill="1"/>
    <xf numFmtId="3" fontId="54" fillId="28" borderId="0" xfId="0" applyNumberFormat="1" applyFont="1" applyFill="1"/>
    <xf numFmtId="168" fontId="53" fillId="28" borderId="11" xfId="45" applyNumberFormat="1" applyFont="1" applyFill="1" applyBorder="1"/>
    <xf numFmtId="0" fontId="55" fillId="28" borderId="15" xfId="0" applyFont="1" applyFill="1" applyBorder="1" applyAlignment="1">
      <alignment horizontal="center"/>
    </xf>
    <xf numFmtId="0" fontId="55" fillId="29" borderId="15" xfId="0" applyFont="1" applyFill="1" applyBorder="1" applyAlignment="1">
      <alignment horizontal="center"/>
    </xf>
    <xf numFmtId="167" fontId="55" fillId="29" borderId="15" xfId="53" applyNumberFormat="1" applyFont="1" applyFill="1" applyBorder="1" applyAlignment="1">
      <alignment horizontal="center"/>
    </xf>
    <xf numFmtId="3" fontId="55" fillId="28" borderId="0" xfId="53" applyNumberFormat="1" applyFont="1" applyFill="1"/>
    <xf numFmtId="167" fontId="55" fillId="29" borderId="0" xfId="53" applyNumberFormat="1" applyFont="1" applyFill="1"/>
    <xf numFmtId="167" fontId="56" fillId="29" borderId="0" xfId="53" applyNumberFormat="1" applyFont="1" applyFill="1"/>
    <xf numFmtId="3" fontId="56" fillId="28" borderId="0" xfId="53" applyNumberFormat="1" applyFont="1" applyFill="1"/>
    <xf numFmtId="3" fontId="55" fillId="28" borderId="0" xfId="0" applyNumberFormat="1" applyFont="1" applyFill="1"/>
    <xf numFmtId="3" fontId="56" fillId="28" borderId="0" xfId="0" applyNumberFormat="1" applyFont="1" applyFill="1"/>
    <xf numFmtId="3" fontId="55" fillId="28" borderId="16" xfId="0" applyNumberFormat="1" applyFont="1" applyFill="1" applyBorder="1"/>
    <xf numFmtId="167" fontId="55" fillId="29" borderId="16" xfId="53" applyNumberFormat="1" applyFont="1" applyFill="1" applyBorder="1"/>
    <xf numFmtId="3" fontId="55" fillId="28" borderId="11" xfId="0" applyNumberFormat="1" applyFont="1" applyFill="1" applyBorder="1"/>
    <xf numFmtId="167" fontId="55" fillId="29" borderId="11" xfId="53" applyNumberFormat="1" applyFont="1" applyFill="1" applyBorder="1"/>
    <xf numFmtId="167" fontId="56" fillId="29" borderId="0" xfId="53" applyNumberFormat="1" applyFont="1" applyFill="1" applyAlignment="1">
      <alignment horizontal="right"/>
    </xf>
    <xf numFmtId="0" fontId="57" fillId="27" borderId="0" xfId="47" applyFont="1" applyFill="1" applyAlignment="1">
      <alignment horizontal="left"/>
    </xf>
    <xf numFmtId="0" fontId="36" fillId="27" borderId="0" xfId="47" applyFont="1" applyFill="1"/>
    <xf numFmtId="0" fontId="58" fillId="27" borderId="0" xfId="47" applyFont="1" applyFill="1" applyAlignment="1">
      <alignment horizontal="left"/>
    </xf>
    <xf numFmtId="0" fontId="59" fillId="27" borderId="0" xfId="47" applyFont="1" applyFill="1" applyAlignment="1">
      <alignment horizontal="left"/>
    </xf>
    <xf numFmtId="0" fontId="36" fillId="0" borderId="0" xfId="47" applyFont="1"/>
    <xf numFmtId="17" fontId="60" fillId="0" borderId="25" xfId="47" applyNumberFormat="1" applyFont="1" applyBorder="1" applyAlignment="1">
      <alignment horizontal="right" vertical="center" wrapText="1"/>
    </xf>
    <xf numFmtId="0" fontId="61" fillId="30" borderId="26" xfId="47" applyFont="1" applyFill="1" applyBorder="1" applyAlignment="1">
      <alignment horizontal="left"/>
    </xf>
    <xf numFmtId="0" fontId="36" fillId="30" borderId="0" xfId="47" applyFont="1" applyFill="1"/>
    <xf numFmtId="0" fontId="36" fillId="30" borderId="26" xfId="47" applyFont="1" applyFill="1" applyBorder="1"/>
    <xf numFmtId="0" fontId="60" fillId="31" borderId="26" xfId="47" applyFont="1" applyFill="1" applyBorder="1" applyAlignment="1">
      <alignment horizontal="left"/>
    </xf>
    <xf numFmtId="0" fontId="62" fillId="31" borderId="0" xfId="47" applyFont="1" applyFill="1" applyAlignment="1">
      <alignment horizontal="center"/>
    </xf>
    <xf numFmtId="0" fontId="63" fillId="31" borderId="26" xfId="47" applyFont="1" applyFill="1" applyBorder="1" applyAlignment="1">
      <alignment horizontal="center"/>
    </xf>
    <xf numFmtId="0" fontId="62" fillId="0" borderId="27" xfId="47" applyFont="1" applyBorder="1" applyAlignment="1">
      <alignment horizontal="left"/>
    </xf>
    <xf numFmtId="0" fontId="62" fillId="0" borderId="28" xfId="47" applyFont="1" applyBorder="1" applyAlignment="1">
      <alignment horizontal="right"/>
    </xf>
    <xf numFmtId="3" fontId="62" fillId="0" borderId="28" xfId="47" applyNumberFormat="1" applyFont="1" applyBorder="1" applyAlignment="1">
      <alignment horizontal="right"/>
    </xf>
    <xf numFmtId="3" fontId="63" fillId="31" borderId="27" xfId="47" applyNumberFormat="1" applyFont="1" applyFill="1" applyBorder="1" applyAlignment="1">
      <alignment horizontal="right"/>
    </xf>
    <xf numFmtId="9" fontId="62" fillId="0" borderId="28" xfId="54" applyFont="1" applyBorder="1" applyAlignment="1">
      <alignment horizontal="right"/>
    </xf>
    <xf numFmtId="0" fontId="62" fillId="0" borderId="29" xfId="47" applyFont="1" applyBorder="1" applyAlignment="1">
      <alignment horizontal="left"/>
    </xf>
    <xf numFmtId="0" fontId="62" fillId="0" borderId="30" xfId="47" applyFont="1" applyBorder="1" applyAlignment="1">
      <alignment horizontal="right"/>
    </xf>
    <xf numFmtId="3" fontId="62" fillId="0" borderId="30" xfId="47" applyNumberFormat="1" applyFont="1" applyBorder="1" applyAlignment="1">
      <alignment horizontal="right"/>
    </xf>
    <xf numFmtId="3" fontId="63" fillId="31" borderId="29" xfId="47" applyNumberFormat="1" applyFont="1" applyFill="1" applyBorder="1" applyAlignment="1">
      <alignment horizontal="right"/>
    </xf>
    <xf numFmtId="0" fontId="61" fillId="0" borderId="29" xfId="47" applyFont="1" applyBorder="1" applyAlignment="1">
      <alignment horizontal="left"/>
    </xf>
    <xf numFmtId="3" fontId="61" fillId="0" borderId="30" xfId="47" applyNumberFormat="1" applyFont="1" applyBorder="1" applyAlignment="1">
      <alignment horizontal="right"/>
    </xf>
    <xf numFmtId="3" fontId="61" fillId="31" borderId="29" xfId="47" applyNumberFormat="1" applyFont="1" applyFill="1" applyBorder="1" applyAlignment="1">
      <alignment horizontal="right"/>
    </xf>
    <xf numFmtId="9" fontId="62" fillId="0" borderId="30" xfId="54" applyFont="1" applyBorder="1" applyAlignment="1">
      <alignment horizontal="right"/>
    </xf>
    <xf numFmtId="9" fontId="61" fillId="0" borderId="30" xfId="54" applyFont="1" applyBorder="1" applyAlignment="1">
      <alignment horizontal="right"/>
    </xf>
    <xf numFmtId="0" fontId="63" fillId="30" borderId="0" xfId="47" applyFont="1" applyFill="1" applyAlignment="1">
      <alignment horizontal="left"/>
    </xf>
    <xf numFmtId="0" fontId="63" fillId="30" borderId="26" xfId="47" applyFont="1" applyFill="1" applyBorder="1" applyAlignment="1">
      <alignment horizontal="left"/>
    </xf>
    <xf numFmtId="0" fontId="64" fillId="31" borderId="0" xfId="47" applyFont="1" applyFill="1" applyAlignment="1">
      <alignment horizontal="center"/>
    </xf>
    <xf numFmtId="0" fontId="63" fillId="31" borderId="27" xfId="47" applyFont="1" applyFill="1" applyBorder="1" applyAlignment="1">
      <alignment horizontal="right"/>
    </xf>
    <xf numFmtId="0" fontId="63" fillId="31" borderId="29" xfId="47" applyFont="1" applyFill="1" applyBorder="1" applyAlignment="1">
      <alignment horizontal="right"/>
    </xf>
    <xf numFmtId="0" fontId="62" fillId="0" borderId="29" xfId="47" applyFont="1" applyBorder="1" applyAlignment="1">
      <alignment horizontal="left" wrapText="1"/>
    </xf>
    <xf numFmtId="0" fontId="61" fillId="31" borderId="29" xfId="47" applyFont="1" applyFill="1" applyBorder="1" applyAlignment="1">
      <alignment horizontal="left"/>
    </xf>
    <xf numFmtId="3" fontId="61" fillId="31" borderId="30" xfId="47" applyNumberFormat="1" applyFont="1" applyFill="1" applyBorder="1" applyAlignment="1">
      <alignment horizontal="right"/>
    </xf>
    <xf numFmtId="9" fontId="61" fillId="31" borderId="30" xfId="54" applyFont="1" applyFill="1" applyBorder="1" applyAlignment="1">
      <alignment horizontal="right"/>
    </xf>
    <xf numFmtId="3" fontId="36" fillId="27" borderId="0" xfId="47" applyNumberFormat="1" applyFont="1" applyFill="1"/>
    <xf numFmtId="0" fontId="57" fillId="27" borderId="0" xfId="47" applyFont="1" applyFill="1" applyAlignment="1">
      <alignment horizontal="left" wrapText="1"/>
    </xf>
    <xf numFmtId="0" fontId="59" fillId="27" borderId="0" xfId="47" applyFont="1" applyFill="1" applyAlignment="1">
      <alignment horizontal="left" wrapText="1"/>
    </xf>
    <xf numFmtId="0" fontId="61" fillId="0" borderId="31" xfId="47" applyFont="1" applyBorder="1" applyAlignment="1">
      <alignment horizontal="left" wrapText="1"/>
    </xf>
    <xf numFmtId="0" fontId="63" fillId="31" borderId="31" xfId="47" applyFont="1" applyFill="1" applyBorder="1" applyAlignment="1">
      <alignment horizontal="right"/>
    </xf>
    <xf numFmtId="0" fontId="60" fillId="31" borderId="32" xfId="47" applyFont="1" applyFill="1" applyBorder="1" applyAlignment="1">
      <alignment horizontal="left" wrapText="1"/>
    </xf>
    <xf numFmtId="3" fontId="60" fillId="31" borderId="28" xfId="47" applyNumberFormat="1" applyFont="1" applyFill="1" applyBorder="1" applyAlignment="1">
      <alignment horizontal="right" wrapText="1"/>
    </xf>
    <xf numFmtId="167" fontId="60" fillId="31" borderId="28" xfId="54" applyNumberFormat="1" applyFont="1" applyFill="1" applyBorder="1" applyAlignment="1">
      <alignment horizontal="right" wrapText="1"/>
    </xf>
    <xf numFmtId="3" fontId="61" fillId="31" borderId="32" xfId="47" applyNumberFormat="1" applyFont="1" applyFill="1" applyBorder="1" applyAlignment="1">
      <alignment horizontal="right" wrapText="1"/>
    </xf>
    <xf numFmtId="0" fontId="62" fillId="0" borderId="32" xfId="47" applyFont="1" applyBorder="1" applyAlignment="1">
      <alignment horizontal="left" wrapText="1"/>
    </xf>
    <xf numFmtId="0" fontId="62" fillId="0" borderId="28" xfId="47" applyFont="1" applyBorder="1" applyAlignment="1">
      <alignment horizontal="right" wrapText="1"/>
    </xf>
    <xf numFmtId="3" fontId="62" fillId="0" borderId="28" xfId="47" applyNumberFormat="1" applyFont="1" applyBorder="1" applyAlignment="1">
      <alignment horizontal="right" wrapText="1"/>
    </xf>
    <xf numFmtId="167" fontId="62" fillId="0" borderId="28" xfId="54" applyNumberFormat="1" applyFont="1" applyBorder="1" applyAlignment="1">
      <alignment horizontal="right" wrapText="1"/>
    </xf>
    <xf numFmtId="3" fontId="63" fillId="31" borderId="32" xfId="47" applyNumberFormat="1" applyFont="1" applyFill="1" applyBorder="1" applyAlignment="1">
      <alignment horizontal="right" wrapText="1"/>
    </xf>
    <xf numFmtId="0" fontId="61" fillId="0" borderId="33" xfId="47" applyFont="1" applyBorder="1" applyAlignment="1">
      <alignment horizontal="left" wrapText="1"/>
    </xf>
    <xf numFmtId="3" fontId="61" fillId="0" borderId="30" xfId="47" applyNumberFormat="1" applyFont="1" applyBorder="1" applyAlignment="1">
      <alignment horizontal="right" wrapText="1"/>
    </xf>
    <xf numFmtId="167" fontId="61" fillId="0" borderId="30" xfId="54" applyNumberFormat="1" applyFont="1" applyBorder="1" applyAlignment="1">
      <alignment horizontal="right" wrapText="1"/>
    </xf>
    <xf numFmtId="3" fontId="61" fillId="31" borderId="33" xfId="47" applyNumberFormat="1" applyFont="1" applyFill="1" applyBorder="1" applyAlignment="1">
      <alignment horizontal="right" wrapText="1"/>
    </xf>
    <xf numFmtId="0" fontId="63" fillId="31" borderId="32" xfId="47" applyFont="1" applyFill="1" applyBorder="1" applyAlignment="1">
      <alignment horizontal="right" wrapText="1"/>
    </xf>
    <xf numFmtId="0" fontId="62" fillId="0" borderId="34" xfId="47" applyFont="1" applyBorder="1" applyAlignment="1">
      <alignment horizontal="left" wrapText="1"/>
    </xf>
    <xf numFmtId="3" fontId="62" fillId="0" borderId="35" xfId="47" applyNumberFormat="1" applyFont="1" applyBorder="1" applyAlignment="1">
      <alignment horizontal="right" wrapText="1"/>
    </xf>
    <xf numFmtId="167" fontId="62" fillId="0" borderId="35" xfId="54" applyNumberFormat="1" applyFont="1" applyBorder="1" applyAlignment="1">
      <alignment horizontal="right" wrapText="1"/>
    </xf>
    <xf numFmtId="3" fontId="63" fillId="31" borderId="34" xfId="47" applyNumberFormat="1" applyFont="1" applyFill="1" applyBorder="1" applyAlignment="1">
      <alignment horizontal="right" wrapText="1"/>
    </xf>
    <xf numFmtId="0" fontId="60" fillId="30" borderId="31" xfId="47" applyFont="1" applyFill="1" applyBorder="1" applyAlignment="1">
      <alignment horizontal="left" wrapText="1"/>
    </xf>
    <xf numFmtId="3" fontId="61" fillId="30" borderId="31" xfId="47" applyNumberFormat="1" applyFont="1" applyFill="1" applyBorder="1" applyAlignment="1">
      <alignment horizontal="right" wrapText="1"/>
    </xf>
    <xf numFmtId="167" fontId="61" fillId="30" borderId="0" xfId="54" applyNumberFormat="1" applyFont="1" applyFill="1" applyBorder="1" applyAlignment="1">
      <alignment horizontal="right" wrapText="1"/>
    </xf>
    <xf numFmtId="0" fontId="36" fillId="27" borderId="0" xfId="47" applyFont="1" applyFill="1" applyAlignment="1">
      <alignment wrapText="1"/>
    </xf>
    <xf numFmtId="0" fontId="65" fillId="27" borderId="0" xfId="47" applyFont="1" applyFill="1" applyAlignment="1">
      <alignment horizontal="right"/>
    </xf>
    <xf numFmtId="0" fontId="65" fillId="27" borderId="0" xfId="47" applyFont="1" applyFill="1" applyAlignment="1">
      <alignment horizontal="left"/>
    </xf>
    <xf numFmtId="167" fontId="65" fillId="27" borderId="0" xfId="47" applyNumberFormat="1" applyFont="1" applyFill="1" applyAlignment="1">
      <alignment horizontal="left"/>
    </xf>
    <xf numFmtId="0" fontId="66" fillId="27" borderId="0" xfId="47" applyFont="1" applyFill="1" applyAlignment="1">
      <alignment horizontal="right"/>
    </xf>
    <xf numFmtId="0" fontId="66" fillId="27" borderId="0" xfId="47" applyFont="1" applyFill="1" applyAlignment="1">
      <alignment horizontal="left"/>
    </xf>
    <xf numFmtId="0" fontId="60" fillId="27" borderId="0" xfId="47" applyFont="1" applyFill="1" applyAlignment="1">
      <alignment horizontal="left" wrapText="1"/>
    </xf>
    <xf numFmtId="0" fontId="62" fillId="27" borderId="0" xfId="47" applyFont="1" applyFill="1" applyAlignment="1">
      <alignment horizontal="right"/>
    </xf>
    <xf numFmtId="0" fontId="62" fillId="27" borderId="0" xfId="47" applyFont="1" applyFill="1" applyAlignment="1">
      <alignment horizontal="left"/>
    </xf>
    <xf numFmtId="167" fontId="62" fillId="27" borderId="0" xfId="47" applyNumberFormat="1" applyFont="1" applyFill="1" applyAlignment="1">
      <alignment horizontal="left"/>
    </xf>
    <xf numFmtId="0" fontId="63" fillId="27" borderId="0" xfId="47" applyFont="1" applyFill="1" applyAlignment="1">
      <alignment horizontal="right"/>
    </xf>
    <xf numFmtId="0" fontId="63" fillId="27" borderId="0" xfId="47" applyFont="1" applyFill="1" applyAlignment="1">
      <alignment horizontal="left"/>
    </xf>
    <xf numFmtId="0" fontId="62" fillId="0" borderId="27" xfId="47" applyFont="1" applyBorder="1" applyAlignment="1">
      <alignment horizontal="left" wrapText="1"/>
    </xf>
    <xf numFmtId="3" fontId="63" fillId="31" borderId="27" xfId="47" applyNumberFormat="1" applyFont="1" applyFill="1" applyBorder="1" applyAlignment="1">
      <alignment horizontal="right" wrapText="1"/>
    </xf>
    <xf numFmtId="0" fontId="62" fillId="0" borderId="36" xfId="47" applyFont="1" applyBorder="1" applyAlignment="1">
      <alignment horizontal="left" wrapText="1"/>
    </xf>
    <xf numFmtId="0" fontId="62" fillId="0" borderId="35" xfId="47" applyFont="1" applyBorder="1" applyAlignment="1">
      <alignment horizontal="right" wrapText="1"/>
    </xf>
    <xf numFmtId="0" fontId="63" fillId="31" borderId="36" xfId="47" applyFont="1" applyFill="1" applyBorder="1" applyAlignment="1">
      <alignment horizontal="right" wrapText="1"/>
    </xf>
    <xf numFmtId="0" fontId="61" fillId="0" borderId="29" xfId="47" applyFont="1" applyBorder="1" applyAlignment="1">
      <alignment horizontal="left" wrapText="1"/>
    </xf>
    <xf numFmtId="3" fontId="61" fillId="31" borderId="29" xfId="47" applyNumberFormat="1" applyFont="1" applyFill="1" applyBorder="1" applyAlignment="1">
      <alignment horizontal="right" wrapText="1"/>
    </xf>
    <xf numFmtId="3" fontId="60" fillId="30" borderId="0" xfId="47" applyNumberFormat="1" applyFont="1" applyFill="1" applyAlignment="1">
      <alignment horizontal="right" wrapText="1"/>
    </xf>
    <xf numFmtId="9" fontId="62" fillId="0" borderId="28" xfId="54" applyFont="1" applyBorder="1" applyAlignment="1">
      <alignment horizontal="right" wrapText="1"/>
    </xf>
    <xf numFmtId="9" fontId="62" fillId="0" borderId="35" xfId="54" applyFont="1" applyBorder="1" applyAlignment="1">
      <alignment horizontal="right" wrapText="1"/>
    </xf>
    <xf numFmtId="9" fontId="61" fillId="0" borderId="30" xfId="54" applyFont="1" applyBorder="1" applyAlignment="1">
      <alignment horizontal="right" wrapText="1"/>
    </xf>
    <xf numFmtId="9" fontId="60" fillId="30" borderId="0" xfId="54" applyFont="1" applyFill="1" applyAlignment="1">
      <alignment horizontal="right" wrapText="1"/>
    </xf>
    <xf numFmtId="167" fontId="60" fillId="30" borderId="0" xfId="54" applyNumberFormat="1" applyFont="1" applyFill="1" applyAlignment="1">
      <alignment horizontal="right" wrapText="1"/>
    </xf>
    <xf numFmtId="0" fontId="58" fillId="27" borderId="0" xfId="47" applyFont="1" applyFill="1" applyAlignment="1">
      <alignment horizontal="left"/>
    </xf>
    <xf numFmtId="0" fontId="58" fillId="27" borderId="0" xfId="47" applyFont="1" applyFill="1" applyAlignment="1">
      <alignment horizontal="left"/>
    </xf>
    <xf numFmtId="168" fontId="60" fillId="31" borderId="28" xfId="40" applyNumberFormat="1" applyFont="1" applyFill="1" applyBorder="1" applyAlignment="1">
      <alignment horizontal="right" wrapText="1"/>
    </xf>
    <xf numFmtId="168" fontId="62" fillId="0" borderId="28" xfId="40" applyNumberFormat="1" applyFont="1" applyBorder="1" applyAlignment="1">
      <alignment horizontal="right" wrapText="1"/>
    </xf>
    <xf numFmtId="168" fontId="61" fillId="0" borderId="30" xfId="40" applyNumberFormat="1" applyFont="1" applyBorder="1" applyAlignment="1">
      <alignment horizontal="right" wrapText="1"/>
    </xf>
    <xf numFmtId="168" fontId="62" fillId="0" borderId="35" xfId="40" applyNumberFormat="1" applyFont="1" applyBorder="1" applyAlignment="1">
      <alignment horizontal="right" wrapText="1"/>
    </xf>
    <xf numFmtId="168" fontId="61" fillId="30" borderId="31" xfId="40" applyNumberFormat="1" applyFont="1" applyFill="1" applyBorder="1" applyAlignment="1">
      <alignment horizontal="right" wrapText="1"/>
    </xf>
    <xf numFmtId="168" fontId="65" fillId="27" borderId="0" xfId="40" applyNumberFormat="1" applyFont="1" applyFill="1" applyAlignment="1">
      <alignment horizontal="left"/>
    </xf>
    <xf numFmtId="168" fontId="62" fillId="27" borderId="0" xfId="40" applyNumberFormat="1" applyFont="1" applyFill="1" applyAlignment="1">
      <alignment horizontal="left"/>
    </xf>
    <xf numFmtId="168" fontId="61" fillId="31" borderId="32" xfId="40" applyNumberFormat="1" applyFont="1" applyFill="1" applyBorder="1" applyAlignment="1">
      <alignment horizontal="right" wrapText="1"/>
    </xf>
    <xf numFmtId="168" fontId="63" fillId="31" borderId="32" xfId="40" applyNumberFormat="1" applyFont="1" applyFill="1" applyBorder="1" applyAlignment="1">
      <alignment horizontal="right" wrapText="1"/>
    </xf>
    <xf numFmtId="168" fontId="61" fillId="31" borderId="33" xfId="40" applyNumberFormat="1" applyFont="1" applyFill="1" applyBorder="1" applyAlignment="1">
      <alignment horizontal="right" wrapText="1"/>
    </xf>
    <xf numFmtId="168" fontId="63" fillId="31" borderId="34" xfId="40" applyNumberFormat="1" applyFont="1" applyFill="1" applyBorder="1" applyAlignment="1">
      <alignment horizontal="right" wrapText="1"/>
    </xf>
    <xf numFmtId="168" fontId="66" fillId="27" borderId="0" xfId="40" applyNumberFormat="1" applyFont="1" applyFill="1" applyAlignment="1">
      <alignment horizontal="left"/>
    </xf>
    <xf numFmtId="168" fontId="63" fillId="27" borderId="0" xfId="40" applyNumberFormat="1" applyFont="1" applyFill="1" applyAlignment="1">
      <alignment horizontal="left"/>
    </xf>
    <xf numFmtId="168" fontId="63" fillId="31" borderId="27" xfId="40" applyNumberFormat="1" applyFont="1" applyFill="1" applyBorder="1" applyAlignment="1">
      <alignment horizontal="right" wrapText="1"/>
    </xf>
    <xf numFmtId="168" fontId="63" fillId="31" borderId="36" xfId="40" applyNumberFormat="1" applyFont="1" applyFill="1" applyBorder="1" applyAlignment="1">
      <alignment horizontal="right" wrapText="1"/>
    </xf>
    <xf numFmtId="168" fontId="61" fillId="31" borderId="29" xfId="40" applyNumberFormat="1" applyFont="1" applyFill="1" applyBorder="1" applyAlignment="1">
      <alignment horizontal="right" wrapText="1"/>
    </xf>
    <xf numFmtId="0" fontId="58" fillId="27" borderId="0" xfId="47" applyFont="1" applyFill="1" applyAlignment="1">
      <alignment horizontal="left"/>
    </xf>
    <xf numFmtId="0" fontId="58" fillId="27" borderId="0" xfId="47" quotePrefix="1" applyFont="1" applyFill="1" applyAlignment="1">
      <alignment horizontal="left"/>
    </xf>
    <xf numFmtId="0" fontId="67" fillId="32" borderId="37" xfId="47" applyFont="1" applyFill="1" applyBorder="1" applyAlignment="1">
      <alignment horizontal="right" vertical="center" wrapText="1"/>
    </xf>
    <xf numFmtId="0" fontId="68" fillId="32" borderId="37" xfId="47" applyFont="1" applyFill="1" applyBorder="1" applyAlignment="1">
      <alignment horizontal="right" vertical="center" wrapText="1"/>
    </xf>
    <xf numFmtId="0" fontId="68" fillId="32" borderId="37" xfId="47" quotePrefix="1" applyFont="1" applyFill="1" applyBorder="1" applyAlignment="1">
      <alignment horizontal="right" vertical="center" wrapText="1"/>
    </xf>
    <xf numFmtId="49" fontId="60" fillId="0" borderId="37" xfId="47" applyNumberFormat="1" applyFont="1" applyBorder="1" applyAlignment="1">
      <alignment vertical="center" wrapText="1"/>
    </xf>
    <xf numFmtId="49" fontId="60" fillId="0" borderId="37" xfId="47" applyNumberFormat="1" applyFont="1" applyBorder="1" applyAlignment="1">
      <alignment horizontal="right" vertical="center" wrapText="1"/>
    </xf>
    <xf numFmtId="0" fontId="69" fillId="27" borderId="0" xfId="47" applyFont="1" applyFill="1"/>
    <xf numFmtId="0" fontId="69" fillId="27" borderId="0" xfId="47" applyFont="1" applyFill="1" applyAlignment="1">
      <alignment horizontal="center"/>
    </xf>
    <xf numFmtId="0" fontId="69" fillId="0" borderId="38" xfId="47" applyFont="1" applyBorder="1" applyAlignment="1">
      <alignment horizontal="center" wrapText="1"/>
    </xf>
    <xf numFmtId="0" fontId="60" fillId="0" borderId="38" xfId="47" applyFont="1" applyBorder="1" applyAlignment="1">
      <alignment horizontal="center" wrapText="1"/>
    </xf>
    <xf numFmtId="0" fontId="70" fillId="32" borderId="38" xfId="47" applyFont="1" applyFill="1" applyBorder="1" applyAlignment="1">
      <alignment horizontal="center" wrapText="1"/>
    </xf>
    <xf numFmtId="0" fontId="60" fillId="0" borderId="38" xfId="47" quotePrefix="1" applyFont="1" applyBorder="1" applyAlignment="1">
      <alignment horizontal="center" wrapText="1"/>
    </xf>
    <xf numFmtId="0" fontId="70" fillId="32" borderId="38" xfId="47" quotePrefix="1" applyFont="1" applyFill="1" applyBorder="1" applyAlignment="1">
      <alignment horizontal="center" wrapText="1"/>
    </xf>
    <xf numFmtId="17" fontId="60" fillId="0" borderId="37" xfId="47" applyNumberFormat="1" applyFont="1" applyBorder="1" applyAlignment="1">
      <alignment vertical="center" wrapText="1"/>
    </xf>
    <xf numFmtId="0" fontId="60" fillId="0" borderId="38" xfId="47" applyFont="1" applyBorder="1" applyAlignment="1">
      <alignment wrapText="1"/>
    </xf>
    <xf numFmtId="0" fontId="60" fillId="0" borderId="38" xfId="47" applyFont="1" applyBorder="1" applyAlignment="1">
      <alignment horizontal="right" wrapText="1"/>
    </xf>
    <xf numFmtId="0" fontId="70" fillId="32" borderId="38" xfId="47" applyFont="1" applyFill="1" applyBorder="1" applyAlignment="1">
      <alignment wrapText="1"/>
    </xf>
    <xf numFmtId="0" fontId="69" fillId="0" borderId="38" xfId="47" applyFont="1" applyBorder="1" applyAlignment="1">
      <alignment horizontal="right" wrapText="1"/>
    </xf>
    <xf numFmtId="0" fontId="70" fillId="32" borderId="38" xfId="47" applyFont="1" applyFill="1" applyBorder="1" applyAlignment="1">
      <alignment horizontal="right" wrapText="1"/>
    </xf>
    <xf numFmtId="0" fontId="69" fillId="27" borderId="0" xfId="47" applyFont="1" applyFill="1" applyAlignment="1">
      <alignment horizontal="right"/>
    </xf>
    <xf numFmtId="0" fontId="36" fillId="0" borderId="38" xfId="47" applyFont="1" applyBorder="1" applyAlignment="1">
      <alignment wrapText="1"/>
    </xf>
    <xf numFmtId="17" fontId="60" fillId="0" borderId="37" xfId="47" applyNumberFormat="1" applyFont="1" applyBorder="1" applyAlignment="1">
      <alignment horizontal="right" vertical="center" wrapText="1"/>
    </xf>
    <xf numFmtId="0" fontId="36" fillId="27" borderId="0" xfId="47" applyFont="1" applyFill="1" applyAlignment="1">
      <alignment horizontal="right"/>
    </xf>
    <xf numFmtId="0" fontId="29" fillId="32" borderId="37" xfId="47" quotePrefix="1" applyFont="1" applyFill="1" applyBorder="1" applyAlignment="1">
      <alignment horizontal="right" wrapText="1"/>
    </xf>
    <xf numFmtId="17" fontId="60" fillId="0" borderId="39" xfId="47" applyNumberFormat="1" applyFont="1" applyBorder="1" applyAlignment="1">
      <alignment vertical="center" wrapText="1"/>
    </xf>
    <xf numFmtId="17" fontId="60" fillId="0" borderId="38" xfId="47" applyNumberFormat="1" applyFont="1" applyBorder="1" applyAlignment="1">
      <alignment horizontal="right" vertical="center" wrapText="1"/>
    </xf>
    <xf numFmtId="17" fontId="60" fillId="0" borderId="39" xfId="47" applyNumberFormat="1" applyFont="1" applyBorder="1" applyAlignment="1">
      <alignment horizontal="right" vertical="center" wrapText="1"/>
    </xf>
    <xf numFmtId="0" fontId="67" fillId="32" borderId="39" xfId="47" applyFont="1" applyFill="1" applyBorder="1" applyAlignment="1">
      <alignment horizontal="right" vertical="center" wrapText="1"/>
    </xf>
    <xf numFmtId="0" fontId="36" fillId="0" borderId="38" xfId="47" applyFont="1" applyBorder="1" applyAlignment="1">
      <alignment horizontal="right" wrapText="1"/>
    </xf>
    <xf numFmtId="0" fontId="58" fillId="27" borderId="0" xfId="47" applyFont="1" applyFill="1" applyAlignment="1"/>
    <xf numFmtId="0" fontId="58" fillId="27" borderId="40" xfId="47" applyFont="1" applyFill="1" applyBorder="1" applyAlignment="1"/>
    <xf numFmtId="0" fontId="58" fillId="27" borderId="41" xfId="47" applyFont="1" applyFill="1" applyBorder="1" applyAlignment="1"/>
    <xf numFmtId="3" fontId="62" fillId="0" borderId="28" xfId="47" applyNumberFormat="1" applyFont="1" applyFill="1" applyBorder="1" applyAlignment="1">
      <alignment horizontal="right"/>
    </xf>
    <xf numFmtId="167" fontId="62" fillId="33" borderId="28" xfId="54" applyNumberFormat="1" applyFont="1" applyFill="1" applyBorder="1" applyAlignment="1">
      <alignment horizontal="right" wrapText="1"/>
    </xf>
    <xf numFmtId="167" fontId="61" fillId="33" borderId="30" xfId="54" applyNumberFormat="1" applyFont="1" applyFill="1" applyBorder="1" applyAlignment="1">
      <alignment horizontal="right" wrapText="1"/>
    </xf>
    <xf numFmtId="167" fontId="62" fillId="33" borderId="35" xfId="54" applyNumberFormat="1" applyFont="1" applyFill="1" applyBorder="1" applyAlignment="1">
      <alignment horizontal="right" wrapText="1"/>
    </xf>
    <xf numFmtId="0" fontId="68" fillId="34" borderId="32" xfId="47" applyFont="1" applyFill="1" applyBorder="1" applyAlignment="1">
      <alignment horizontal="left" wrapText="1"/>
    </xf>
    <xf numFmtId="3" fontId="68" fillId="34" borderId="28" xfId="47" applyNumberFormat="1" applyFont="1" applyFill="1" applyBorder="1" applyAlignment="1">
      <alignment horizontal="right" wrapText="1"/>
    </xf>
    <xf numFmtId="167" fontId="68" fillId="34" borderId="28" xfId="54" applyNumberFormat="1" applyFont="1" applyFill="1" applyBorder="1" applyAlignment="1">
      <alignment horizontal="right" wrapText="1"/>
    </xf>
    <xf numFmtId="3" fontId="68" fillId="34" borderId="32" xfId="47" applyNumberFormat="1" applyFont="1" applyFill="1" applyBorder="1" applyAlignment="1">
      <alignment horizontal="right" wrapText="1"/>
    </xf>
    <xf numFmtId="3" fontId="63" fillId="33" borderId="27" xfId="47" applyNumberFormat="1" applyFont="1" applyFill="1" applyBorder="1" applyAlignment="1">
      <alignment horizontal="right" wrapText="1"/>
    </xf>
    <xf numFmtId="0" fontId="63" fillId="33" borderId="36" xfId="47" applyFont="1" applyFill="1" applyBorder="1" applyAlignment="1">
      <alignment horizontal="right" wrapText="1"/>
    </xf>
    <xf numFmtId="3" fontId="61" fillId="33" borderId="29" xfId="47" applyNumberFormat="1" applyFont="1" applyFill="1" applyBorder="1" applyAlignment="1">
      <alignment horizontal="right" wrapText="1"/>
    </xf>
    <xf numFmtId="0" fontId="68" fillId="34" borderId="26" xfId="47" applyFont="1" applyFill="1" applyBorder="1" applyAlignment="1">
      <alignment horizontal="left"/>
    </xf>
    <xf numFmtId="0" fontId="71" fillId="34" borderId="0" xfId="47" applyFont="1" applyFill="1"/>
    <xf numFmtId="0" fontId="60" fillId="35" borderId="26" xfId="47" applyFont="1" applyFill="1" applyBorder="1" applyAlignment="1">
      <alignment horizontal="left"/>
    </xf>
    <xf numFmtId="0" fontId="62" fillId="35" borderId="0" xfId="47" applyFont="1" applyFill="1" applyAlignment="1">
      <alignment horizontal="center"/>
    </xf>
    <xf numFmtId="0" fontId="68" fillId="34" borderId="29" xfId="47" applyFont="1" applyFill="1" applyBorder="1" applyAlignment="1">
      <alignment horizontal="left"/>
    </xf>
    <xf numFmtId="3" fontId="68" fillId="34" borderId="30" xfId="47" applyNumberFormat="1" applyFont="1" applyFill="1" applyBorder="1" applyAlignment="1">
      <alignment horizontal="right"/>
    </xf>
    <xf numFmtId="0" fontId="68" fillId="36" borderId="29" xfId="47" applyFont="1" applyFill="1" applyBorder="1" applyAlignment="1">
      <alignment horizontal="left"/>
    </xf>
    <xf numFmtId="3" fontId="68" fillId="36" borderId="30" xfId="47" applyNumberFormat="1" applyFont="1" applyFill="1" applyBorder="1" applyAlignment="1">
      <alignment horizontal="right"/>
    </xf>
    <xf numFmtId="167" fontId="62" fillId="0" borderId="42" xfId="54" applyNumberFormat="1" applyFont="1" applyBorder="1" applyAlignment="1">
      <alignment horizontal="right" wrapText="1"/>
    </xf>
    <xf numFmtId="167" fontId="62" fillId="0" borderId="43" xfId="54" applyNumberFormat="1" applyFont="1" applyBorder="1" applyAlignment="1">
      <alignment horizontal="right" wrapText="1"/>
    </xf>
    <xf numFmtId="167" fontId="61" fillId="0" borderId="44" xfId="54" applyNumberFormat="1" applyFont="1" applyBorder="1" applyAlignment="1">
      <alignment horizontal="right" wrapText="1"/>
    </xf>
    <xf numFmtId="167" fontId="68" fillId="34" borderId="42" xfId="54" applyNumberFormat="1" applyFont="1" applyFill="1" applyBorder="1" applyAlignment="1">
      <alignment horizontal="right" wrapText="1"/>
    </xf>
    <xf numFmtId="0" fontId="60" fillId="0" borderId="45" xfId="47" applyFont="1" applyBorder="1" applyAlignment="1">
      <alignment horizontal="right" wrapText="1"/>
    </xf>
    <xf numFmtId="0" fontId="36" fillId="0" borderId="46" xfId="47" applyFont="1" applyBorder="1"/>
    <xf numFmtId="0" fontId="61" fillId="0" borderId="0" xfId="47" applyFont="1" applyBorder="1" applyAlignment="1">
      <alignment horizontal="left" wrapText="1"/>
    </xf>
    <xf numFmtId="0" fontId="68" fillId="34" borderId="28" xfId="47" applyFont="1" applyFill="1" applyBorder="1" applyAlignment="1">
      <alignment horizontal="left" wrapText="1"/>
    </xf>
    <xf numFmtId="0" fontId="62" fillId="0" borderId="28" xfId="47" applyFont="1" applyBorder="1" applyAlignment="1">
      <alignment horizontal="left" wrapText="1"/>
    </xf>
    <xf numFmtId="0" fontId="61" fillId="0" borderId="30" xfId="47" applyFont="1" applyBorder="1" applyAlignment="1">
      <alignment horizontal="left" wrapText="1"/>
    </xf>
    <xf numFmtId="0" fontId="62" fillId="0" borderId="35" xfId="47" applyFont="1" applyBorder="1" applyAlignment="1">
      <alignment horizontal="left" wrapText="1"/>
    </xf>
    <xf numFmtId="3" fontId="68" fillId="34" borderId="42" xfId="47" applyNumberFormat="1" applyFont="1" applyFill="1" applyBorder="1" applyAlignment="1">
      <alignment horizontal="right" wrapText="1"/>
    </xf>
    <xf numFmtId="3" fontId="62" fillId="0" borderId="42" xfId="47" applyNumberFormat="1" applyFont="1" applyBorder="1" applyAlignment="1">
      <alignment horizontal="right" wrapText="1"/>
    </xf>
    <xf numFmtId="3" fontId="61" fillId="0" borderId="44" xfId="47" applyNumberFormat="1" applyFont="1" applyBorder="1" applyAlignment="1">
      <alignment horizontal="right" wrapText="1"/>
    </xf>
    <xf numFmtId="0" fontId="62" fillId="0" borderId="42" xfId="47" applyFont="1" applyBorder="1" applyAlignment="1">
      <alignment horizontal="right" wrapText="1"/>
    </xf>
    <xf numFmtId="3" fontId="62" fillId="0" borderId="43" xfId="47" applyNumberFormat="1" applyFont="1" applyBorder="1" applyAlignment="1">
      <alignment horizontal="right" wrapText="1"/>
    </xf>
    <xf numFmtId="0" fontId="60" fillId="33" borderId="45" xfId="47" applyFont="1" applyFill="1" applyBorder="1" applyAlignment="1">
      <alignment horizontal="right" wrapText="1"/>
    </xf>
    <xf numFmtId="0" fontId="63" fillId="33" borderId="46" xfId="47" applyFont="1" applyFill="1" applyBorder="1" applyAlignment="1">
      <alignment horizontal="right"/>
    </xf>
    <xf numFmtId="3" fontId="63" fillId="33" borderId="42" xfId="47" applyNumberFormat="1" applyFont="1" applyFill="1" applyBorder="1" applyAlignment="1">
      <alignment horizontal="right" wrapText="1"/>
    </xf>
    <xf numFmtId="3" fontId="61" fillId="33" borderId="44" xfId="47" applyNumberFormat="1" applyFont="1" applyFill="1" applyBorder="1" applyAlignment="1">
      <alignment horizontal="right" wrapText="1"/>
    </xf>
    <xf numFmtId="0" fontId="63" fillId="33" borderId="42" xfId="47" applyFont="1" applyFill="1" applyBorder="1" applyAlignment="1">
      <alignment horizontal="right" wrapText="1"/>
    </xf>
    <xf numFmtId="3" fontId="63" fillId="33" borderId="43" xfId="47" applyNumberFormat="1" applyFont="1" applyFill="1" applyBorder="1" applyAlignment="1">
      <alignment horizontal="right" wrapText="1"/>
    </xf>
    <xf numFmtId="0" fontId="36" fillId="33" borderId="46" xfId="47" applyFont="1" applyFill="1" applyBorder="1"/>
    <xf numFmtId="167" fontId="62" fillId="33" borderId="42" xfId="54" applyNumberFormat="1" applyFont="1" applyFill="1" applyBorder="1" applyAlignment="1">
      <alignment horizontal="right" wrapText="1"/>
    </xf>
    <xf numFmtId="167" fontId="61" fillId="33" borderId="44" xfId="54" applyNumberFormat="1" applyFont="1" applyFill="1" applyBorder="1" applyAlignment="1">
      <alignment horizontal="right" wrapText="1"/>
    </xf>
    <xf numFmtId="167" fontId="62" fillId="33" borderId="43" xfId="54" applyNumberFormat="1" applyFont="1" applyFill="1" applyBorder="1" applyAlignment="1">
      <alignment horizontal="right" wrapText="1"/>
    </xf>
    <xf numFmtId="0" fontId="72" fillId="33" borderId="47" xfId="47" applyFont="1" applyFill="1" applyBorder="1" applyAlignment="1">
      <alignment horizontal="right" vertical="center" wrapText="1"/>
    </xf>
    <xf numFmtId="0" fontId="71" fillId="34" borderId="46" xfId="47" applyFont="1" applyFill="1" applyBorder="1"/>
    <xf numFmtId="0" fontId="63" fillId="35" borderId="46" xfId="47" applyFont="1" applyFill="1" applyBorder="1" applyAlignment="1">
      <alignment horizontal="center"/>
    </xf>
    <xf numFmtId="3" fontId="63" fillId="33" borderId="42" xfId="47" applyNumberFormat="1" applyFont="1" applyFill="1" applyBorder="1" applyAlignment="1">
      <alignment horizontal="right"/>
    </xf>
    <xf numFmtId="3" fontId="63" fillId="33" borderId="44" xfId="47" applyNumberFormat="1" applyFont="1" applyFill="1" applyBorder="1" applyAlignment="1">
      <alignment horizontal="right"/>
    </xf>
    <xf numFmtId="3" fontId="61" fillId="33" borderId="44" xfId="47" applyNumberFormat="1" applyFont="1" applyFill="1" applyBorder="1" applyAlignment="1">
      <alignment horizontal="right"/>
    </xf>
    <xf numFmtId="3" fontId="68" fillId="36" borderId="44" xfId="47" applyNumberFormat="1" applyFont="1" applyFill="1" applyBorder="1" applyAlignment="1">
      <alignment horizontal="right"/>
    </xf>
    <xf numFmtId="0" fontId="63" fillId="33" borderId="42" xfId="47" applyFont="1" applyFill="1" applyBorder="1" applyAlignment="1">
      <alignment horizontal="right"/>
    </xf>
    <xf numFmtId="0" fontId="63" fillId="33" borderId="44" xfId="47" applyFont="1" applyFill="1" applyBorder="1" applyAlignment="1">
      <alignment horizontal="right"/>
    </xf>
    <xf numFmtId="3" fontId="68" fillId="34" borderId="44" xfId="47" applyNumberFormat="1" applyFont="1" applyFill="1" applyBorder="1" applyAlignment="1">
      <alignment horizontal="right"/>
    </xf>
    <xf numFmtId="17" fontId="60" fillId="0" borderId="47" xfId="47" applyNumberFormat="1" applyFont="1" applyBorder="1" applyAlignment="1">
      <alignment horizontal="right" vertical="center" wrapText="1"/>
    </xf>
    <xf numFmtId="0" fontId="62" fillId="35" borderId="46" xfId="47" applyFont="1" applyFill="1" applyBorder="1" applyAlignment="1">
      <alignment horizontal="center"/>
    </xf>
    <xf numFmtId="9" fontId="62" fillId="0" borderId="42" xfId="54" applyFont="1" applyBorder="1" applyAlignment="1">
      <alignment horizontal="right"/>
    </xf>
    <xf numFmtId="9" fontId="62" fillId="0" borderId="44" xfId="54" applyFont="1" applyBorder="1" applyAlignment="1">
      <alignment horizontal="right"/>
    </xf>
    <xf numFmtId="9" fontId="61" fillId="0" borderId="44" xfId="54" applyFont="1" applyBorder="1" applyAlignment="1">
      <alignment horizontal="right"/>
    </xf>
    <xf numFmtId="9" fontId="68" fillId="36" borderId="44" xfId="54" applyFont="1" applyFill="1" applyBorder="1" applyAlignment="1">
      <alignment horizontal="right"/>
    </xf>
    <xf numFmtId="9" fontId="68" fillId="34" borderId="44" xfId="54" applyFont="1" applyFill="1" applyBorder="1" applyAlignment="1">
      <alignment horizontal="right"/>
    </xf>
    <xf numFmtId="9" fontId="65" fillId="27" borderId="0" xfId="53" applyFont="1" applyFill="1" applyAlignment="1">
      <alignment horizontal="left"/>
    </xf>
    <xf numFmtId="9" fontId="62" fillId="27" borderId="0" xfId="53" applyFont="1" applyFill="1" applyAlignment="1">
      <alignment horizontal="left"/>
    </xf>
    <xf numFmtId="9" fontId="62" fillId="0" borderId="28" xfId="53" applyFont="1" applyBorder="1" applyAlignment="1">
      <alignment horizontal="right" wrapText="1"/>
    </xf>
    <xf numFmtId="9" fontId="62" fillId="0" borderId="35" xfId="53" applyFont="1" applyBorder="1" applyAlignment="1">
      <alignment horizontal="right" wrapText="1"/>
    </xf>
    <xf numFmtId="9" fontId="61" fillId="0" borderId="30" xfId="53" applyFont="1" applyBorder="1" applyAlignment="1">
      <alignment horizontal="right" wrapText="1"/>
    </xf>
    <xf numFmtId="9" fontId="68" fillId="34" borderId="28" xfId="53" applyFont="1" applyFill="1" applyBorder="1" applyAlignment="1">
      <alignment horizontal="right" wrapText="1"/>
    </xf>
    <xf numFmtId="167" fontId="68" fillId="34" borderId="42" xfId="53" applyNumberFormat="1" applyFont="1" applyFill="1" applyBorder="1" applyAlignment="1">
      <alignment horizontal="right" wrapText="1"/>
    </xf>
    <xf numFmtId="167" fontId="62" fillId="0" borderId="42" xfId="53" applyNumberFormat="1" applyFont="1" applyBorder="1" applyAlignment="1">
      <alignment horizontal="right" wrapText="1"/>
    </xf>
    <xf numFmtId="167" fontId="61" fillId="0" borderId="44" xfId="53" applyNumberFormat="1" applyFont="1" applyBorder="1" applyAlignment="1">
      <alignment horizontal="right" wrapText="1"/>
    </xf>
    <xf numFmtId="167" fontId="62" fillId="0" borderId="43" xfId="53" applyNumberFormat="1" applyFont="1" applyBorder="1" applyAlignment="1">
      <alignment horizontal="right" wrapText="1"/>
    </xf>
    <xf numFmtId="164" fontId="62" fillId="0" borderId="35" xfId="41" applyFont="1" applyBorder="1" applyAlignment="1">
      <alignment horizontal="right" wrapText="1"/>
    </xf>
    <xf numFmtId="164" fontId="62" fillId="0" borderId="42" xfId="41" applyFont="1" applyBorder="1" applyAlignment="1">
      <alignment horizontal="right" wrapText="1"/>
    </xf>
    <xf numFmtId="164" fontId="63" fillId="33" borderId="42" xfId="41" applyFont="1" applyFill="1" applyBorder="1" applyAlignment="1">
      <alignment horizontal="right" wrapText="1"/>
    </xf>
    <xf numFmtId="0" fontId="60" fillId="0" borderId="45" xfId="47" applyFont="1" applyFill="1" applyBorder="1" applyAlignment="1">
      <alignment horizontal="right" wrapText="1"/>
    </xf>
    <xf numFmtId="0" fontId="69" fillId="27" borderId="0" xfId="47" applyFont="1" applyFill="1" applyBorder="1" applyAlignment="1">
      <alignment horizontal="center" wrapText="1"/>
    </xf>
    <xf numFmtId="0" fontId="60" fillId="27" borderId="0" xfId="47" applyFont="1" applyFill="1" applyBorder="1" applyAlignment="1">
      <alignment horizontal="center" wrapText="1"/>
    </xf>
    <xf numFmtId="0" fontId="70" fillId="27" borderId="0" xfId="47" applyFont="1" applyFill="1" applyBorder="1" applyAlignment="1">
      <alignment horizontal="center" wrapText="1"/>
    </xf>
    <xf numFmtId="0" fontId="60" fillId="27" borderId="0" xfId="47" quotePrefix="1" applyFont="1" applyFill="1" applyBorder="1" applyAlignment="1">
      <alignment horizontal="center" wrapText="1"/>
    </xf>
    <xf numFmtId="0" fontId="70" fillId="27" borderId="0" xfId="47" quotePrefix="1" applyFont="1" applyFill="1" applyBorder="1" applyAlignment="1">
      <alignment horizontal="center" wrapText="1"/>
    </xf>
    <xf numFmtId="0" fontId="36" fillId="27" borderId="0" xfId="47" applyFont="1" applyFill="1" applyBorder="1"/>
    <xf numFmtId="0" fontId="62" fillId="0" borderId="43" xfId="47" applyFont="1" applyBorder="1" applyAlignment="1">
      <alignment horizontal="right" wrapText="1"/>
    </xf>
    <xf numFmtId="9" fontId="62" fillId="0" borderId="42" xfId="53" applyFont="1" applyBorder="1" applyAlignment="1">
      <alignment horizontal="right" wrapText="1"/>
    </xf>
    <xf numFmtId="9" fontId="62" fillId="0" borderId="43" xfId="53" applyFont="1" applyBorder="1" applyAlignment="1">
      <alignment horizontal="right" wrapText="1"/>
    </xf>
    <xf numFmtId="9" fontId="61" fillId="0" borderId="44" xfId="53" applyFont="1" applyBorder="1" applyAlignment="1">
      <alignment horizontal="right" wrapText="1"/>
    </xf>
    <xf numFmtId="9" fontId="68" fillId="34" borderId="42" xfId="53" applyFont="1" applyFill="1" applyBorder="1" applyAlignment="1">
      <alignment horizontal="right" wrapText="1"/>
    </xf>
    <xf numFmtId="9" fontId="63" fillId="27" borderId="44" xfId="53" applyFont="1" applyFill="1" applyBorder="1" applyAlignment="1">
      <alignment horizontal="right"/>
    </xf>
    <xf numFmtId="9" fontId="61" fillId="27" borderId="44" xfId="53" applyFont="1" applyFill="1" applyBorder="1" applyAlignment="1">
      <alignment horizontal="right"/>
    </xf>
    <xf numFmtId="9" fontId="62" fillId="0" borderId="48" xfId="53" applyFont="1" applyBorder="1" applyAlignment="1">
      <alignment horizontal="right"/>
    </xf>
    <xf numFmtId="9" fontId="61" fillId="0" borderId="44" xfId="53" applyFont="1" applyFill="1" applyBorder="1" applyAlignment="1">
      <alignment horizontal="right"/>
    </xf>
    <xf numFmtId="180" fontId="63" fillId="33" borderId="42" xfId="47" applyNumberFormat="1" applyFont="1" applyFill="1" applyBorder="1" applyAlignment="1">
      <alignment horizontal="right" wrapText="1"/>
    </xf>
    <xf numFmtId="180" fontId="61" fillId="33" borderId="44" xfId="47" applyNumberFormat="1" applyFont="1" applyFill="1" applyBorder="1" applyAlignment="1">
      <alignment horizontal="right" wrapText="1"/>
    </xf>
    <xf numFmtId="180" fontId="68" fillId="34" borderId="42" xfId="47" applyNumberFormat="1" applyFont="1" applyFill="1" applyBorder="1" applyAlignment="1">
      <alignment horizontal="right" wrapText="1"/>
    </xf>
    <xf numFmtId="180" fontId="63" fillId="33" borderId="43" xfId="47" applyNumberFormat="1" applyFont="1" applyFill="1" applyBorder="1" applyAlignment="1">
      <alignment horizontal="right" wrapText="1"/>
    </xf>
    <xf numFmtId="180" fontId="62" fillId="0" borderId="42" xfId="47" applyNumberFormat="1" applyFont="1" applyBorder="1" applyAlignment="1">
      <alignment horizontal="right" wrapText="1"/>
    </xf>
    <xf numFmtId="180" fontId="61" fillId="0" borderId="44" xfId="47" applyNumberFormat="1" applyFont="1" applyBorder="1" applyAlignment="1">
      <alignment horizontal="right" wrapText="1"/>
    </xf>
    <xf numFmtId="180" fontId="62" fillId="0" borderId="43" xfId="47" applyNumberFormat="1" applyFont="1" applyBorder="1" applyAlignment="1">
      <alignment horizontal="right" wrapText="1"/>
    </xf>
    <xf numFmtId="0" fontId="63" fillId="0" borderId="42" xfId="47" applyFont="1" applyFill="1" applyBorder="1" applyAlignment="1">
      <alignment horizontal="right" wrapText="1"/>
    </xf>
    <xf numFmtId="168" fontId="62" fillId="0" borderId="42" xfId="40" applyNumberFormat="1" applyFont="1" applyBorder="1" applyAlignment="1">
      <alignment horizontal="right" wrapText="1"/>
    </xf>
    <xf numFmtId="168" fontId="63" fillId="33" borderId="42" xfId="40" applyNumberFormat="1" applyFont="1" applyFill="1" applyBorder="1" applyAlignment="1">
      <alignment horizontal="right" wrapText="1"/>
    </xf>
    <xf numFmtId="168" fontId="63" fillId="33" borderId="36" xfId="40" applyNumberFormat="1" applyFont="1" applyFill="1" applyBorder="1" applyAlignment="1">
      <alignment horizontal="right" wrapText="1"/>
    </xf>
    <xf numFmtId="167" fontId="63" fillId="0" borderId="44" xfId="54" applyNumberFormat="1" applyFont="1" applyBorder="1" applyAlignment="1">
      <alignment horizontal="right" wrapText="1"/>
    </xf>
    <xf numFmtId="180" fontId="62" fillId="0" borderId="42" xfId="47" applyNumberFormat="1" applyFont="1" applyFill="1" applyBorder="1" applyAlignment="1">
      <alignment horizontal="right" wrapText="1"/>
    </xf>
    <xf numFmtId="166" fontId="36" fillId="27" borderId="0" xfId="40" applyFont="1" applyFill="1"/>
    <xf numFmtId="3" fontId="63" fillId="33" borderId="36" xfId="47" applyNumberFormat="1" applyFont="1" applyFill="1" applyBorder="1" applyAlignment="1">
      <alignment horizontal="right" wrapText="1"/>
    </xf>
    <xf numFmtId="0" fontId="71" fillId="27" borderId="0" xfId="47" applyFont="1" applyFill="1"/>
    <xf numFmtId="3" fontId="71" fillId="27" borderId="0" xfId="47" applyNumberFormat="1" applyFont="1" applyFill="1"/>
    <xf numFmtId="0" fontId="62" fillId="0" borderId="42" xfId="54" applyNumberFormat="1" applyFont="1" applyBorder="1" applyAlignment="1">
      <alignment horizontal="right" wrapText="1"/>
    </xf>
    <xf numFmtId="3" fontId="62" fillId="35" borderId="0" xfId="47" applyNumberFormat="1" applyFont="1" applyFill="1" applyAlignment="1">
      <alignment horizontal="center"/>
    </xf>
    <xf numFmtId="3" fontId="63" fillId="35" borderId="46" xfId="47" applyNumberFormat="1" applyFont="1" applyFill="1" applyBorder="1" applyAlignment="1">
      <alignment horizontal="center"/>
    </xf>
    <xf numFmtId="3" fontId="71" fillId="34" borderId="0" xfId="47" applyNumberFormat="1" applyFont="1" applyFill="1"/>
    <xf numFmtId="3" fontId="71" fillId="34" borderId="46" xfId="47" applyNumberFormat="1" applyFont="1" applyFill="1" applyBorder="1"/>
    <xf numFmtId="3" fontId="62" fillId="0" borderId="28" xfId="40" applyNumberFormat="1" applyFont="1" applyBorder="1" applyAlignment="1">
      <alignment horizontal="right"/>
    </xf>
    <xf numFmtId="0" fontId="73" fillId="27" borderId="0" xfId="47" applyFont="1" applyFill="1" applyAlignment="1">
      <alignment horizontal="left"/>
    </xf>
    <xf numFmtId="0" fontId="74" fillId="0" borderId="0" xfId="62" applyAlignment="1">
      <alignment vertical="center"/>
    </xf>
    <xf numFmtId="0" fontId="75" fillId="0" borderId="0" xfId="0" applyFont="1" applyAlignment="1">
      <alignment vertical="center"/>
    </xf>
    <xf numFmtId="0" fontId="59" fillId="27" borderId="0" xfId="47" applyFont="1" applyFill="1" applyAlignment="1">
      <alignment horizontal="left" vertical="top" wrapText="1"/>
    </xf>
    <xf numFmtId="0" fontId="76" fillId="27" borderId="0" xfId="47" applyFont="1" applyFill="1" applyAlignment="1">
      <alignment horizontal="left" vertical="center" wrapText="1"/>
    </xf>
  </cellXfs>
  <cellStyles count="63">
    <cellStyle name="_Comma" xfId="1"/>
    <cellStyle name="_Currency" xfId="2"/>
    <cellStyle name="_CurrencySpace" xfId="3"/>
    <cellStyle name="_Multiple" xfId="4"/>
    <cellStyle name="_MultipleSpace" xfId="5"/>
    <cellStyle name="_Percent" xfId="6"/>
    <cellStyle name="_PercentSpace" xfId="7"/>
    <cellStyle name="20% - Énfasis1" xfId="8" builtinId="30" customBuiltin="1"/>
    <cellStyle name="20% - Énfasis2" xfId="9" builtinId="34" customBuiltin="1"/>
    <cellStyle name="20% - Énfasis3" xfId="10" builtinId="38" customBuiltin="1"/>
    <cellStyle name="20% - Énfasis4" xfId="11" builtinId="42" customBuiltin="1"/>
    <cellStyle name="20% - Énfasis5" xfId="12" builtinId="46" customBuiltin="1"/>
    <cellStyle name="20% - Énfasis6" xfId="13" builtinId="50" customBuiltin="1"/>
    <cellStyle name="40% - Énfasis1" xfId="14" builtinId="31" customBuiltin="1"/>
    <cellStyle name="40% - Énfasis2" xfId="15" builtinId="35" customBuiltin="1"/>
    <cellStyle name="40% - Énfasis3" xfId="16" builtinId="39" customBuiltin="1"/>
    <cellStyle name="40% - Énfasis4" xfId="17" builtinId="43" customBuiltin="1"/>
    <cellStyle name="40% - Énfasis5" xfId="18" builtinId="47" customBuiltin="1"/>
    <cellStyle name="40% - Énfasis6" xfId="19" builtinId="51" customBuiltin="1"/>
    <cellStyle name="60% - Énfasis1" xfId="20" builtinId="32" customBuiltin="1"/>
    <cellStyle name="60% - Énfasis2" xfId="21" builtinId="36" customBuiltin="1"/>
    <cellStyle name="60% - Énfasis3" xfId="22" builtinId="40" customBuiltin="1"/>
    <cellStyle name="60% - Énfasis4" xfId="23" builtinId="44" customBuiltin="1"/>
    <cellStyle name="60% - Énfasis5" xfId="24" builtinId="48" customBuiltin="1"/>
    <cellStyle name="60% - Énfasis6" xfId="25" builtinId="52" customBuiltin="1"/>
    <cellStyle name="Cálculo" xfId="26" builtinId="22" customBuiltin="1"/>
    <cellStyle name="Celda de comprobación" xfId="27" builtinId="23" customBuiltin="1"/>
    <cellStyle name="Celda vinculada" xfId="28" builtinId="24" customBuiltin="1"/>
    <cellStyle name="Encabezado 4" xfId="29" builtinId="19" customBuiltin="1"/>
    <cellStyle name="Énfasis1" xfId="30" builtinId="29" customBuiltin="1"/>
    <cellStyle name="Énfasis2" xfId="31" builtinId="33" customBuiltin="1"/>
    <cellStyle name="Énfasis3" xfId="32" builtinId="37" customBuiltin="1"/>
    <cellStyle name="Énfasis4" xfId="33" builtinId="41" customBuiltin="1"/>
    <cellStyle name="Énfasis5" xfId="34" builtinId="45" customBuiltin="1"/>
    <cellStyle name="Énfasis6" xfId="35" builtinId="49" customBuiltin="1"/>
    <cellStyle name="Entrada" xfId="36" builtinId="20" customBuiltin="1"/>
    <cellStyle name="Estilo 1" xfId="37"/>
    <cellStyle name="Euro" xfId="38"/>
    <cellStyle name="Hipervínculo" xfId="62" builtinId="8"/>
    <cellStyle name="Incorrecto" xfId="39" builtinId="27" customBuiltin="1"/>
    <cellStyle name="Millares" xfId="40" builtinId="3"/>
    <cellStyle name="Millares [0]" xfId="41" builtinId="6"/>
    <cellStyle name="Millares [0] 2" xfId="42"/>
    <cellStyle name="Millares 10 2" xfId="43"/>
    <cellStyle name="Millares 2" xfId="44"/>
    <cellStyle name="Millares_INCH JUNTA MES MARZO NUEVA PRESENTACIÓN 2005" xfId="45"/>
    <cellStyle name="Neutral" xfId="46" builtinId="28" customBuiltin="1"/>
    <cellStyle name="Normal" xfId="0" builtinId="0"/>
    <cellStyle name="Normal 15" xfId="47"/>
    <cellStyle name="Normal 16" xfId="48"/>
    <cellStyle name="Normal 2" xfId="49"/>
    <cellStyle name="Normal_INCH JUNTA DICIEMBRE ACTUALIZADA EN FEBRERO 8 2004" xfId="50"/>
    <cellStyle name="Normal_INCH JUNTA MES MARZO NUEVA PRESENTACIÓN 2005" xfId="51"/>
    <cellStyle name="Notas" xfId="52" builtinId="10" customBuiltin="1"/>
    <cellStyle name="Porcentaje" xfId="53" builtinId="5"/>
    <cellStyle name="Porcentual 2" xfId="54"/>
    <cellStyle name="Salida" xfId="55" builtinId="21" customBuiltin="1"/>
    <cellStyle name="Texto de advertencia" xfId="56" builtinId="11" customBuiltin="1"/>
    <cellStyle name="Texto explicativo" xfId="57" builtinId="53" customBuiltin="1"/>
    <cellStyle name="Título" xfId="58" builtinId="15" customBuiltin="1"/>
    <cellStyle name="Título 2" xfId="59" builtinId="17" customBuiltin="1"/>
    <cellStyle name="Título 3" xfId="60" builtinId="18" customBuiltin="1"/>
    <cellStyle name="Total" xfId="61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4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1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2232660</xdr:colOff>
      <xdr:row>4</xdr:row>
      <xdr:rowOff>137160</xdr:rowOff>
    </xdr:to>
    <xdr:pic>
      <xdr:nvPicPr>
        <xdr:cNvPr id="20968" name="2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3266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0</xdr:row>
      <xdr:rowOff>30480</xdr:rowOff>
    </xdr:from>
    <xdr:to>
      <xdr:col>0</xdr:col>
      <xdr:colOff>1333500</xdr:colOff>
      <xdr:row>3</xdr:row>
      <xdr:rowOff>121920</xdr:rowOff>
    </xdr:to>
    <xdr:pic>
      <xdr:nvPicPr>
        <xdr:cNvPr id="30184" name="1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30480"/>
          <a:ext cx="1303020" cy="640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784860</xdr:colOff>
      <xdr:row>4</xdr:row>
      <xdr:rowOff>137160</xdr:rowOff>
    </xdr:to>
    <xdr:pic>
      <xdr:nvPicPr>
        <xdr:cNvPr id="31695" name="1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8486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1485900</xdr:colOff>
      <xdr:row>4</xdr:row>
      <xdr:rowOff>137160</xdr:rowOff>
    </xdr:to>
    <xdr:pic>
      <xdr:nvPicPr>
        <xdr:cNvPr id="31696" name="2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8590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0</xdr:row>
      <xdr:rowOff>30480</xdr:rowOff>
    </xdr:from>
    <xdr:to>
      <xdr:col>0</xdr:col>
      <xdr:colOff>1333500</xdr:colOff>
      <xdr:row>3</xdr:row>
      <xdr:rowOff>121920</xdr:rowOff>
    </xdr:to>
    <xdr:pic>
      <xdr:nvPicPr>
        <xdr:cNvPr id="32232" name="1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30480"/>
          <a:ext cx="1303020" cy="640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784860</xdr:colOff>
      <xdr:row>4</xdr:row>
      <xdr:rowOff>137160</xdr:rowOff>
    </xdr:to>
    <xdr:pic>
      <xdr:nvPicPr>
        <xdr:cNvPr id="33743" name="1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8486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1348740</xdr:colOff>
      <xdr:row>4</xdr:row>
      <xdr:rowOff>137160</xdr:rowOff>
    </xdr:to>
    <xdr:pic>
      <xdr:nvPicPr>
        <xdr:cNvPr id="33744" name="2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4874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0</xdr:row>
      <xdr:rowOff>30480</xdr:rowOff>
    </xdr:from>
    <xdr:to>
      <xdr:col>0</xdr:col>
      <xdr:colOff>1333500</xdr:colOff>
      <xdr:row>3</xdr:row>
      <xdr:rowOff>121920</xdr:rowOff>
    </xdr:to>
    <xdr:pic>
      <xdr:nvPicPr>
        <xdr:cNvPr id="34280" name="1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30480"/>
          <a:ext cx="1303020" cy="640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784860</xdr:colOff>
      <xdr:row>4</xdr:row>
      <xdr:rowOff>137160</xdr:rowOff>
    </xdr:to>
    <xdr:pic>
      <xdr:nvPicPr>
        <xdr:cNvPr id="35791" name="1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8486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1478280</xdr:colOff>
      <xdr:row>4</xdr:row>
      <xdr:rowOff>137160</xdr:rowOff>
    </xdr:to>
    <xdr:pic>
      <xdr:nvPicPr>
        <xdr:cNvPr id="35792" name="2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7828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0</xdr:row>
      <xdr:rowOff>30480</xdr:rowOff>
    </xdr:from>
    <xdr:to>
      <xdr:col>0</xdr:col>
      <xdr:colOff>1333500</xdr:colOff>
      <xdr:row>3</xdr:row>
      <xdr:rowOff>121920</xdr:rowOff>
    </xdr:to>
    <xdr:pic>
      <xdr:nvPicPr>
        <xdr:cNvPr id="36328" name="1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30480"/>
          <a:ext cx="1303020" cy="640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784860</xdr:colOff>
      <xdr:row>4</xdr:row>
      <xdr:rowOff>137160</xdr:rowOff>
    </xdr:to>
    <xdr:pic>
      <xdr:nvPicPr>
        <xdr:cNvPr id="37839" name="1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8486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1478280</xdr:colOff>
      <xdr:row>4</xdr:row>
      <xdr:rowOff>137160</xdr:rowOff>
    </xdr:to>
    <xdr:pic>
      <xdr:nvPicPr>
        <xdr:cNvPr id="37840" name="2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7828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0</xdr:row>
      <xdr:rowOff>30480</xdr:rowOff>
    </xdr:from>
    <xdr:to>
      <xdr:col>0</xdr:col>
      <xdr:colOff>1333500</xdr:colOff>
      <xdr:row>3</xdr:row>
      <xdr:rowOff>121920</xdr:rowOff>
    </xdr:to>
    <xdr:pic>
      <xdr:nvPicPr>
        <xdr:cNvPr id="38376" name="1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30480"/>
          <a:ext cx="1303020" cy="640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2232660</xdr:colOff>
      <xdr:row>4</xdr:row>
      <xdr:rowOff>129540</xdr:rowOff>
    </xdr:to>
    <xdr:pic>
      <xdr:nvPicPr>
        <xdr:cNvPr id="39400" name="5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326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0</xdr:row>
      <xdr:rowOff>30480</xdr:rowOff>
    </xdr:from>
    <xdr:to>
      <xdr:col>1</xdr:col>
      <xdr:colOff>60960</xdr:colOff>
      <xdr:row>4</xdr:row>
      <xdr:rowOff>167640</xdr:rowOff>
    </xdr:to>
    <xdr:pic>
      <xdr:nvPicPr>
        <xdr:cNvPr id="21992" name="1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30480"/>
          <a:ext cx="223266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30480</xdr:colOff>
      <xdr:row>4</xdr:row>
      <xdr:rowOff>137160</xdr:rowOff>
    </xdr:to>
    <xdr:pic>
      <xdr:nvPicPr>
        <xdr:cNvPr id="40424" name="5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3266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777240</xdr:colOff>
      <xdr:row>0</xdr:row>
      <xdr:rowOff>15240</xdr:rowOff>
    </xdr:from>
    <xdr:to>
      <xdr:col>6</xdr:col>
      <xdr:colOff>655320</xdr:colOff>
      <xdr:row>4</xdr:row>
      <xdr:rowOff>106680</xdr:rowOff>
    </xdr:to>
    <xdr:pic>
      <xdr:nvPicPr>
        <xdr:cNvPr id="45488" name="5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360" y="15240"/>
          <a:ext cx="223266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335280</xdr:colOff>
      <xdr:row>0</xdr:row>
      <xdr:rowOff>30480</xdr:rowOff>
    </xdr:from>
    <xdr:to>
      <xdr:col>7</xdr:col>
      <xdr:colOff>213360</xdr:colOff>
      <xdr:row>4</xdr:row>
      <xdr:rowOff>114300</xdr:rowOff>
    </xdr:to>
    <xdr:pic>
      <xdr:nvPicPr>
        <xdr:cNvPr id="46512" name="5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9260" y="30480"/>
          <a:ext cx="22326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624840</xdr:colOff>
      <xdr:row>0</xdr:row>
      <xdr:rowOff>45720</xdr:rowOff>
    </xdr:from>
    <xdr:to>
      <xdr:col>10</xdr:col>
      <xdr:colOff>510540</xdr:colOff>
      <xdr:row>4</xdr:row>
      <xdr:rowOff>137160</xdr:rowOff>
    </xdr:to>
    <xdr:pic>
      <xdr:nvPicPr>
        <xdr:cNvPr id="47536" name="5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3960" y="45720"/>
          <a:ext cx="224028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60960</xdr:colOff>
      <xdr:row>0</xdr:row>
      <xdr:rowOff>0</xdr:rowOff>
    </xdr:from>
    <xdr:to>
      <xdr:col>7</xdr:col>
      <xdr:colOff>723900</xdr:colOff>
      <xdr:row>4</xdr:row>
      <xdr:rowOff>83820</xdr:rowOff>
    </xdr:to>
    <xdr:pic>
      <xdr:nvPicPr>
        <xdr:cNvPr id="48560" name="5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3740" y="0"/>
          <a:ext cx="22326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777240</xdr:colOff>
      <xdr:row>0</xdr:row>
      <xdr:rowOff>15240</xdr:rowOff>
    </xdr:from>
    <xdr:to>
      <xdr:col>5</xdr:col>
      <xdr:colOff>655320</xdr:colOff>
      <xdr:row>4</xdr:row>
      <xdr:rowOff>106680</xdr:rowOff>
    </xdr:to>
    <xdr:pic>
      <xdr:nvPicPr>
        <xdr:cNvPr id="44464" name="5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2060" y="15240"/>
          <a:ext cx="223266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281940</xdr:colOff>
      <xdr:row>0</xdr:row>
      <xdr:rowOff>45720</xdr:rowOff>
    </xdr:from>
    <xdr:to>
      <xdr:col>7</xdr:col>
      <xdr:colOff>167640</xdr:colOff>
      <xdr:row>4</xdr:row>
      <xdr:rowOff>137160</xdr:rowOff>
    </xdr:to>
    <xdr:pic>
      <xdr:nvPicPr>
        <xdr:cNvPr id="49566" name="5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6480" y="45720"/>
          <a:ext cx="224028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160020</xdr:colOff>
      <xdr:row>0</xdr:row>
      <xdr:rowOff>45720</xdr:rowOff>
    </xdr:from>
    <xdr:to>
      <xdr:col>10</xdr:col>
      <xdr:colOff>38100</xdr:colOff>
      <xdr:row>4</xdr:row>
      <xdr:rowOff>137160</xdr:rowOff>
    </xdr:to>
    <xdr:pic>
      <xdr:nvPicPr>
        <xdr:cNvPr id="50579" name="5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59140" y="45720"/>
          <a:ext cx="223266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30480</xdr:colOff>
      <xdr:row>0</xdr:row>
      <xdr:rowOff>38100</xdr:rowOff>
    </xdr:from>
    <xdr:to>
      <xdr:col>13</xdr:col>
      <xdr:colOff>129540</xdr:colOff>
      <xdr:row>4</xdr:row>
      <xdr:rowOff>129540</xdr:rowOff>
    </xdr:to>
    <xdr:pic>
      <xdr:nvPicPr>
        <xdr:cNvPr id="92531" name="5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4180" y="38100"/>
          <a:ext cx="224028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777240</xdr:colOff>
      <xdr:row>0</xdr:row>
      <xdr:rowOff>15240</xdr:rowOff>
    </xdr:from>
    <xdr:to>
      <xdr:col>5</xdr:col>
      <xdr:colOff>655320</xdr:colOff>
      <xdr:row>4</xdr:row>
      <xdr:rowOff>106680</xdr:rowOff>
    </xdr:to>
    <xdr:pic>
      <xdr:nvPicPr>
        <xdr:cNvPr id="109599" name="5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2060" y="15240"/>
          <a:ext cx="223266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</xdr:colOff>
      <xdr:row>4</xdr:row>
      <xdr:rowOff>184786</xdr:rowOff>
    </xdr:from>
    <xdr:to>
      <xdr:col>4</xdr:col>
      <xdr:colOff>47625</xdr:colOff>
      <xdr:row>5</xdr:row>
      <xdr:rowOff>23241</xdr:rowOff>
    </xdr:to>
    <xdr:sp macro="" textlink="">
      <xdr:nvSpPr>
        <xdr:cNvPr id="3" name="2 Rectángulo"/>
        <xdr:cNvSpPr/>
      </xdr:nvSpPr>
      <xdr:spPr>
        <a:xfrm>
          <a:off x="1" y="1002031"/>
          <a:ext cx="5724524" cy="45719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  <xdr:twoCellAnchor>
    <xdr:from>
      <xdr:col>0</xdr:col>
      <xdr:colOff>28575</xdr:colOff>
      <xdr:row>56</xdr:row>
      <xdr:rowOff>154304</xdr:rowOff>
    </xdr:from>
    <xdr:to>
      <xdr:col>6</xdr:col>
      <xdr:colOff>9525</xdr:colOff>
      <xdr:row>57</xdr:row>
      <xdr:rowOff>7237</xdr:rowOff>
    </xdr:to>
    <xdr:sp macro="" textlink="">
      <xdr:nvSpPr>
        <xdr:cNvPr id="4" name="3 Rectángulo"/>
        <xdr:cNvSpPr/>
      </xdr:nvSpPr>
      <xdr:spPr>
        <a:xfrm flipV="1">
          <a:off x="28575" y="11409044"/>
          <a:ext cx="7181850" cy="45719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2484120</xdr:colOff>
      <xdr:row>4</xdr:row>
      <xdr:rowOff>137160</xdr:rowOff>
    </xdr:to>
    <xdr:pic>
      <xdr:nvPicPr>
        <xdr:cNvPr id="23503" name="1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8412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2484120</xdr:colOff>
      <xdr:row>4</xdr:row>
      <xdr:rowOff>137160</xdr:rowOff>
    </xdr:to>
    <xdr:pic>
      <xdr:nvPicPr>
        <xdr:cNvPr id="23504" name="2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8412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114300</xdr:colOff>
      <xdr:row>0</xdr:row>
      <xdr:rowOff>0</xdr:rowOff>
    </xdr:from>
    <xdr:to>
      <xdr:col>7</xdr:col>
      <xdr:colOff>0</xdr:colOff>
      <xdr:row>4</xdr:row>
      <xdr:rowOff>91440</xdr:rowOff>
    </xdr:to>
    <xdr:pic>
      <xdr:nvPicPr>
        <xdr:cNvPr id="95227" name="5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8840" y="0"/>
          <a:ext cx="224028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</xdr:colOff>
      <xdr:row>4</xdr:row>
      <xdr:rowOff>187982</xdr:rowOff>
    </xdr:from>
    <xdr:to>
      <xdr:col>7</xdr:col>
      <xdr:colOff>17009</xdr:colOff>
      <xdr:row>5</xdr:row>
      <xdr:rowOff>21853</xdr:rowOff>
    </xdr:to>
    <xdr:sp macro="" textlink="">
      <xdr:nvSpPr>
        <xdr:cNvPr id="3" name="2 Rectángulo"/>
        <xdr:cNvSpPr/>
      </xdr:nvSpPr>
      <xdr:spPr>
        <a:xfrm>
          <a:off x="1" y="995022"/>
          <a:ext cx="8002700" cy="46605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  <xdr:twoCellAnchor>
    <xdr:from>
      <xdr:col>0</xdr:col>
      <xdr:colOff>28575</xdr:colOff>
      <xdr:row>56</xdr:row>
      <xdr:rowOff>158385</xdr:rowOff>
    </xdr:from>
    <xdr:to>
      <xdr:col>18</xdr:col>
      <xdr:colOff>24629</xdr:colOff>
      <xdr:row>57</xdr:row>
      <xdr:rowOff>6419</xdr:rowOff>
    </xdr:to>
    <xdr:sp macro="" textlink="">
      <xdr:nvSpPr>
        <xdr:cNvPr id="4" name="3 Rectángulo"/>
        <xdr:cNvSpPr/>
      </xdr:nvSpPr>
      <xdr:spPr>
        <a:xfrm flipV="1">
          <a:off x="28575" y="11527085"/>
          <a:ext cx="16393546" cy="45719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114300</xdr:colOff>
      <xdr:row>0</xdr:row>
      <xdr:rowOff>0</xdr:rowOff>
    </xdr:from>
    <xdr:to>
      <xdr:col>7</xdr:col>
      <xdr:colOff>0</xdr:colOff>
      <xdr:row>4</xdr:row>
      <xdr:rowOff>91440</xdr:rowOff>
    </xdr:to>
    <xdr:pic>
      <xdr:nvPicPr>
        <xdr:cNvPr id="96187" name="5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8840" y="0"/>
          <a:ext cx="224028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</xdr:colOff>
      <xdr:row>4</xdr:row>
      <xdr:rowOff>178594</xdr:rowOff>
    </xdr:from>
    <xdr:to>
      <xdr:col>10</xdr:col>
      <xdr:colOff>0</xdr:colOff>
      <xdr:row>5</xdr:row>
      <xdr:rowOff>23813</xdr:rowOff>
    </xdr:to>
    <xdr:sp macro="" textlink="">
      <xdr:nvSpPr>
        <xdr:cNvPr id="3" name="2 Rectángulo"/>
        <xdr:cNvSpPr/>
      </xdr:nvSpPr>
      <xdr:spPr>
        <a:xfrm>
          <a:off x="1" y="978014"/>
          <a:ext cx="10281896" cy="63614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  <xdr:twoCellAnchor>
    <xdr:from>
      <xdr:col>0</xdr:col>
      <xdr:colOff>28575</xdr:colOff>
      <xdr:row>57</xdr:row>
      <xdr:rowOff>158384</xdr:rowOff>
    </xdr:from>
    <xdr:to>
      <xdr:col>25</xdr:col>
      <xdr:colOff>0</xdr:colOff>
      <xdr:row>58</xdr:row>
      <xdr:rowOff>6418</xdr:rowOff>
    </xdr:to>
    <xdr:sp macro="" textlink="">
      <xdr:nvSpPr>
        <xdr:cNvPr id="4" name="3 Rectángulo"/>
        <xdr:cNvSpPr/>
      </xdr:nvSpPr>
      <xdr:spPr>
        <a:xfrm flipV="1">
          <a:off x="28575" y="11714182"/>
          <a:ext cx="21853412" cy="45719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784860</xdr:colOff>
      <xdr:row>0</xdr:row>
      <xdr:rowOff>0</xdr:rowOff>
    </xdr:from>
    <xdr:to>
      <xdr:col>12</xdr:col>
      <xdr:colOff>670560</xdr:colOff>
      <xdr:row>4</xdr:row>
      <xdr:rowOff>91440</xdr:rowOff>
    </xdr:to>
    <xdr:pic>
      <xdr:nvPicPr>
        <xdr:cNvPr id="97157" name="5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83240" y="0"/>
          <a:ext cx="224028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</xdr:colOff>
      <xdr:row>4</xdr:row>
      <xdr:rowOff>188868</xdr:rowOff>
    </xdr:from>
    <xdr:to>
      <xdr:col>13</xdr:col>
      <xdr:colOff>1</xdr:colOff>
      <xdr:row>5</xdr:row>
      <xdr:rowOff>22207</xdr:rowOff>
    </xdr:to>
    <xdr:sp macro="" textlink="">
      <xdr:nvSpPr>
        <xdr:cNvPr id="3" name="2 Rectángulo"/>
        <xdr:cNvSpPr/>
      </xdr:nvSpPr>
      <xdr:spPr>
        <a:xfrm>
          <a:off x="2" y="995908"/>
          <a:ext cx="12697164" cy="45719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  <xdr:twoCellAnchor>
    <xdr:from>
      <xdr:col>0</xdr:col>
      <xdr:colOff>28575</xdr:colOff>
      <xdr:row>56</xdr:row>
      <xdr:rowOff>158382</xdr:rowOff>
    </xdr:from>
    <xdr:to>
      <xdr:col>27</xdr:col>
      <xdr:colOff>0</xdr:colOff>
      <xdr:row>57</xdr:row>
      <xdr:rowOff>6416</xdr:rowOff>
    </xdr:to>
    <xdr:sp macro="" textlink="">
      <xdr:nvSpPr>
        <xdr:cNvPr id="4" name="3 Rectángulo"/>
        <xdr:cNvSpPr/>
      </xdr:nvSpPr>
      <xdr:spPr>
        <a:xfrm flipV="1">
          <a:off x="28575" y="11510073"/>
          <a:ext cx="23384215" cy="45719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777240</xdr:colOff>
      <xdr:row>0</xdr:row>
      <xdr:rowOff>15240</xdr:rowOff>
    </xdr:from>
    <xdr:to>
      <xdr:col>5</xdr:col>
      <xdr:colOff>655320</xdr:colOff>
      <xdr:row>4</xdr:row>
      <xdr:rowOff>106680</xdr:rowOff>
    </xdr:to>
    <xdr:pic>
      <xdr:nvPicPr>
        <xdr:cNvPr id="98127" name="5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2060" y="15240"/>
          <a:ext cx="223266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</xdr:colOff>
      <xdr:row>4</xdr:row>
      <xdr:rowOff>184786</xdr:rowOff>
    </xdr:from>
    <xdr:to>
      <xdr:col>4</xdr:col>
      <xdr:colOff>47625</xdr:colOff>
      <xdr:row>5</xdr:row>
      <xdr:rowOff>23241</xdr:rowOff>
    </xdr:to>
    <xdr:sp macro="" textlink="">
      <xdr:nvSpPr>
        <xdr:cNvPr id="3" name="2 Rectángulo"/>
        <xdr:cNvSpPr/>
      </xdr:nvSpPr>
      <xdr:spPr>
        <a:xfrm>
          <a:off x="1" y="1002031"/>
          <a:ext cx="5724524" cy="45719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  <xdr:twoCellAnchor>
    <xdr:from>
      <xdr:col>0</xdr:col>
      <xdr:colOff>28575</xdr:colOff>
      <xdr:row>55</xdr:row>
      <xdr:rowOff>154304</xdr:rowOff>
    </xdr:from>
    <xdr:to>
      <xdr:col>6</xdr:col>
      <xdr:colOff>9525</xdr:colOff>
      <xdr:row>56</xdr:row>
      <xdr:rowOff>7237</xdr:rowOff>
    </xdr:to>
    <xdr:sp macro="" textlink="">
      <xdr:nvSpPr>
        <xdr:cNvPr id="4" name="3 Rectángulo"/>
        <xdr:cNvSpPr/>
      </xdr:nvSpPr>
      <xdr:spPr>
        <a:xfrm flipV="1">
          <a:off x="28575" y="11409044"/>
          <a:ext cx="7181850" cy="45719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114300</xdr:colOff>
      <xdr:row>0</xdr:row>
      <xdr:rowOff>0</xdr:rowOff>
    </xdr:from>
    <xdr:to>
      <xdr:col>7</xdr:col>
      <xdr:colOff>0</xdr:colOff>
      <xdr:row>4</xdr:row>
      <xdr:rowOff>91440</xdr:rowOff>
    </xdr:to>
    <xdr:pic>
      <xdr:nvPicPr>
        <xdr:cNvPr id="99100" name="5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8840" y="0"/>
          <a:ext cx="224028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</xdr:colOff>
      <xdr:row>4</xdr:row>
      <xdr:rowOff>187982</xdr:rowOff>
    </xdr:from>
    <xdr:to>
      <xdr:col>7</xdr:col>
      <xdr:colOff>17009</xdr:colOff>
      <xdr:row>5</xdr:row>
      <xdr:rowOff>21853</xdr:rowOff>
    </xdr:to>
    <xdr:sp macro="" textlink="">
      <xdr:nvSpPr>
        <xdr:cNvPr id="3" name="2 Rectángulo"/>
        <xdr:cNvSpPr/>
      </xdr:nvSpPr>
      <xdr:spPr>
        <a:xfrm>
          <a:off x="1" y="1005227"/>
          <a:ext cx="7979908" cy="42523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  <xdr:twoCellAnchor>
    <xdr:from>
      <xdr:col>0</xdr:col>
      <xdr:colOff>28575</xdr:colOff>
      <xdr:row>55</xdr:row>
      <xdr:rowOff>158385</xdr:rowOff>
    </xdr:from>
    <xdr:to>
      <xdr:col>18</xdr:col>
      <xdr:colOff>17009</xdr:colOff>
      <xdr:row>56</xdr:row>
      <xdr:rowOff>6419</xdr:rowOff>
    </xdr:to>
    <xdr:sp macro="" textlink="">
      <xdr:nvSpPr>
        <xdr:cNvPr id="4" name="3 Rectángulo"/>
        <xdr:cNvSpPr/>
      </xdr:nvSpPr>
      <xdr:spPr>
        <a:xfrm flipV="1">
          <a:off x="28575" y="11413125"/>
          <a:ext cx="16333334" cy="41637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114300</xdr:colOff>
      <xdr:row>0</xdr:row>
      <xdr:rowOff>0</xdr:rowOff>
    </xdr:from>
    <xdr:to>
      <xdr:col>7</xdr:col>
      <xdr:colOff>0</xdr:colOff>
      <xdr:row>4</xdr:row>
      <xdr:rowOff>91440</xdr:rowOff>
    </xdr:to>
    <xdr:pic>
      <xdr:nvPicPr>
        <xdr:cNvPr id="100050" name="5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8840" y="0"/>
          <a:ext cx="224028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19051</xdr:colOff>
      <xdr:row>4</xdr:row>
      <xdr:rowOff>170838</xdr:rowOff>
    </xdr:from>
    <xdr:to>
      <xdr:col>10</xdr:col>
      <xdr:colOff>9525</xdr:colOff>
      <xdr:row>5</xdr:row>
      <xdr:rowOff>9293</xdr:rowOff>
    </xdr:to>
    <xdr:sp macro="" textlink="">
      <xdr:nvSpPr>
        <xdr:cNvPr id="3" name="2 Rectángulo"/>
        <xdr:cNvSpPr/>
      </xdr:nvSpPr>
      <xdr:spPr>
        <a:xfrm flipV="1">
          <a:off x="19051" y="988083"/>
          <a:ext cx="10325099" cy="45719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  <xdr:twoCellAnchor>
    <xdr:from>
      <xdr:col>0</xdr:col>
      <xdr:colOff>28574</xdr:colOff>
      <xdr:row>55</xdr:row>
      <xdr:rowOff>171447</xdr:rowOff>
    </xdr:from>
    <xdr:to>
      <xdr:col>25</xdr:col>
      <xdr:colOff>19049</xdr:colOff>
      <xdr:row>56</xdr:row>
      <xdr:rowOff>7616</xdr:rowOff>
    </xdr:to>
    <xdr:sp macro="" textlink="">
      <xdr:nvSpPr>
        <xdr:cNvPr id="4" name="3 Rectángulo"/>
        <xdr:cNvSpPr/>
      </xdr:nvSpPr>
      <xdr:spPr>
        <a:xfrm flipV="1">
          <a:off x="28574" y="11618592"/>
          <a:ext cx="21669375" cy="45719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114300</xdr:colOff>
      <xdr:row>0</xdr:row>
      <xdr:rowOff>0</xdr:rowOff>
    </xdr:from>
    <xdr:to>
      <xdr:col>7</xdr:col>
      <xdr:colOff>0</xdr:colOff>
      <xdr:row>4</xdr:row>
      <xdr:rowOff>91440</xdr:rowOff>
    </xdr:to>
    <xdr:pic>
      <xdr:nvPicPr>
        <xdr:cNvPr id="101004" name="5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8840" y="0"/>
          <a:ext cx="224028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19051</xdr:colOff>
      <xdr:row>4</xdr:row>
      <xdr:rowOff>154303</xdr:rowOff>
    </xdr:from>
    <xdr:to>
      <xdr:col>13</xdr:col>
      <xdr:colOff>28575</xdr:colOff>
      <xdr:row>5</xdr:row>
      <xdr:rowOff>11429</xdr:rowOff>
    </xdr:to>
    <xdr:sp macro="" textlink="">
      <xdr:nvSpPr>
        <xdr:cNvPr id="3" name="2 Rectángulo"/>
        <xdr:cNvSpPr/>
      </xdr:nvSpPr>
      <xdr:spPr>
        <a:xfrm flipV="1">
          <a:off x="19051" y="971548"/>
          <a:ext cx="12811124" cy="57151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  <xdr:twoCellAnchor>
    <xdr:from>
      <xdr:col>0</xdr:col>
      <xdr:colOff>28574</xdr:colOff>
      <xdr:row>55</xdr:row>
      <xdr:rowOff>179067</xdr:rowOff>
    </xdr:from>
    <xdr:to>
      <xdr:col>27</xdr:col>
      <xdr:colOff>26670</xdr:colOff>
      <xdr:row>56</xdr:row>
      <xdr:rowOff>9209</xdr:rowOff>
    </xdr:to>
    <xdr:sp macro="" textlink="">
      <xdr:nvSpPr>
        <xdr:cNvPr id="4" name="3 Rectángulo"/>
        <xdr:cNvSpPr/>
      </xdr:nvSpPr>
      <xdr:spPr>
        <a:xfrm flipV="1">
          <a:off x="28574" y="11218542"/>
          <a:ext cx="21755100" cy="36194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777240</xdr:colOff>
      <xdr:row>0</xdr:row>
      <xdr:rowOff>15240</xdr:rowOff>
    </xdr:from>
    <xdr:to>
      <xdr:col>5</xdr:col>
      <xdr:colOff>655320</xdr:colOff>
      <xdr:row>4</xdr:row>
      <xdr:rowOff>106680</xdr:rowOff>
    </xdr:to>
    <xdr:pic>
      <xdr:nvPicPr>
        <xdr:cNvPr id="101981" name="5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2060" y="15240"/>
          <a:ext cx="223266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</xdr:colOff>
      <xdr:row>7</xdr:row>
      <xdr:rowOff>184786</xdr:rowOff>
    </xdr:from>
    <xdr:to>
      <xdr:col>4</xdr:col>
      <xdr:colOff>47625</xdr:colOff>
      <xdr:row>8</xdr:row>
      <xdr:rowOff>23241</xdr:rowOff>
    </xdr:to>
    <xdr:sp macro="" textlink="">
      <xdr:nvSpPr>
        <xdr:cNvPr id="3" name="2 Rectángulo"/>
        <xdr:cNvSpPr/>
      </xdr:nvSpPr>
      <xdr:spPr>
        <a:xfrm>
          <a:off x="1" y="1002031"/>
          <a:ext cx="5724524" cy="45719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  <xdr:twoCellAnchor>
    <xdr:from>
      <xdr:col>0</xdr:col>
      <xdr:colOff>28575</xdr:colOff>
      <xdr:row>61</xdr:row>
      <xdr:rowOff>154304</xdr:rowOff>
    </xdr:from>
    <xdr:to>
      <xdr:col>6</xdr:col>
      <xdr:colOff>9525</xdr:colOff>
      <xdr:row>62</xdr:row>
      <xdr:rowOff>7237</xdr:rowOff>
    </xdr:to>
    <xdr:sp macro="" textlink="">
      <xdr:nvSpPr>
        <xdr:cNvPr id="4" name="3 Rectángulo"/>
        <xdr:cNvSpPr/>
      </xdr:nvSpPr>
      <xdr:spPr>
        <a:xfrm flipV="1">
          <a:off x="28575" y="11209019"/>
          <a:ext cx="7181850" cy="45719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441960</xdr:colOff>
      <xdr:row>0</xdr:row>
      <xdr:rowOff>83820</xdr:rowOff>
    </xdr:from>
    <xdr:to>
      <xdr:col>7</xdr:col>
      <xdr:colOff>320040</xdr:colOff>
      <xdr:row>4</xdr:row>
      <xdr:rowOff>175260</xdr:rowOff>
    </xdr:to>
    <xdr:pic>
      <xdr:nvPicPr>
        <xdr:cNvPr id="102944" name="5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83820"/>
          <a:ext cx="223266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</xdr:row>
      <xdr:rowOff>182880</xdr:rowOff>
    </xdr:from>
    <xdr:to>
      <xdr:col>7</xdr:col>
      <xdr:colOff>38099</xdr:colOff>
      <xdr:row>8</xdr:row>
      <xdr:rowOff>22860</xdr:rowOff>
    </xdr:to>
    <xdr:sp macro="" textlink="">
      <xdr:nvSpPr>
        <xdr:cNvPr id="3" name="2 Rectángulo"/>
        <xdr:cNvSpPr/>
      </xdr:nvSpPr>
      <xdr:spPr>
        <a:xfrm>
          <a:off x="0" y="1943100"/>
          <a:ext cx="8000999" cy="47625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  <xdr:twoCellAnchor>
    <xdr:from>
      <xdr:col>0</xdr:col>
      <xdr:colOff>28574</xdr:colOff>
      <xdr:row>61</xdr:row>
      <xdr:rowOff>154303</xdr:rowOff>
    </xdr:from>
    <xdr:to>
      <xdr:col>18</xdr:col>
      <xdr:colOff>2</xdr:colOff>
      <xdr:row>62</xdr:row>
      <xdr:rowOff>7236</xdr:rowOff>
    </xdr:to>
    <xdr:sp macro="" textlink="">
      <xdr:nvSpPr>
        <xdr:cNvPr id="4" name="3 Rectángulo"/>
        <xdr:cNvSpPr/>
      </xdr:nvSpPr>
      <xdr:spPr>
        <a:xfrm flipV="1">
          <a:off x="28574" y="12752068"/>
          <a:ext cx="16316325" cy="45719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441960</xdr:colOff>
      <xdr:row>0</xdr:row>
      <xdr:rowOff>83820</xdr:rowOff>
    </xdr:from>
    <xdr:to>
      <xdr:col>7</xdr:col>
      <xdr:colOff>320040</xdr:colOff>
      <xdr:row>4</xdr:row>
      <xdr:rowOff>175260</xdr:rowOff>
    </xdr:to>
    <xdr:pic>
      <xdr:nvPicPr>
        <xdr:cNvPr id="103913" name="5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83820"/>
          <a:ext cx="223266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</xdr:row>
      <xdr:rowOff>182880</xdr:rowOff>
    </xdr:from>
    <xdr:to>
      <xdr:col>9</xdr:col>
      <xdr:colOff>775331</xdr:colOff>
      <xdr:row>8</xdr:row>
      <xdr:rowOff>21335</xdr:rowOff>
    </xdr:to>
    <xdr:sp macro="" textlink="">
      <xdr:nvSpPr>
        <xdr:cNvPr id="3" name="2 Rectángulo"/>
        <xdr:cNvSpPr/>
      </xdr:nvSpPr>
      <xdr:spPr>
        <a:xfrm>
          <a:off x="0" y="1943100"/>
          <a:ext cx="10363200" cy="45719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  <xdr:twoCellAnchor>
    <xdr:from>
      <xdr:col>0</xdr:col>
      <xdr:colOff>28573</xdr:colOff>
      <xdr:row>61</xdr:row>
      <xdr:rowOff>154302</xdr:rowOff>
    </xdr:from>
    <xdr:to>
      <xdr:col>25</xdr:col>
      <xdr:colOff>1</xdr:colOff>
      <xdr:row>62</xdr:row>
      <xdr:rowOff>7235</xdr:rowOff>
    </xdr:to>
    <xdr:sp macro="" textlink="">
      <xdr:nvSpPr>
        <xdr:cNvPr id="4" name="3 Rectángulo"/>
        <xdr:cNvSpPr/>
      </xdr:nvSpPr>
      <xdr:spPr>
        <a:xfrm flipV="1">
          <a:off x="28573" y="12752067"/>
          <a:ext cx="21774151" cy="45719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0</xdr:row>
      <xdr:rowOff>30480</xdr:rowOff>
    </xdr:from>
    <xdr:to>
      <xdr:col>0</xdr:col>
      <xdr:colOff>2065020</xdr:colOff>
      <xdr:row>4</xdr:row>
      <xdr:rowOff>45720</xdr:rowOff>
    </xdr:to>
    <xdr:pic>
      <xdr:nvPicPr>
        <xdr:cNvPr id="24040" name="1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30480"/>
          <a:ext cx="203454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320040</xdr:colOff>
      <xdr:row>0</xdr:row>
      <xdr:rowOff>83820</xdr:rowOff>
    </xdr:from>
    <xdr:to>
      <xdr:col>12</xdr:col>
      <xdr:colOff>160020</xdr:colOff>
      <xdr:row>4</xdr:row>
      <xdr:rowOff>175260</xdr:rowOff>
    </xdr:to>
    <xdr:pic>
      <xdr:nvPicPr>
        <xdr:cNvPr id="104834" name="5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8420" y="83820"/>
          <a:ext cx="224028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</xdr:row>
      <xdr:rowOff>182880</xdr:rowOff>
    </xdr:from>
    <xdr:to>
      <xdr:col>12</xdr:col>
      <xdr:colOff>758185</xdr:colOff>
      <xdr:row>8</xdr:row>
      <xdr:rowOff>21335</xdr:rowOff>
    </xdr:to>
    <xdr:sp macro="" textlink="">
      <xdr:nvSpPr>
        <xdr:cNvPr id="3" name="2 Rectángulo"/>
        <xdr:cNvSpPr/>
      </xdr:nvSpPr>
      <xdr:spPr>
        <a:xfrm>
          <a:off x="0" y="1943100"/>
          <a:ext cx="12639674" cy="45719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  <xdr:twoCellAnchor>
    <xdr:from>
      <xdr:col>0</xdr:col>
      <xdr:colOff>28573</xdr:colOff>
      <xdr:row>62</xdr:row>
      <xdr:rowOff>182879</xdr:rowOff>
    </xdr:from>
    <xdr:to>
      <xdr:col>26</xdr:col>
      <xdr:colOff>776925</xdr:colOff>
      <xdr:row>63</xdr:row>
      <xdr:rowOff>32065</xdr:rowOff>
    </xdr:to>
    <xdr:sp macro="" textlink="">
      <xdr:nvSpPr>
        <xdr:cNvPr id="4" name="3 Rectángulo"/>
        <xdr:cNvSpPr/>
      </xdr:nvSpPr>
      <xdr:spPr>
        <a:xfrm flipV="1">
          <a:off x="28573" y="12906374"/>
          <a:ext cx="23339428" cy="39687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777240</xdr:colOff>
      <xdr:row>0</xdr:row>
      <xdr:rowOff>15240</xdr:rowOff>
    </xdr:from>
    <xdr:to>
      <xdr:col>5</xdr:col>
      <xdr:colOff>655320</xdr:colOff>
      <xdr:row>4</xdr:row>
      <xdr:rowOff>106680</xdr:rowOff>
    </xdr:to>
    <xdr:pic>
      <xdr:nvPicPr>
        <xdr:cNvPr id="105776" name="5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2060" y="15240"/>
          <a:ext cx="223266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</xdr:colOff>
      <xdr:row>6</xdr:row>
      <xdr:rowOff>184785</xdr:rowOff>
    </xdr:from>
    <xdr:to>
      <xdr:col>4</xdr:col>
      <xdr:colOff>9525</xdr:colOff>
      <xdr:row>7</xdr:row>
      <xdr:rowOff>35718</xdr:rowOff>
    </xdr:to>
    <xdr:sp macro="" textlink="">
      <xdr:nvSpPr>
        <xdr:cNvPr id="3" name="2 Rectángulo"/>
        <xdr:cNvSpPr/>
      </xdr:nvSpPr>
      <xdr:spPr>
        <a:xfrm>
          <a:off x="1" y="1945005"/>
          <a:ext cx="5686424" cy="64769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  <xdr:twoCellAnchor>
    <xdr:from>
      <xdr:col>0</xdr:col>
      <xdr:colOff>28575</xdr:colOff>
      <xdr:row>61</xdr:row>
      <xdr:rowOff>154304</xdr:rowOff>
    </xdr:from>
    <xdr:to>
      <xdr:col>6</xdr:col>
      <xdr:colOff>9525</xdr:colOff>
      <xdr:row>62</xdr:row>
      <xdr:rowOff>7237</xdr:rowOff>
    </xdr:to>
    <xdr:sp macro="" textlink="">
      <xdr:nvSpPr>
        <xdr:cNvPr id="4" name="3 Rectángulo"/>
        <xdr:cNvSpPr/>
      </xdr:nvSpPr>
      <xdr:spPr>
        <a:xfrm flipV="1">
          <a:off x="28575" y="12752069"/>
          <a:ext cx="7181850" cy="45719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777240</xdr:colOff>
      <xdr:row>0</xdr:row>
      <xdr:rowOff>15240</xdr:rowOff>
    </xdr:from>
    <xdr:to>
      <xdr:col>5</xdr:col>
      <xdr:colOff>655320</xdr:colOff>
      <xdr:row>4</xdr:row>
      <xdr:rowOff>106680</xdr:rowOff>
    </xdr:to>
    <xdr:pic>
      <xdr:nvPicPr>
        <xdr:cNvPr id="106743" name="5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2060" y="15240"/>
          <a:ext cx="223266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</xdr:row>
      <xdr:rowOff>148590</xdr:rowOff>
    </xdr:from>
    <xdr:to>
      <xdr:col>7</xdr:col>
      <xdr:colOff>38100</xdr:colOff>
      <xdr:row>7</xdr:row>
      <xdr:rowOff>1523</xdr:rowOff>
    </xdr:to>
    <xdr:sp macro="" textlink="">
      <xdr:nvSpPr>
        <xdr:cNvPr id="3" name="2 Rectángulo"/>
        <xdr:cNvSpPr/>
      </xdr:nvSpPr>
      <xdr:spPr>
        <a:xfrm flipV="1">
          <a:off x="0" y="1251585"/>
          <a:ext cx="8001000" cy="45719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  <xdr:twoCellAnchor>
    <xdr:from>
      <xdr:col>0</xdr:col>
      <xdr:colOff>28575</xdr:colOff>
      <xdr:row>61</xdr:row>
      <xdr:rowOff>154303</xdr:rowOff>
    </xdr:from>
    <xdr:to>
      <xdr:col>18</xdr:col>
      <xdr:colOff>9525</xdr:colOff>
      <xdr:row>62</xdr:row>
      <xdr:rowOff>7236</xdr:rowOff>
    </xdr:to>
    <xdr:sp macro="" textlink="">
      <xdr:nvSpPr>
        <xdr:cNvPr id="4" name="3 Rectángulo"/>
        <xdr:cNvSpPr/>
      </xdr:nvSpPr>
      <xdr:spPr>
        <a:xfrm flipV="1">
          <a:off x="28575" y="12294868"/>
          <a:ext cx="16325850" cy="45719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777240</xdr:colOff>
      <xdr:row>0</xdr:row>
      <xdr:rowOff>15240</xdr:rowOff>
    </xdr:from>
    <xdr:to>
      <xdr:col>5</xdr:col>
      <xdr:colOff>655320</xdr:colOff>
      <xdr:row>4</xdr:row>
      <xdr:rowOff>106680</xdr:rowOff>
    </xdr:to>
    <xdr:pic>
      <xdr:nvPicPr>
        <xdr:cNvPr id="107701" name="5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2060" y="15240"/>
          <a:ext cx="223266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</xdr:row>
      <xdr:rowOff>148589</xdr:rowOff>
    </xdr:from>
    <xdr:to>
      <xdr:col>10</xdr:col>
      <xdr:colOff>9524</xdr:colOff>
      <xdr:row>7</xdr:row>
      <xdr:rowOff>1522</xdr:rowOff>
    </xdr:to>
    <xdr:sp macro="" textlink="">
      <xdr:nvSpPr>
        <xdr:cNvPr id="3" name="2 Rectángulo"/>
        <xdr:cNvSpPr/>
      </xdr:nvSpPr>
      <xdr:spPr>
        <a:xfrm flipV="1">
          <a:off x="0" y="1413509"/>
          <a:ext cx="10258424" cy="45719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  <xdr:twoCellAnchor>
    <xdr:from>
      <xdr:col>0</xdr:col>
      <xdr:colOff>0</xdr:colOff>
      <xdr:row>61</xdr:row>
      <xdr:rowOff>152397</xdr:rowOff>
    </xdr:from>
    <xdr:to>
      <xdr:col>25</xdr:col>
      <xdr:colOff>38100</xdr:colOff>
      <xdr:row>62</xdr:row>
      <xdr:rowOff>5330</xdr:rowOff>
    </xdr:to>
    <xdr:sp macro="" textlink="">
      <xdr:nvSpPr>
        <xdr:cNvPr id="4" name="3 Rectángulo"/>
        <xdr:cNvSpPr/>
      </xdr:nvSpPr>
      <xdr:spPr>
        <a:xfrm flipV="1">
          <a:off x="0" y="12447267"/>
          <a:ext cx="21831300" cy="45719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484070</xdr:colOff>
      <xdr:row>4</xdr:row>
      <xdr:rowOff>121920</xdr:rowOff>
    </xdr:from>
    <xdr:to>
      <xdr:col>13</xdr:col>
      <xdr:colOff>109019</xdr:colOff>
      <xdr:row>6</xdr:row>
      <xdr:rowOff>152400</xdr:rowOff>
    </xdr:to>
    <xdr:pic>
      <xdr:nvPicPr>
        <xdr:cNvPr id="108658" name="5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36930" y="899160"/>
          <a:ext cx="1194669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</xdr:row>
      <xdr:rowOff>158113</xdr:rowOff>
    </xdr:from>
    <xdr:to>
      <xdr:col>13</xdr:col>
      <xdr:colOff>0</xdr:colOff>
      <xdr:row>7</xdr:row>
      <xdr:rowOff>11046</xdr:rowOff>
    </xdr:to>
    <xdr:sp macro="" textlink="">
      <xdr:nvSpPr>
        <xdr:cNvPr id="3" name="2 Rectángulo"/>
        <xdr:cNvSpPr/>
      </xdr:nvSpPr>
      <xdr:spPr>
        <a:xfrm flipV="1">
          <a:off x="0" y="1423033"/>
          <a:ext cx="12649200" cy="45719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  <xdr:twoCellAnchor>
    <xdr:from>
      <xdr:col>0</xdr:col>
      <xdr:colOff>0</xdr:colOff>
      <xdr:row>63</xdr:row>
      <xdr:rowOff>142869</xdr:rowOff>
    </xdr:from>
    <xdr:to>
      <xdr:col>27</xdr:col>
      <xdr:colOff>19050</xdr:colOff>
      <xdr:row>64</xdr:row>
      <xdr:rowOff>11429</xdr:rowOff>
    </xdr:to>
    <xdr:sp macro="" textlink="">
      <xdr:nvSpPr>
        <xdr:cNvPr id="4" name="3 Rectángulo"/>
        <xdr:cNvSpPr/>
      </xdr:nvSpPr>
      <xdr:spPr>
        <a:xfrm flipV="1">
          <a:off x="0" y="13180689"/>
          <a:ext cx="23174325" cy="68585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  <xdr:twoCellAnchor>
    <xdr:from>
      <xdr:col>0</xdr:col>
      <xdr:colOff>28573</xdr:colOff>
      <xdr:row>62</xdr:row>
      <xdr:rowOff>182879</xdr:rowOff>
    </xdr:from>
    <xdr:to>
      <xdr:col>26</xdr:col>
      <xdr:colOff>776925</xdr:colOff>
      <xdr:row>63</xdr:row>
      <xdr:rowOff>0</xdr:rowOff>
    </xdr:to>
    <xdr:sp macro="" textlink="">
      <xdr:nvSpPr>
        <xdr:cNvPr id="5" name="3 Rectángulo"/>
        <xdr:cNvSpPr/>
      </xdr:nvSpPr>
      <xdr:spPr>
        <a:xfrm flipV="1">
          <a:off x="28573" y="12973049"/>
          <a:ext cx="23337840" cy="41274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  <xdr:twoCellAnchor>
    <xdr:from>
      <xdr:col>0</xdr:col>
      <xdr:colOff>28573</xdr:colOff>
      <xdr:row>61</xdr:row>
      <xdr:rowOff>182879</xdr:rowOff>
    </xdr:from>
    <xdr:to>
      <xdr:col>26</xdr:col>
      <xdr:colOff>776925</xdr:colOff>
      <xdr:row>62</xdr:row>
      <xdr:rowOff>0</xdr:rowOff>
    </xdr:to>
    <xdr:sp macro="" textlink="">
      <xdr:nvSpPr>
        <xdr:cNvPr id="6" name="3 Rectángulo"/>
        <xdr:cNvSpPr/>
      </xdr:nvSpPr>
      <xdr:spPr>
        <a:xfrm flipV="1">
          <a:off x="28573" y="12973049"/>
          <a:ext cx="23337840" cy="41274"/>
        </a:xfrm>
        <a:prstGeom prst="rect">
          <a:avLst/>
        </a:prstGeom>
        <a:gradFill flip="none" rotWithShape="1">
          <a:gsLst>
            <a:gs pos="0">
              <a:srgbClr val="2DB6AB"/>
            </a:gs>
            <a:gs pos="50000">
              <a:schemeClr val="accent1">
                <a:tint val="44500"/>
                <a:satMod val="160000"/>
              </a:schemeClr>
            </a:gs>
            <a:gs pos="100000">
              <a:srgbClr val="DDDE3A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CO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784860</xdr:colOff>
      <xdr:row>4</xdr:row>
      <xdr:rowOff>137160</xdr:rowOff>
    </xdr:to>
    <xdr:pic>
      <xdr:nvPicPr>
        <xdr:cNvPr id="25551" name="1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8486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1348740</xdr:colOff>
      <xdr:row>4</xdr:row>
      <xdr:rowOff>137160</xdr:rowOff>
    </xdr:to>
    <xdr:pic>
      <xdr:nvPicPr>
        <xdr:cNvPr id="25552" name="2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4874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0</xdr:row>
      <xdr:rowOff>30480</xdr:rowOff>
    </xdr:from>
    <xdr:to>
      <xdr:col>0</xdr:col>
      <xdr:colOff>1333500</xdr:colOff>
      <xdr:row>3</xdr:row>
      <xdr:rowOff>121920</xdr:rowOff>
    </xdr:to>
    <xdr:pic>
      <xdr:nvPicPr>
        <xdr:cNvPr id="26088" name="1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30480"/>
          <a:ext cx="1303020" cy="640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784860</xdr:colOff>
      <xdr:row>4</xdr:row>
      <xdr:rowOff>137160</xdr:rowOff>
    </xdr:to>
    <xdr:pic>
      <xdr:nvPicPr>
        <xdr:cNvPr id="27599" name="1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8486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960120</xdr:colOff>
      <xdr:row>4</xdr:row>
      <xdr:rowOff>137160</xdr:rowOff>
    </xdr:to>
    <xdr:pic>
      <xdr:nvPicPr>
        <xdr:cNvPr id="27600" name="2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6012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0</xdr:row>
      <xdr:rowOff>30480</xdr:rowOff>
    </xdr:from>
    <xdr:to>
      <xdr:col>0</xdr:col>
      <xdr:colOff>1333500</xdr:colOff>
      <xdr:row>3</xdr:row>
      <xdr:rowOff>121920</xdr:rowOff>
    </xdr:to>
    <xdr:pic>
      <xdr:nvPicPr>
        <xdr:cNvPr id="28136" name="1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30480"/>
          <a:ext cx="1303020" cy="640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784860</xdr:colOff>
      <xdr:row>4</xdr:row>
      <xdr:rowOff>137160</xdr:rowOff>
    </xdr:to>
    <xdr:pic>
      <xdr:nvPicPr>
        <xdr:cNvPr id="29647" name="1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8486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1348740</xdr:colOff>
      <xdr:row>4</xdr:row>
      <xdr:rowOff>137160</xdr:rowOff>
    </xdr:to>
    <xdr:pic>
      <xdr:nvPicPr>
        <xdr:cNvPr id="29648" name="2 Imagen" descr="logo nutresa horizontal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4874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UPERVRE\Trim012005\PG0320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g032004"/>
      <sheetName val="pg062004"/>
      <sheetName val="pg092004"/>
      <sheetName val="pg032005"/>
    </sheetNames>
    <sheetDataSet>
      <sheetData sheetId="0">
        <row r="16">
          <cell r="B16">
            <v>36746</v>
          </cell>
          <cell r="C16">
            <v>23752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customProperty" Target="../customProperty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3.bin"/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28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2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7.bin"/><Relationship Id="rId1" Type="http://schemas.openxmlformats.org/officeDocument/2006/relationships/printerSettings" Target="../printerSettings/printerSettings30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8.bin"/><Relationship Id="rId1" Type="http://schemas.openxmlformats.org/officeDocument/2006/relationships/printerSettings" Target="../printerSettings/printerSettings31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9.bin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customProperty" Target="../customProperty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0.bin"/><Relationship Id="rId1" Type="http://schemas.openxmlformats.org/officeDocument/2006/relationships/printerSettings" Target="../printerSettings/printerSettings33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4.bin"/><Relationship Id="rId1" Type="http://schemas.openxmlformats.org/officeDocument/2006/relationships/printerSettings" Target="../printerSettings/printerSettings3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47.bin"/><Relationship Id="rId1" Type="http://schemas.openxmlformats.org/officeDocument/2006/relationships/printerSettings" Target="../printerSettings/printerSettings35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48.bin"/><Relationship Id="rId1" Type="http://schemas.openxmlformats.org/officeDocument/2006/relationships/printerSettings" Target="../printerSettings/printerSettings36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customProperty" Target="../customProperty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50.bin"/><Relationship Id="rId1" Type="http://schemas.openxmlformats.org/officeDocument/2006/relationships/printerSettings" Target="../printerSettings/printerSettings37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customProperty" Target="../customProperty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customProperty" Target="../customProperty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customProperty" Target="../customProperty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customProperty" Target="../customProperty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55.bin"/><Relationship Id="rId1" Type="http://schemas.openxmlformats.org/officeDocument/2006/relationships/printerSettings" Target="../printerSettings/printerSettings38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customProperty" Target="../customProperty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57.bin"/><Relationship Id="rId1" Type="http://schemas.openxmlformats.org/officeDocument/2006/relationships/printerSettings" Target="../printerSettings/printerSettings39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customProperty" Target="../customProperty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customProperty" Target="../customProperty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customProperty" Target="../customProperty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customProperty" Target="../customProperty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customProperty" Target="../customProperty61.bin"/><Relationship Id="rId1" Type="http://schemas.openxmlformats.org/officeDocument/2006/relationships/printerSettings" Target="../printerSettings/printerSettings40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customProperty" Target="../customProperty62.bin"/><Relationship Id="rId1" Type="http://schemas.openxmlformats.org/officeDocument/2006/relationships/printerSettings" Target="../printerSettings/printerSettings41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customProperty" Target="../customProperty63.bin"/><Relationship Id="rId1" Type="http://schemas.openxmlformats.org/officeDocument/2006/relationships/printerSettings" Target="../printerSettings/printerSettings42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customProperty" Target="../customProperty64.bin"/><Relationship Id="rId1" Type="http://schemas.openxmlformats.org/officeDocument/2006/relationships/printerSettings" Target="../printerSettings/printerSettings43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customProperty" Target="../customProperty65.bin"/><Relationship Id="rId1" Type="http://schemas.openxmlformats.org/officeDocument/2006/relationships/printerSettings" Target="../printerSettings/printerSettings44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customProperty" Target="../customProperty66.bin"/><Relationship Id="rId1" Type="http://schemas.openxmlformats.org/officeDocument/2006/relationships/printerSettings" Target="../printerSettings/printerSettings45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customProperty" Target="../customProperty67.bin"/><Relationship Id="rId1" Type="http://schemas.openxmlformats.org/officeDocument/2006/relationships/printerSettings" Target="../printerSettings/printerSettings46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customProperty" Target="../customProperty68.bin"/><Relationship Id="rId1" Type="http://schemas.openxmlformats.org/officeDocument/2006/relationships/printerSettings" Target="../printerSettings/printerSettings47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customProperty" Target="../customProperty69.bin"/><Relationship Id="rId1" Type="http://schemas.openxmlformats.org/officeDocument/2006/relationships/printerSettings" Target="../printerSettings/printerSettings4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customProperty" Target="../customProperty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customProperty" Target="../customProperty70.bin"/><Relationship Id="rId1" Type="http://schemas.openxmlformats.org/officeDocument/2006/relationships/printerSettings" Target="../printerSettings/printerSettings49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customProperty" Target="../customProperty71.bin"/><Relationship Id="rId1" Type="http://schemas.openxmlformats.org/officeDocument/2006/relationships/printerSettings" Target="../printerSettings/printerSettings50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customProperty" Target="../customProperty72.bin"/><Relationship Id="rId1" Type="http://schemas.openxmlformats.org/officeDocument/2006/relationships/printerSettings" Target="../printerSettings/printerSettings51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customProperty" Target="../customProperty73.bin"/><Relationship Id="rId1" Type="http://schemas.openxmlformats.org/officeDocument/2006/relationships/printerSettings" Target="../printerSettings/printerSettings52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customProperty" Target="../customProperty74.bin"/><Relationship Id="rId1" Type="http://schemas.openxmlformats.org/officeDocument/2006/relationships/printerSettings" Target="../printerSettings/printerSettings53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customProperty" Target="../customProperty75.bin"/><Relationship Id="rId1" Type="http://schemas.openxmlformats.org/officeDocument/2006/relationships/printerSettings" Target="../printerSettings/printerSettings54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.xml"/><Relationship Id="rId2" Type="http://schemas.openxmlformats.org/officeDocument/2006/relationships/customProperty" Target="../customProperty76.bin"/><Relationship Id="rId1" Type="http://schemas.openxmlformats.org/officeDocument/2006/relationships/printerSettings" Target="../printerSettings/printerSettings55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.xml"/><Relationship Id="rId2" Type="http://schemas.openxmlformats.org/officeDocument/2006/relationships/customProperty" Target="../customProperty77.bin"/><Relationship Id="rId1" Type="http://schemas.openxmlformats.org/officeDocument/2006/relationships/printerSettings" Target="../printerSettings/printerSettings56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customProperty" Target="../customProperty78.bin"/><Relationship Id="rId1" Type="http://schemas.openxmlformats.org/officeDocument/2006/relationships/printerSettings" Target="../printerSettings/printerSettings57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customProperty" Target="../customProperty79.bin"/><Relationship Id="rId1" Type="http://schemas.openxmlformats.org/officeDocument/2006/relationships/printerSettings" Target="../printerSettings/printerSettings58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6.xml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customProperty" Target="../customProperty80.bin"/><Relationship Id="rId1" Type="http://schemas.openxmlformats.org/officeDocument/2006/relationships/printerSettings" Target="../printerSettings/printerSettings59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5.xml"/><Relationship Id="rId2" Type="http://schemas.openxmlformats.org/officeDocument/2006/relationships/customProperty" Target="../customProperty81.bin"/><Relationship Id="rId1" Type="http://schemas.openxmlformats.org/officeDocument/2006/relationships/printerSettings" Target="../printerSettings/printerSettings60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customProperty" Target="../customProperty82.bin"/><Relationship Id="rId1" Type="http://schemas.openxmlformats.org/officeDocument/2006/relationships/printerSettings" Target="../printerSettings/printerSettings61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7.xml"/><Relationship Id="rId2" Type="http://schemas.openxmlformats.org/officeDocument/2006/relationships/customProperty" Target="../customProperty83.bin"/><Relationship Id="rId1" Type="http://schemas.openxmlformats.org/officeDocument/2006/relationships/printerSettings" Target="../printerSettings/printerSettings62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8.xml"/><Relationship Id="rId2" Type="http://schemas.openxmlformats.org/officeDocument/2006/relationships/customProperty" Target="../customProperty84.bin"/><Relationship Id="rId1" Type="http://schemas.openxmlformats.org/officeDocument/2006/relationships/printerSettings" Target="../printerSettings/printerSettings63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9.xml"/><Relationship Id="rId2" Type="http://schemas.openxmlformats.org/officeDocument/2006/relationships/customProperty" Target="../customProperty85.bin"/><Relationship Id="rId1" Type="http://schemas.openxmlformats.org/officeDocument/2006/relationships/printerSettings" Target="../printerSettings/printerSettings64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0.xml"/><Relationship Id="rId2" Type="http://schemas.openxmlformats.org/officeDocument/2006/relationships/customProperty" Target="../customProperty86.bin"/><Relationship Id="rId1" Type="http://schemas.openxmlformats.org/officeDocument/2006/relationships/printerSettings" Target="../printerSettings/printerSettings65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1.xml"/><Relationship Id="rId2" Type="http://schemas.openxmlformats.org/officeDocument/2006/relationships/customProperty" Target="../customProperty87.bin"/><Relationship Id="rId1" Type="http://schemas.openxmlformats.org/officeDocument/2006/relationships/printerSettings" Target="../printerSettings/printerSettings66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2.xml"/><Relationship Id="rId2" Type="http://schemas.openxmlformats.org/officeDocument/2006/relationships/customProperty" Target="../customProperty88.bin"/><Relationship Id="rId1" Type="http://schemas.openxmlformats.org/officeDocument/2006/relationships/printerSettings" Target="../printerSettings/printerSettings67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3.xml"/><Relationship Id="rId2" Type="http://schemas.openxmlformats.org/officeDocument/2006/relationships/customProperty" Target="../customProperty89.bin"/><Relationship Id="rId1" Type="http://schemas.openxmlformats.org/officeDocument/2006/relationships/printerSettings" Target="../printerSettings/printerSettings6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4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90.bin"/><Relationship Id="rId2" Type="http://schemas.openxmlformats.org/officeDocument/2006/relationships/printerSettings" Target="../printerSettings/printerSettings69.bin"/><Relationship Id="rId1" Type="http://schemas.openxmlformats.org/officeDocument/2006/relationships/hyperlink" Target="http://www.gruponutresa.com/inversionistas/resultados-y-publicaciones/resultados-trimestrales/" TargetMode="External"/><Relationship Id="rId4" Type="http://schemas.openxmlformats.org/officeDocument/2006/relationships/drawing" Target="../drawings/drawing4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3"/>
  <sheetViews>
    <sheetView topLeftCell="A19" workbookViewId="0">
      <selection activeCell="F36" sqref="F36"/>
    </sheetView>
  </sheetViews>
  <sheetFormatPr baseColWidth="10" defaultColWidth="11.42578125" defaultRowHeight="15" x14ac:dyDescent="0.3"/>
  <cols>
    <col min="1" max="1" width="43.7109375" style="5" customWidth="1"/>
    <col min="2" max="3" width="11.7109375" style="2" bestFit="1" customWidth="1"/>
    <col min="4" max="4" width="13.28515625" style="3" bestFit="1" customWidth="1"/>
    <col min="5" max="5" width="11.42578125" style="5"/>
    <col min="6" max="6" width="11.5703125" style="11" bestFit="1" customWidth="1"/>
    <col min="7" max="7" width="11.5703125" style="5" bestFit="1" customWidth="1"/>
    <col min="8" max="16384" width="11.42578125" style="5"/>
  </cols>
  <sheetData>
    <row r="1" spans="1:4" x14ac:dyDescent="0.3">
      <c r="A1" s="24" t="s">
        <v>69</v>
      </c>
    </row>
    <row r="2" spans="1:4" x14ac:dyDescent="0.3">
      <c r="A2" s="24" t="s">
        <v>67</v>
      </c>
    </row>
    <row r="3" spans="1:4" x14ac:dyDescent="0.3">
      <c r="A3" s="24" t="s">
        <v>44</v>
      </c>
    </row>
    <row r="4" spans="1:4" x14ac:dyDescent="0.3">
      <c r="A4" s="24" t="s">
        <v>45</v>
      </c>
    </row>
    <row r="5" spans="1:4" ht="12" customHeight="1" x14ac:dyDescent="0.3"/>
    <row r="6" spans="1:4" x14ac:dyDescent="0.3">
      <c r="A6" s="6" t="s">
        <v>20</v>
      </c>
      <c r="B6" s="6">
        <v>2005</v>
      </c>
      <c r="C6" s="6">
        <v>2006</v>
      </c>
      <c r="D6" s="7" t="s">
        <v>46</v>
      </c>
    </row>
    <row r="7" spans="1:4" x14ac:dyDescent="0.3">
      <c r="A7" s="18" t="s">
        <v>21</v>
      </c>
      <c r="B7" s="14">
        <v>5989</v>
      </c>
      <c r="C7" s="14">
        <v>915</v>
      </c>
      <c r="D7" s="17">
        <f t="shared" ref="D7:D13" si="0">IF(B7&lt;&gt;0,(C7-B7)/B7,0)</f>
        <v>-0.84721990315578566</v>
      </c>
    </row>
    <row r="8" spans="1:4" x14ac:dyDescent="0.3">
      <c r="A8" s="18" t="s">
        <v>22</v>
      </c>
      <c r="B8" s="14">
        <v>2353634</v>
      </c>
      <c r="C8" s="14">
        <v>2658218</v>
      </c>
      <c r="D8" s="17">
        <f t="shared" si="0"/>
        <v>0.1294100951974691</v>
      </c>
    </row>
    <row r="9" spans="1:4" x14ac:dyDescent="0.3">
      <c r="A9" s="18" t="s">
        <v>23</v>
      </c>
      <c r="B9" s="14">
        <f>3670+1423</f>
        <v>5093</v>
      </c>
      <c r="C9" s="14">
        <f>20208+899</f>
        <v>21107</v>
      </c>
      <c r="D9" s="17">
        <f t="shared" si="0"/>
        <v>3.1443157274690754</v>
      </c>
    </row>
    <row r="10" spans="1:4" x14ac:dyDescent="0.3">
      <c r="A10" s="18" t="s">
        <v>73</v>
      </c>
      <c r="B10" s="14">
        <v>23356</v>
      </c>
      <c r="C10" s="14">
        <v>941</v>
      </c>
      <c r="D10" s="17">
        <f t="shared" si="0"/>
        <v>-0.95971056687789003</v>
      </c>
    </row>
    <row r="11" spans="1:4" x14ac:dyDescent="0.3">
      <c r="A11" s="18" t="s">
        <v>74</v>
      </c>
      <c r="B11" s="14">
        <v>15</v>
      </c>
      <c r="C11" s="14">
        <v>154</v>
      </c>
      <c r="D11" s="17">
        <f t="shared" si="0"/>
        <v>9.2666666666666675</v>
      </c>
    </row>
    <row r="12" spans="1:4" x14ac:dyDescent="0.3">
      <c r="A12" s="18" t="s">
        <v>26</v>
      </c>
      <c r="B12" s="14">
        <v>1356015</v>
      </c>
      <c r="C12" s="14">
        <v>1347305</v>
      </c>
      <c r="D12" s="17">
        <f t="shared" si="0"/>
        <v>-6.4232327813482891E-3</v>
      </c>
    </row>
    <row r="13" spans="1:4" ht="15.75" thickBot="1" x14ac:dyDescent="0.35">
      <c r="A13" s="26" t="s">
        <v>27</v>
      </c>
      <c r="B13" s="27">
        <f>SUM(B7:B12)</f>
        <v>3744102</v>
      </c>
      <c r="C13" s="27">
        <f>SUM(C7:C12)</f>
        <v>4028640</v>
      </c>
      <c r="D13" s="46">
        <f t="shared" si="0"/>
        <v>7.5996327023142005E-2</v>
      </c>
    </row>
    <row r="15" spans="1:4" x14ac:dyDescent="0.3">
      <c r="A15" s="6" t="s">
        <v>48</v>
      </c>
      <c r="B15" s="6">
        <v>2005</v>
      </c>
      <c r="C15" s="6">
        <v>2006</v>
      </c>
      <c r="D15" s="7" t="s">
        <v>46</v>
      </c>
    </row>
    <row r="16" spans="1:4" x14ac:dyDescent="0.3">
      <c r="A16" s="18" t="s">
        <v>29</v>
      </c>
      <c r="B16" s="14">
        <f>13560+24038</f>
        <v>37598</v>
      </c>
      <c r="C16" s="14">
        <f>37190+22937</f>
        <v>60127</v>
      </c>
      <c r="D16" s="17">
        <f t="shared" ref="D16:D22" si="1">IF(B16&lt;&gt;0,(C16-B16)/B16,0)</f>
        <v>0.59920740464918343</v>
      </c>
    </row>
    <row r="17" spans="1:7" x14ac:dyDescent="0.3">
      <c r="A17" s="18" t="s">
        <v>30</v>
      </c>
      <c r="B17" s="14">
        <v>3128</v>
      </c>
      <c r="C17" s="14">
        <v>98</v>
      </c>
      <c r="D17" s="17">
        <f t="shared" si="1"/>
        <v>-0.96867007672634275</v>
      </c>
    </row>
    <row r="18" spans="1:7" x14ac:dyDescent="0.3">
      <c r="A18" s="18" t="s">
        <v>31</v>
      </c>
      <c r="B18" s="14">
        <v>247</v>
      </c>
      <c r="C18" s="14">
        <v>501</v>
      </c>
      <c r="D18" s="17">
        <f t="shared" si="1"/>
        <v>1.0283400809716599</v>
      </c>
    </row>
    <row r="19" spans="1:7" x14ac:dyDescent="0.3">
      <c r="A19" s="18" t="s">
        <v>24</v>
      </c>
      <c r="B19" s="14">
        <v>2356</v>
      </c>
      <c r="C19" s="14">
        <v>2509</v>
      </c>
      <c r="D19" s="17">
        <f t="shared" si="1"/>
        <v>6.4940577249575554E-2</v>
      </c>
    </row>
    <row r="20" spans="1:7" s="9" customFormat="1" x14ac:dyDescent="0.3">
      <c r="A20" s="29" t="s">
        <v>33</v>
      </c>
      <c r="B20" s="30">
        <f>SUM(B16:B19)</f>
        <v>43329</v>
      </c>
      <c r="C20" s="30">
        <f>SUM(C16:C19)</f>
        <v>63235</v>
      </c>
      <c r="D20" s="42">
        <f t="shared" si="1"/>
        <v>0.45941517228645939</v>
      </c>
      <c r="F20" s="12"/>
    </row>
    <row r="21" spans="1:7" s="9" customFormat="1" x14ac:dyDescent="0.3">
      <c r="A21" s="31" t="s">
        <v>34</v>
      </c>
      <c r="B21" s="32">
        <v>3700773</v>
      </c>
      <c r="C21" s="32">
        <v>3965405</v>
      </c>
      <c r="D21" s="47">
        <f t="shared" si="1"/>
        <v>7.1507222950448465E-2</v>
      </c>
      <c r="F21" s="12"/>
      <c r="G21" s="12"/>
    </row>
    <row r="22" spans="1:7" s="9" customFormat="1" ht="15.75" thickBot="1" x14ac:dyDescent="0.35">
      <c r="A22" s="26" t="s">
        <v>35</v>
      </c>
      <c r="B22" s="27">
        <f>+B20+B21</f>
        <v>3744102</v>
      </c>
      <c r="C22" s="27">
        <f>+C20+C21</f>
        <v>4028640</v>
      </c>
      <c r="D22" s="45">
        <f t="shared" si="1"/>
        <v>7.5996327023142005E-2</v>
      </c>
      <c r="F22" s="12"/>
      <c r="G22" s="12"/>
    </row>
    <row r="23" spans="1:7" x14ac:dyDescent="0.3">
      <c r="A23" s="18" t="s">
        <v>54</v>
      </c>
      <c r="B23" s="14">
        <v>435123458</v>
      </c>
      <c r="C23" s="14">
        <v>435123458</v>
      </c>
      <c r="D23" s="17"/>
      <c r="G23" s="11"/>
    </row>
    <row r="24" spans="1:7" x14ac:dyDescent="0.3">
      <c r="A24" s="18" t="s">
        <v>71</v>
      </c>
      <c r="B24" s="33">
        <f>+B21/+(B23/1000000)</f>
        <v>8505.1102898708796</v>
      </c>
      <c r="C24" s="33">
        <f>+C21/+(C23/1000000)</f>
        <v>9113.2871075868297</v>
      </c>
      <c r="D24" s="17"/>
      <c r="G24" s="11"/>
    </row>
    <row r="25" spans="1:7" x14ac:dyDescent="0.3">
      <c r="F25" s="13"/>
      <c r="G25" s="13"/>
    </row>
    <row r="26" spans="1:7" x14ac:dyDescent="0.3">
      <c r="A26" s="6" t="s">
        <v>70</v>
      </c>
      <c r="B26" s="6">
        <v>2005</v>
      </c>
      <c r="C26" s="6">
        <v>2006</v>
      </c>
      <c r="D26" s="7" t="s">
        <v>46</v>
      </c>
      <c r="G26" s="13"/>
    </row>
    <row r="27" spans="1:7" x14ac:dyDescent="0.3">
      <c r="A27" s="19" t="s">
        <v>68</v>
      </c>
      <c r="B27" s="14"/>
      <c r="C27" s="17"/>
      <c r="D27" s="34"/>
    </row>
    <row r="28" spans="1:7" x14ac:dyDescent="0.3">
      <c r="A28" s="19" t="s">
        <v>44</v>
      </c>
      <c r="B28" s="14"/>
      <c r="C28" s="17"/>
      <c r="D28" s="34"/>
    </row>
    <row r="29" spans="1:7" x14ac:dyDescent="0.3">
      <c r="A29" s="19" t="s">
        <v>45</v>
      </c>
      <c r="B29" s="14"/>
      <c r="C29" s="17"/>
      <c r="D29" s="34"/>
    </row>
    <row r="30" spans="1:7" s="9" customFormat="1" x14ac:dyDescent="0.3">
      <c r="A30" s="19" t="s">
        <v>72</v>
      </c>
      <c r="B30" s="30">
        <v>158869</v>
      </c>
      <c r="C30" s="30">
        <v>163042</v>
      </c>
      <c r="D30" s="17">
        <f t="shared" ref="D30:D41" si="2">IF(C30&lt;&gt;0,(C30-B30)/B30,0)</f>
        <v>2.6266924321296164E-2</v>
      </c>
      <c r="F30" s="12"/>
    </row>
    <row r="31" spans="1:7" s="9" customFormat="1" x14ac:dyDescent="0.3">
      <c r="A31" s="19" t="s">
        <v>5</v>
      </c>
      <c r="B31" s="14">
        <v>17762</v>
      </c>
      <c r="C31" s="14">
        <v>56828</v>
      </c>
      <c r="D31" s="17">
        <f t="shared" si="2"/>
        <v>2.1994144803513116</v>
      </c>
      <c r="F31" s="12"/>
    </row>
    <row r="32" spans="1:7" s="9" customFormat="1" x14ac:dyDescent="0.3">
      <c r="A32" s="19" t="s">
        <v>57</v>
      </c>
      <c r="B32" s="14">
        <v>11795</v>
      </c>
      <c r="C32" s="14">
        <v>16684</v>
      </c>
      <c r="D32" s="17">
        <f t="shared" si="2"/>
        <v>0.4144976685036032</v>
      </c>
      <c r="F32" s="12"/>
    </row>
    <row r="33" spans="1:6" s="9" customFormat="1" x14ac:dyDescent="0.3">
      <c r="A33" s="19" t="s">
        <v>56</v>
      </c>
      <c r="B33" s="14">
        <f>1732+758</f>
        <v>2490</v>
      </c>
      <c r="C33" s="14">
        <f>2360+5087</f>
        <v>7447</v>
      </c>
      <c r="D33" s="17">
        <f t="shared" si="2"/>
        <v>1.9907630522088353</v>
      </c>
      <c r="F33" s="12"/>
    </row>
    <row r="34" spans="1:6" s="9" customFormat="1" x14ac:dyDescent="0.3">
      <c r="A34" s="35" t="s">
        <v>4</v>
      </c>
      <c r="B34" s="14">
        <f>SUM(B30:B33)</f>
        <v>190916</v>
      </c>
      <c r="C34" s="30">
        <f>SUM(C30:C33)</f>
        <v>244001</v>
      </c>
      <c r="D34" s="17">
        <f t="shared" si="2"/>
        <v>0.27805422279955583</v>
      </c>
      <c r="F34" s="12"/>
    </row>
    <row r="35" spans="1:6" x14ac:dyDescent="0.3">
      <c r="A35" s="19" t="s">
        <v>58</v>
      </c>
      <c r="B35" s="14">
        <v>-22106</v>
      </c>
      <c r="C35" s="14">
        <v>-41421</v>
      </c>
      <c r="D35" s="17">
        <f t="shared" si="2"/>
        <v>0.87374468470098621</v>
      </c>
    </row>
    <row r="36" spans="1:6" s="9" customFormat="1" x14ac:dyDescent="0.3">
      <c r="A36" s="35" t="s">
        <v>42</v>
      </c>
      <c r="B36" s="30">
        <f>SUM(B34:B35)</f>
        <v>168810</v>
      </c>
      <c r="C36" s="30">
        <f>SUM(C34:C35)</f>
        <v>202580</v>
      </c>
      <c r="D36" s="17">
        <f t="shared" si="2"/>
        <v>0.20004739055743143</v>
      </c>
      <c r="F36" s="12"/>
    </row>
    <row r="37" spans="1:6" x14ac:dyDescent="0.3">
      <c r="A37" s="19" t="s">
        <v>10</v>
      </c>
      <c r="B37" s="14">
        <f>3469+896+125</f>
        <v>4490</v>
      </c>
      <c r="C37" s="14">
        <f>3631+4723+37</f>
        <v>8391</v>
      </c>
      <c r="D37" s="17">
        <f t="shared" si="2"/>
        <v>0.86881959910913142</v>
      </c>
    </row>
    <row r="38" spans="1:6" s="9" customFormat="1" x14ac:dyDescent="0.3">
      <c r="A38" s="19" t="s">
        <v>13</v>
      </c>
      <c r="B38" s="14">
        <f>-263-125</f>
        <v>-388</v>
      </c>
      <c r="C38" s="14">
        <f>-23-37</f>
        <v>-60</v>
      </c>
      <c r="D38" s="17">
        <f t="shared" si="2"/>
        <v>-0.84536082474226804</v>
      </c>
      <c r="F38" s="12"/>
    </row>
    <row r="39" spans="1:6" s="9" customFormat="1" x14ac:dyDescent="0.3">
      <c r="A39" s="35" t="s">
        <v>43</v>
      </c>
      <c r="B39" s="30">
        <f>SUM(B36:B38)</f>
        <v>172912</v>
      </c>
      <c r="C39" s="30">
        <f>SUM(C36:C38)</f>
        <v>210911</v>
      </c>
      <c r="D39" s="17">
        <f t="shared" si="2"/>
        <v>0.21975918386231147</v>
      </c>
      <c r="F39" s="12"/>
    </row>
    <row r="40" spans="1:6" x14ac:dyDescent="0.3">
      <c r="A40" s="19" t="s">
        <v>15</v>
      </c>
      <c r="B40" s="14">
        <v>-3501</v>
      </c>
      <c r="C40" s="14">
        <v>-214</v>
      </c>
      <c r="D40" s="17">
        <f t="shared" si="2"/>
        <v>-0.93887460725506999</v>
      </c>
    </row>
    <row r="41" spans="1:6" ht="15.75" thickBot="1" x14ac:dyDescent="0.35">
      <c r="A41" s="36" t="s">
        <v>17</v>
      </c>
      <c r="B41" s="37">
        <f>SUM(B39:B40)</f>
        <v>169411</v>
      </c>
      <c r="C41" s="37">
        <f>SUM(C39:C40)</f>
        <v>210697</v>
      </c>
      <c r="D41" s="45">
        <f t="shared" si="2"/>
        <v>0.243703183382425</v>
      </c>
    </row>
    <row r="42" spans="1:6" x14ac:dyDescent="0.3">
      <c r="A42" s="19"/>
      <c r="B42" s="14"/>
      <c r="C42" s="17"/>
      <c r="D42" s="17"/>
    </row>
    <row r="43" spans="1:6" ht="15.75" thickBot="1" x14ac:dyDescent="0.35">
      <c r="A43" s="36" t="s">
        <v>75</v>
      </c>
      <c r="B43" s="48">
        <f>+B41/(B23/1000000)</f>
        <v>389.34007552403665</v>
      </c>
      <c r="C43" s="48">
        <f>+C41/(C23/1000000)</f>
        <v>484.22349134759816</v>
      </c>
      <c r="D43" s="45">
        <f>IF(C43&lt;&gt;0,(C43-B43)/B43,0)</f>
        <v>0.243703183382425</v>
      </c>
    </row>
  </sheetData>
  <phoneticPr fontId="0" type="noConversion"/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60"/>
  <sheetViews>
    <sheetView topLeftCell="A16" zoomScale="87" zoomScaleNormal="87" workbookViewId="0">
      <selection activeCell="D36" activeCellId="1" sqref="B36:B55 D36:D55"/>
    </sheetView>
  </sheetViews>
  <sheetFormatPr baseColWidth="10" defaultColWidth="11.42578125" defaultRowHeight="15" x14ac:dyDescent="0.3"/>
  <cols>
    <col min="1" max="1" width="43.42578125" style="5" customWidth="1"/>
    <col min="2" max="3" width="11.7109375" style="2" bestFit="1" customWidth="1"/>
    <col min="4" max="4" width="13.28515625" style="3" bestFit="1" customWidth="1"/>
    <col min="5" max="5" width="11.42578125" style="3"/>
    <col min="6" max="6" width="9.28515625" style="4" bestFit="1" customWidth="1"/>
    <col min="7" max="16384" width="11.42578125" style="5"/>
  </cols>
  <sheetData>
    <row r="1" spans="1:5" x14ac:dyDescent="0.3">
      <c r="A1" s="38" t="s">
        <v>40</v>
      </c>
    </row>
    <row r="2" spans="1:5" x14ac:dyDescent="0.3">
      <c r="A2" s="38" t="s">
        <v>67</v>
      </c>
    </row>
    <row r="3" spans="1:5" x14ac:dyDescent="0.3">
      <c r="A3" s="24" t="s">
        <v>44</v>
      </c>
    </row>
    <row r="4" spans="1:5" x14ac:dyDescent="0.3">
      <c r="A4" s="24" t="s">
        <v>45</v>
      </c>
    </row>
    <row r="6" spans="1:5" x14ac:dyDescent="0.3">
      <c r="A6" s="6" t="s">
        <v>20</v>
      </c>
      <c r="B6" s="6">
        <v>2006</v>
      </c>
      <c r="C6" s="6">
        <v>2007</v>
      </c>
      <c r="D6" s="7" t="s">
        <v>46</v>
      </c>
      <c r="E6" s="20"/>
    </row>
    <row r="7" spans="1:5" x14ac:dyDescent="0.3">
      <c r="A7" s="18" t="s">
        <v>21</v>
      </c>
      <c r="B7" s="14">
        <v>147021</v>
      </c>
      <c r="C7" s="14">
        <v>141066</v>
      </c>
      <c r="D7" s="17">
        <f t="shared" ref="D7:D16" si="0">+(C7-B7)/B7</f>
        <v>-4.0504417736241763E-2</v>
      </c>
      <c r="E7" s="21"/>
    </row>
    <row r="8" spans="1:5" x14ac:dyDescent="0.3">
      <c r="A8" s="18" t="s">
        <v>22</v>
      </c>
      <c r="B8" s="14">
        <v>323226</v>
      </c>
      <c r="C8" s="14">
        <v>322254</v>
      </c>
      <c r="D8" s="17">
        <f t="shared" si="0"/>
        <v>-3.0071838280336361E-3</v>
      </c>
      <c r="E8" s="21"/>
    </row>
    <row r="9" spans="1:5" x14ac:dyDescent="0.3">
      <c r="A9" s="18" t="s">
        <v>23</v>
      </c>
      <c r="B9" s="14">
        <v>381730</v>
      </c>
      <c r="C9" s="14">
        <v>426683</v>
      </c>
      <c r="D9" s="17">
        <f t="shared" si="0"/>
        <v>0.1177612448589317</v>
      </c>
      <c r="E9" s="21"/>
    </row>
    <row r="10" spans="1:5" x14ac:dyDescent="0.3">
      <c r="A10" s="18" t="s">
        <v>36</v>
      </c>
      <c r="B10" s="14">
        <v>371699</v>
      </c>
      <c r="C10" s="14">
        <v>434839</v>
      </c>
      <c r="D10" s="17">
        <f t="shared" si="0"/>
        <v>0.16986863026265878</v>
      </c>
      <c r="E10" s="21"/>
    </row>
    <row r="11" spans="1:5" x14ac:dyDescent="0.3">
      <c r="A11" s="18" t="s">
        <v>60</v>
      </c>
      <c r="B11" s="14">
        <v>561031</v>
      </c>
      <c r="C11" s="14">
        <v>653908</v>
      </c>
      <c r="D11" s="17">
        <f t="shared" si="0"/>
        <v>0.16554700185907731</v>
      </c>
      <c r="E11" s="21"/>
    </row>
    <row r="12" spans="1:5" x14ac:dyDescent="0.3">
      <c r="A12" s="18" t="s">
        <v>47</v>
      </c>
      <c r="B12" s="14">
        <v>621440</v>
      </c>
      <c r="C12" s="14">
        <v>564218</v>
      </c>
      <c r="D12" s="17">
        <f t="shared" si="0"/>
        <v>-9.2079685890834193E-2</v>
      </c>
      <c r="E12" s="21"/>
    </row>
    <row r="13" spans="1:5" x14ac:dyDescent="0.3">
      <c r="A13" s="18" t="s">
        <v>24</v>
      </c>
      <c r="B13" s="14">
        <v>23420</v>
      </c>
      <c r="C13" s="14">
        <v>57260</v>
      </c>
      <c r="D13" s="17">
        <f t="shared" si="0"/>
        <v>1.4449188727583262</v>
      </c>
      <c r="E13" s="21"/>
    </row>
    <row r="14" spans="1:5" x14ac:dyDescent="0.3">
      <c r="A14" s="18" t="s">
        <v>25</v>
      </c>
      <c r="B14" s="14">
        <v>11893</v>
      </c>
      <c r="C14" s="14">
        <v>12073</v>
      </c>
      <c r="D14" s="17">
        <f t="shared" si="0"/>
        <v>1.5134953333893888E-2</v>
      </c>
      <c r="E14" s="21"/>
    </row>
    <row r="15" spans="1:5" x14ac:dyDescent="0.3">
      <c r="A15" s="18" t="s">
        <v>26</v>
      </c>
      <c r="B15" s="14">
        <v>2591441</v>
      </c>
      <c r="C15" s="14">
        <v>2736001</v>
      </c>
      <c r="D15" s="17">
        <f t="shared" si="0"/>
        <v>5.5783635436809094E-2</v>
      </c>
      <c r="E15" s="21"/>
    </row>
    <row r="16" spans="1:5" ht="15.75" thickBot="1" x14ac:dyDescent="0.35">
      <c r="A16" s="26" t="s">
        <v>27</v>
      </c>
      <c r="B16" s="27">
        <f>SUM(B7:B15)</f>
        <v>5032901</v>
      </c>
      <c r="C16" s="27">
        <f>SUM(C7:C15)</f>
        <v>5348302</v>
      </c>
      <c r="D16" s="45">
        <f t="shared" si="0"/>
        <v>6.266783312447434E-2</v>
      </c>
      <c r="E16" s="22"/>
    </row>
    <row r="17" spans="1:5" x14ac:dyDescent="0.3">
      <c r="A17" s="18"/>
      <c r="B17" s="14"/>
      <c r="C17" s="14"/>
      <c r="D17" s="17"/>
      <c r="E17" s="21"/>
    </row>
    <row r="18" spans="1:5" x14ac:dyDescent="0.3">
      <c r="A18" s="6" t="s">
        <v>48</v>
      </c>
      <c r="B18" s="6">
        <v>2006</v>
      </c>
      <c r="C18" s="6">
        <v>2007</v>
      </c>
      <c r="D18" s="6" t="s">
        <v>46</v>
      </c>
      <c r="E18" s="20"/>
    </row>
    <row r="19" spans="1:5" x14ac:dyDescent="0.3">
      <c r="A19" s="18" t="s">
        <v>28</v>
      </c>
      <c r="B19" s="14">
        <v>705877</v>
      </c>
      <c r="C19" s="14">
        <v>718503</v>
      </c>
      <c r="D19" s="17">
        <f t="shared" ref="D19:D30" si="1">+(C19-B19)/B19</f>
        <v>1.7886968976181403E-2</v>
      </c>
      <c r="E19" s="21"/>
    </row>
    <row r="20" spans="1:5" x14ac:dyDescent="0.3">
      <c r="A20" s="18" t="s">
        <v>49</v>
      </c>
      <c r="B20" s="14">
        <v>146194</v>
      </c>
      <c r="C20" s="14">
        <v>146091</v>
      </c>
      <c r="D20" s="17">
        <f t="shared" si="1"/>
        <v>-7.0454327810990877E-4</v>
      </c>
      <c r="E20" s="21"/>
    </row>
    <row r="21" spans="1:5" x14ac:dyDescent="0.3">
      <c r="A21" s="18" t="s">
        <v>38</v>
      </c>
      <c r="B21" s="14">
        <v>108992</v>
      </c>
      <c r="C21" s="14">
        <v>140644</v>
      </c>
      <c r="D21" s="17">
        <f t="shared" si="1"/>
        <v>0.29040663534938344</v>
      </c>
      <c r="E21" s="21"/>
    </row>
    <row r="22" spans="1:5" x14ac:dyDescent="0.3">
      <c r="A22" s="18" t="s">
        <v>30</v>
      </c>
      <c r="B22" s="14">
        <v>54299</v>
      </c>
      <c r="C22" s="14">
        <v>55981</v>
      </c>
      <c r="D22" s="17">
        <f t="shared" si="1"/>
        <v>3.0976629403856426E-2</v>
      </c>
      <c r="E22" s="21"/>
    </row>
    <row r="23" spans="1:5" x14ac:dyDescent="0.3">
      <c r="A23" s="18" t="s">
        <v>31</v>
      </c>
      <c r="B23" s="14">
        <v>46282</v>
      </c>
      <c r="C23" s="14">
        <v>58521</v>
      </c>
      <c r="D23" s="17">
        <f t="shared" si="1"/>
        <v>0.26444406032582862</v>
      </c>
      <c r="E23" s="21"/>
    </row>
    <row r="24" spans="1:5" x14ac:dyDescent="0.3">
      <c r="A24" s="18" t="s">
        <v>32</v>
      </c>
      <c r="B24" s="14">
        <v>38698</v>
      </c>
      <c r="C24" s="14">
        <v>57731</v>
      </c>
      <c r="D24" s="17">
        <f t="shared" si="1"/>
        <v>0.49183420331800093</v>
      </c>
      <c r="E24" s="21"/>
    </row>
    <row r="25" spans="1:5" x14ac:dyDescent="0.3">
      <c r="A25" s="18" t="s">
        <v>24</v>
      </c>
      <c r="B25" s="14">
        <v>10307</v>
      </c>
      <c r="C25" s="14">
        <v>36889</v>
      </c>
      <c r="D25" s="17">
        <f t="shared" si="1"/>
        <v>2.5790239642961095</v>
      </c>
      <c r="E25" s="21"/>
    </row>
    <row r="26" spans="1:5" x14ac:dyDescent="0.3">
      <c r="A26" s="18" t="s">
        <v>0</v>
      </c>
      <c r="B26" s="14">
        <v>1749</v>
      </c>
      <c r="C26" s="14">
        <v>1583</v>
      </c>
      <c r="D26" s="17">
        <f t="shared" si="1"/>
        <v>-9.4911377930245858E-2</v>
      </c>
      <c r="E26" s="21"/>
    </row>
    <row r="27" spans="1:5" x14ac:dyDescent="0.3">
      <c r="A27" s="18" t="s">
        <v>33</v>
      </c>
      <c r="B27" s="14">
        <f>SUM(B19:B26)</f>
        <v>1112398</v>
      </c>
      <c r="C27" s="14">
        <f>SUM(C19:C26)</f>
        <v>1215943</v>
      </c>
      <c r="D27" s="17">
        <f t="shared" si="1"/>
        <v>9.308269162655812E-2</v>
      </c>
      <c r="E27" s="21"/>
    </row>
    <row r="28" spans="1:5" x14ac:dyDescent="0.3">
      <c r="A28" s="18" t="s">
        <v>39</v>
      </c>
      <c r="B28" s="14">
        <v>2618</v>
      </c>
      <c r="C28" s="14">
        <v>2964</v>
      </c>
      <c r="D28" s="54">
        <f t="shared" si="1"/>
        <v>0.13216195569136746</v>
      </c>
      <c r="E28" s="21"/>
    </row>
    <row r="29" spans="1:5" x14ac:dyDescent="0.3">
      <c r="A29" s="55" t="s">
        <v>34</v>
      </c>
      <c r="B29" s="56">
        <v>3917885</v>
      </c>
      <c r="C29" s="56">
        <v>4129395</v>
      </c>
      <c r="D29" s="57">
        <f t="shared" si="1"/>
        <v>5.3985760174175605E-2</v>
      </c>
      <c r="E29" s="21"/>
    </row>
    <row r="30" spans="1:5" ht="15.75" thickBot="1" x14ac:dyDescent="0.35">
      <c r="A30" s="58" t="s">
        <v>35</v>
      </c>
      <c r="B30" s="59">
        <f>+B27+B28+B29</f>
        <v>5032901</v>
      </c>
      <c r="C30" s="59">
        <f>+C27+C28+C29</f>
        <v>5348302</v>
      </c>
      <c r="D30" s="46">
        <f t="shared" si="1"/>
        <v>6.266783312447434E-2</v>
      </c>
      <c r="E30" s="21"/>
    </row>
    <row r="31" spans="1:5" x14ac:dyDescent="0.3">
      <c r="A31" s="19"/>
      <c r="B31" s="14"/>
      <c r="C31" s="14"/>
      <c r="D31" s="17"/>
      <c r="E31" s="21"/>
    </row>
    <row r="32" spans="1:5" x14ac:dyDescent="0.3">
      <c r="A32" s="41" t="s">
        <v>3</v>
      </c>
      <c r="B32" s="14"/>
      <c r="C32" s="14"/>
      <c r="D32" s="17"/>
      <c r="E32" s="21"/>
    </row>
    <row r="33" spans="1:6" x14ac:dyDescent="0.3">
      <c r="A33" s="41" t="s">
        <v>68</v>
      </c>
      <c r="B33" s="14"/>
      <c r="C33" s="14"/>
      <c r="D33" s="17"/>
    </row>
    <row r="34" spans="1:6" x14ac:dyDescent="0.3">
      <c r="A34" s="41" t="s">
        <v>44</v>
      </c>
      <c r="B34" s="14"/>
      <c r="C34" s="14"/>
      <c r="D34" s="17"/>
    </row>
    <row r="35" spans="1:6" x14ac:dyDescent="0.3">
      <c r="A35" s="41" t="s">
        <v>45</v>
      </c>
      <c r="B35" s="14"/>
      <c r="C35" s="14"/>
      <c r="D35" s="17"/>
    </row>
    <row r="36" spans="1:6" x14ac:dyDescent="0.3">
      <c r="A36" s="6"/>
      <c r="B36" s="6">
        <v>2006</v>
      </c>
      <c r="C36" s="6" t="s">
        <v>55</v>
      </c>
      <c r="D36" s="6">
        <v>2007</v>
      </c>
      <c r="E36" s="7" t="s">
        <v>55</v>
      </c>
      <c r="F36" s="7" t="s">
        <v>46</v>
      </c>
    </row>
    <row r="37" spans="1:6" s="9" customFormat="1" x14ac:dyDescent="0.3">
      <c r="A37" s="30" t="s">
        <v>4</v>
      </c>
      <c r="B37" s="50">
        <v>2872015</v>
      </c>
      <c r="C37" s="42">
        <v>1</v>
      </c>
      <c r="D37" s="50">
        <v>3449517</v>
      </c>
      <c r="E37" s="42">
        <v>1</v>
      </c>
      <c r="F37" s="42">
        <f t="shared" ref="F37:F55" si="2">+(D37-B37)/B37</f>
        <v>0.20107903336159455</v>
      </c>
    </row>
    <row r="38" spans="1:6" x14ac:dyDescent="0.3">
      <c r="A38" s="14" t="s">
        <v>50</v>
      </c>
      <c r="B38" s="51">
        <v>-1760636</v>
      </c>
      <c r="C38" s="17">
        <f t="shared" ref="C38:C55" si="3">+B38/$B$37</f>
        <v>-0.61303161717470134</v>
      </c>
      <c r="D38" s="51">
        <v>-2035308</v>
      </c>
      <c r="E38" s="17">
        <f t="shared" ref="E38:E55" si="4">+D38/$D$37</f>
        <v>-0.59002695159931084</v>
      </c>
      <c r="F38" s="17">
        <f t="shared" si="2"/>
        <v>0.15600726101249776</v>
      </c>
    </row>
    <row r="39" spans="1:6" s="9" customFormat="1" x14ac:dyDescent="0.3">
      <c r="A39" s="30" t="s">
        <v>6</v>
      </c>
      <c r="B39" s="30">
        <f>SUM(B37:B38)</f>
        <v>1111379</v>
      </c>
      <c r="C39" s="42">
        <f t="shared" si="3"/>
        <v>0.38696838282529861</v>
      </c>
      <c r="D39" s="30">
        <f>SUM(D37:D38)</f>
        <v>1414209</v>
      </c>
      <c r="E39" s="42">
        <f t="shared" si="4"/>
        <v>0.40997304840068916</v>
      </c>
      <c r="F39" s="42">
        <f t="shared" si="2"/>
        <v>0.27248130475742299</v>
      </c>
    </row>
    <row r="40" spans="1:6" x14ac:dyDescent="0.3">
      <c r="A40" s="14" t="s">
        <v>7</v>
      </c>
      <c r="B40" s="14">
        <v>-127200</v>
      </c>
      <c r="C40" s="17">
        <f t="shared" si="3"/>
        <v>-4.4289462276485322E-2</v>
      </c>
      <c r="D40" s="14">
        <v>-165507</v>
      </c>
      <c r="E40" s="17">
        <f t="shared" si="4"/>
        <v>-4.7979760644751138E-2</v>
      </c>
      <c r="F40" s="17">
        <f t="shared" si="2"/>
        <v>0.30115566037735847</v>
      </c>
    </row>
    <row r="41" spans="1:6" x14ac:dyDescent="0.3">
      <c r="A41" s="14" t="s">
        <v>8</v>
      </c>
      <c r="B41" s="14">
        <v>-684105</v>
      </c>
      <c r="C41" s="17">
        <f t="shared" si="3"/>
        <v>-0.23819687571269649</v>
      </c>
      <c r="D41" s="14">
        <v>-815817</v>
      </c>
      <c r="E41" s="17">
        <f t="shared" si="4"/>
        <v>-0.23650180590500061</v>
      </c>
      <c r="F41" s="17">
        <f t="shared" si="2"/>
        <v>0.19253184818120025</v>
      </c>
    </row>
    <row r="42" spans="1:6" s="9" customFormat="1" x14ac:dyDescent="0.3">
      <c r="A42" s="30" t="s">
        <v>9</v>
      </c>
      <c r="B42" s="30">
        <f>SUM(B40:B41)</f>
        <v>-811305</v>
      </c>
      <c r="C42" s="42">
        <f t="shared" si="3"/>
        <v>-0.28248633798918182</v>
      </c>
      <c r="D42" s="30">
        <f>SUM(D40:D41)</f>
        <v>-981324</v>
      </c>
      <c r="E42" s="42">
        <f t="shared" si="4"/>
        <v>-0.28448156654975176</v>
      </c>
      <c r="F42" s="42">
        <f t="shared" si="2"/>
        <v>0.20956237173442788</v>
      </c>
    </row>
    <row r="43" spans="1:6" s="9" customFormat="1" x14ac:dyDescent="0.3">
      <c r="A43" s="30" t="s">
        <v>1</v>
      </c>
      <c r="B43" s="30">
        <f>+B39+B42</f>
        <v>300074</v>
      </c>
      <c r="C43" s="42">
        <f t="shared" si="3"/>
        <v>0.1044820448361168</v>
      </c>
      <c r="D43" s="30">
        <f>+D39+D42</f>
        <v>432885</v>
      </c>
      <c r="E43" s="42">
        <f t="shared" si="4"/>
        <v>0.12549148185093739</v>
      </c>
      <c r="F43" s="42">
        <f t="shared" si="2"/>
        <v>0.44259416010717356</v>
      </c>
    </row>
    <row r="44" spans="1:6" x14ac:dyDescent="0.3">
      <c r="A44" s="14" t="s">
        <v>51</v>
      </c>
      <c r="B44" s="14">
        <v>13821</v>
      </c>
      <c r="C44" s="17">
        <f t="shared" si="3"/>
        <v>4.8123007714096205E-3</v>
      </c>
      <c r="D44" s="14">
        <v>11386</v>
      </c>
      <c r="E44" s="17">
        <f t="shared" si="4"/>
        <v>3.3007519603469124E-3</v>
      </c>
      <c r="F44" s="17">
        <f t="shared" si="2"/>
        <v>-0.17618117357644164</v>
      </c>
    </row>
    <row r="45" spans="1:6" x14ac:dyDescent="0.3">
      <c r="A45" s="14" t="s">
        <v>11</v>
      </c>
      <c r="B45" s="14">
        <v>-64413</v>
      </c>
      <c r="C45" s="17">
        <f t="shared" si="3"/>
        <v>-2.2427807654207935E-2</v>
      </c>
      <c r="D45" s="14">
        <v>-84176</v>
      </c>
      <c r="E45" s="17">
        <f t="shared" si="4"/>
        <v>-2.4402256895675538E-2</v>
      </c>
      <c r="F45" s="17">
        <f t="shared" si="2"/>
        <v>0.30681694688960304</v>
      </c>
    </row>
    <row r="46" spans="1:6" x14ac:dyDescent="0.3">
      <c r="A46" s="14" t="s">
        <v>12</v>
      </c>
      <c r="B46" s="14">
        <v>-32576</v>
      </c>
      <c r="C46" s="17">
        <f t="shared" si="3"/>
        <v>-1.1342559144015612E-2</v>
      </c>
      <c r="D46" s="14">
        <v>-17533</v>
      </c>
      <c r="E46" s="17">
        <f t="shared" si="4"/>
        <v>-5.0827405691869325E-3</v>
      </c>
      <c r="F46" s="17">
        <f t="shared" si="2"/>
        <v>-0.46178167976424361</v>
      </c>
    </row>
    <row r="47" spans="1:6" x14ac:dyDescent="0.3">
      <c r="A47" s="14" t="s">
        <v>52</v>
      </c>
      <c r="B47" s="14">
        <f>-70442-367</f>
        <v>-70809</v>
      </c>
      <c r="C47" s="17">
        <f t="shared" si="3"/>
        <v>-2.4654815521506678E-2</v>
      </c>
      <c r="D47" s="14">
        <v>-27554</v>
      </c>
      <c r="E47" s="17">
        <f t="shared" si="4"/>
        <v>-7.9877849565605855E-3</v>
      </c>
      <c r="F47" s="17">
        <f t="shared" si="2"/>
        <v>-0.61086867488596086</v>
      </c>
    </row>
    <row r="48" spans="1:6" x14ac:dyDescent="0.3">
      <c r="A48" s="14" t="s">
        <v>14</v>
      </c>
      <c r="B48" s="14">
        <v>29348</v>
      </c>
      <c r="C48" s="17">
        <f t="shared" si="3"/>
        <v>1.0218609582470844E-2</v>
      </c>
      <c r="D48" s="14">
        <v>25763</v>
      </c>
      <c r="E48" s="17">
        <f t="shared" si="4"/>
        <v>7.4685818333407256E-3</v>
      </c>
      <c r="F48" s="17">
        <f t="shared" si="2"/>
        <v>-0.12215483167507156</v>
      </c>
    </row>
    <row r="49" spans="1:6" x14ac:dyDescent="0.3">
      <c r="A49" s="14" t="s">
        <v>16</v>
      </c>
      <c r="B49" s="14">
        <v>71319</v>
      </c>
      <c r="C49" s="17">
        <f t="shared" si="3"/>
        <v>2.4832391195728436E-2</v>
      </c>
      <c r="D49" s="14">
        <v>6759</v>
      </c>
      <c r="E49" s="17">
        <f t="shared" si="4"/>
        <v>1.9594047514478112E-3</v>
      </c>
      <c r="F49" s="17">
        <f t="shared" si="2"/>
        <v>-0.90522862070416021</v>
      </c>
    </row>
    <row r="50" spans="1:6" s="9" customFormat="1" x14ac:dyDescent="0.3">
      <c r="A50" s="30" t="s">
        <v>2</v>
      </c>
      <c r="B50" s="30">
        <f>SUM(B44:B49)</f>
        <v>-53310</v>
      </c>
      <c r="C50" s="42">
        <f t="shared" si="3"/>
        <v>-1.8561880770121327E-2</v>
      </c>
      <c r="D50" s="30">
        <f>SUM(D44:D49)</f>
        <v>-85355</v>
      </c>
      <c r="E50" s="17">
        <f t="shared" si="4"/>
        <v>-2.4744043876287609E-2</v>
      </c>
      <c r="F50" s="17">
        <f t="shared" si="2"/>
        <v>0.60110673419621086</v>
      </c>
    </row>
    <row r="51" spans="1:6" s="9" customFormat="1" x14ac:dyDescent="0.3">
      <c r="A51" s="30" t="s">
        <v>41</v>
      </c>
      <c r="B51" s="14">
        <f>+B43+B50</f>
        <v>246764</v>
      </c>
      <c r="C51" s="42">
        <f t="shared" si="3"/>
        <v>8.592016406599548E-2</v>
      </c>
      <c r="D51" s="14">
        <f>+D43+D50</f>
        <v>347530</v>
      </c>
      <c r="E51" s="17">
        <f t="shared" si="4"/>
        <v>0.10074743797464979</v>
      </c>
      <c r="F51" s="17">
        <f t="shared" si="2"/>
        <v>0.40834967823507479</v>
      </c>
    </row>
    <row r="52" spans="1:6" x14ac:dyDescent="0.3">
      <c r="A52" s="14" t="s">
        <v>15</v>
      </c>
      <c r="B52" s="14">
        <v>-70246</v>
      </c>
      <c r="C52" s="17">
        <f t="shared" si="3"/>
        <v>-2.4458785904669718E-2</v>
      </c>
      <c r="D52" s="14">
        <v>-99987</v>
      </c>
      <c r="E52" s="17">
        <f t="shared" si="4"/>
        <v>-2.8985797142034666E-2</v>
      </c>
      <c r="F52" s="17">
        <f t="shared" si="2"/>
        <v>0.42338353785268912</v>
      </c>
    </row>
    <row r="53" spans="1:6" x14ac:dyDescent="0.3">
      <c r="A53" s="14" t="s">
        <v>18</v>
      </c>
      <c r="B53" s="14">
        <v>17</v>
      </c>
      <c r="C53" s="17">
        <f t="shared" si="3"/>
        <v>5.9191891407252398E-6</v>
      </c>
      <c r="D53" s="14">
        <v>-230</v>
      </c>
      <c r="E53" s="17">
        <f t="shared" si="4"/>
        <v>-6.6676001306849631E-5</v>
      </c>
      <c r="F53" s="17">
        <f t="shared" si="2"/>
        <v>-14.529411764705882</v>
      </c>
    </row>
    <row r="54" spans="1:6" s="9" customFormat="1" x14ac:dyDescent="0.3">
      <c r="A54" s="43" t="s">
        <v>17</v>
      </c>
      <c r="B54" s="43">
        <f>+B51+B52+B53</f>
        <v>176535</v>
      </c>
      <c r="C54" s="44">
        <f t="shared" si="3"/>
        <v>6.1467297350466486E-2</v>
      </c>
      <c r="D54" s="43">
        <f>+D51+D52+D53</f>
        <v>247313</v>
      </c>
      <c r="E54" s="44">
        <f t="shared" si="4"/>
        <v>7.1694964831308272E-2</v>
      </c>
      <c r="F54" s="44">
        <f t="shared" si="2"/>
        <v>0.40092899425043194</v>
      </c>
    </row>
    <row r="55" spans="1:6" s="9" customFormat="1" ht="15.75" thickBot="1" x14ac:dyDescent="0.35">
      <c r="A55" s="27" t="s">
        <v>19</v>
      </c>
      <c r="B55" s="27">
        <v>382594</v>
      </c>
      <c r="C55" s="45">
        <f t="shared" si="3"/>
        <v>0.13321448530039015</v>
      </c>
      <c r="D55" s="27">
        <v>528754</v>
      </c>
      <c r="E55" s="45">
        <f t="shared" si="4"/>
        <v>0.15328348867392161</v>
      </c>
      <c r="F55" s="45">
        <f t="shared" si="2"/>
        <v>0.38202376409457545</v>
      </c>
    </row>
    <row r="56" spans="1:6" x14ac:dyDescent="0.3">
      <c r="A56" s="2"/>
      <c r="C56" s="3"/>
      <c r="D56" s="10"/>
    </row>
    <row r="57" spans="1:6" x14ac:dyDescent="0.3">
      <c r="A57" s="19"/>
      <c r="C57" s="3"/>
      <c r="D57" s="10"/>
    </row>
    <row r="58" spans="1:6" x14ac:dyDescent="0.3">
      <c r="D58" s="10"/>
    </row>
    <row r="59" spans="1:6" x14ac:dyDescent="0.3">
      <c r="D59" s="10"/>
    </row>
    <row r="60" spans="1:6" x14ac:dyDescent="0.3">
      <c r="D60" s="10"/>
    </row>
  </sheetData>
  <phoneticPr fontId="0" type="noConversion"/>
  <pageMargins left="0.70866141732283472" right="0.43307086614173229" top="0.43307086614173229" bottom="0.51181102362204722" header="0.31496062992125984" footer="0.31496062992125984"/>
  <pageSetup orientation="portrait" r:id="rId1"/>
  <headerFooter>
    <oddFooter>&amp;C&amp;A</oddFooter>
  </headerFooter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4"/>
  <sheetViews>
    <sheetView zoomScale="86" zoomScaleNormal="86" workbookViewId="0"/>
  </sheetViews>
  <sheetFormatPr baseColWidth="10" defaultColWidth="11.42578125" defaultRowHeight="15" x14ac:dyDescent="0.3"/>
  <cols>
    <col min="1" max="1" width="43.7109375" style="5" customWidth="1"/>
    <col min="2" max="3" width="11.7109375" style="2" bestFit="1" customWidth="1"/>
    <col min="4" max="4" width="13.28515625" style="3" bestFit="1" customWidth="1"/>
    <col min="5" max="6" width="11.42578125" style="5"/>
    <col min="7" max="7" width="11.5703125" style="11" bestFit="1" customWidth="1"/>
    <col min="8" max="8" width="11.5703125" style="5" bestFit="1" customWidth="1"/>
    <col min="9" max="16384" width="11.42578125" style="5"/>
  </cols>
  <sheetData>
    <row r="1" spans="1:4" x14ac:dyDescent="0.3">
      <c r="A1" s="24" t="s">
        <v>69</v>
      </c>
    </row>
    <row r="2" spans="1:4" x14ac:dyDescent="0.3">
      <c r="A2" s="24" t="s">
        <v>65</v>
      </c>
    </row>
    <row r="3" spans="1:4" x14ac:dyDescent="0.3">
      <c r="A3" s="24" t="s">
        <v>44</v>
      </c>
    </row>
    <row r="4" spans="1:4" x14ac:dyDescent="0.3">
      <c r="A4" s="24" t="s">
        <v>45</v>
      </c>
    </row>
    <row r="5" spans="1:4" ht="12" customHeight="1" x14ac:dyDescent="0.3"/>
    <row r="6" spans="1:4" x14ac:dyDescent="0.3">
      <c r="A6" s="6" t="s">
        <v>20</v>
      </c>
      <c r="B6" s="6">
        <v>2007</v>
      </c>
      <c r="C6" s="6">
        <v>2008</v>
      </c>
      <c r="D6" s="7" t="s">
        <v>46</v>
      </c>
    </row>
    <row r="7" spans="1:4" x14ac:dyDescent="0.3">
      <c r="A7" s="18" t="s">
        <v>21</v>
      </c>
      <c r="B7" s="14">
        <v>1287</v>
      </c>
      <c r="C7" s="14">
        <v>2389</v>
      </c>
      <c r="D7" s="17">
        <f t="shared" ref="D7:D12" si="0">IF(B7&lt;&gt;0,(C7-B7)/B7,0)</f>
        <v>0.8562548562548562</v>
      </c>
    </row>
    <row r="8" spans="1:4" x14ac:dyDescent="0.3">
      <c r="A8" s="18" t="s">
        <v>22</v>
      </c>
      <c r="B8" s="14">
        <v>2676067</v>
      </c>
      <c r="C8" s="14">
        <v>2740396</v>
      </c>
      <c r="D8" s="17">
        <f t="shared" si="0"/>
        <v>2.403863580396156E-2</v>
      </c>
    </row>
    <row r="9" spans="1:4" x14ac:dyDescent="0.3">
      <c r="A9" s="18" t="s">
        <v>23</v>
      </c>
      <c r="B9" s="14">
        <v>39052</v>
      </c>
      <c r="C9" s="14">
        <v>31300</v>
      </c>
      <c r="D9" s="17">
        <f t="shared" si="0"/>
        <v>-0.19850455802519718</v>
      </c>
    </row>
    <row r="10" spans="1:4" x14ac:dyDescent="0.3">
      <c r="A10" s="18" t="s">
        <v>59</v>
      </c>
      <c r="B10" s="14">
        <v>1291</v>
      </c>
      <c r="C10" s="14">
        <v>209</v>
      </c>
      <c r="D10" s="17">
        <f t="shared" si="0"/>
        <v>-0.83810999225406657</v>
      </c>
    </row>
    <row r="11" spans="1:4" x14ac:dyDescent="0.3">
      <c r="A11" s="18" t="s">
        <v>26</v>
      </c>
      <c r="B11" s="14">
        <v>1206991</v>
      </c>
      <c r="C11" s="14">
        <v>881044</v>
      </c>
      <c r="D11" s="17">
        <f t="shared" si="0"/>
        <v>-0.27004923814676329</v>
      </c>
    </row>
    <row r="12" spans="1:4" ht="15.75" thickBot="1" x14ac:dyDescent="0.35">
      <c r="A12" s="26" t="s">
        <v>27</v>
      </c>
      <c r="B12" s="27">
        <f>SUM(B7:B11)</f>
        <v>3924688</v>
      </c>
      <c r="C12" s="27">
        <f>SUM(C7:C11)</f>
        <v>3655338</v>
      </c>
      <c r="D12" s="46">
        <f t="shared" si="0"/>
        <v>-6.8629659223866962E-2</v>
      </c>
    </row>
    <row r="14" spans="1:4" x14ac:dyDescent="0.3">
      <c r="A14" s="6" t="s">
        <v>48</v>
      </c>
      <c r="B14" s="6">
        <v>2007</v>
      </c>
      <c r="C14" s="6">
        <v>2008</v>
      </c>
      <c r="D14" s="7" t="s">
        <v>46</v>
      </c>
    </row>
    <row r="15" spans="1:4" x14ac:dyDescent="0.3">
      <c r="A15" s="18" t="s">
        <v>28</v>
      </c>
      <c r="B15" s="14">
        <v>7000</v>
      </c>
      <c r="C15" s="14">
        <v>7163</v>
      </c>
      <c r="D15" s="17">
        <f t="shared" ref="D15:D23" si="1">IF(B15&lt;&gt;0,(C15-B15)/B15,0)</f>
        <v>2.3285714285714285E-2</v>
      </c>
    </row>
    <row r="16" spans="1:4" x14ac:dyDescent="0.3">
      <c r="A16" s="18" t="s">
        <v>29</v>
      </c>
      <c r="B16" s="14">
        <v>138428</v>
      </c>
      <c r="C16" s="14">
        <v>158269</v>
      </c>
      <c r="D16" s="17">
        <f t="shared" si="1"/>
        <v>0.14333082902303002</v>
      </c>
    </row>
    <row r="17" spans="1:8" x14ac:dyDescent="0.3">
      <c r="A17" s="18" t="s">
        <v>30</v>
      </c>
      <c r="B17" s="14">
        <v>254</v>
      </c>
      <c r="C17" s="14">
        <v>575</v>
      </c>
      <c r="D17" s="17">
        <f t="shared" si="1"/>
        <v>1.2637795275590551</v>
      </c>
    </row>
    <row r="18" spans="1:8" x14ac:dyDescent="0.3">
      <c r="A18" s="18" t="s">
        <v>31</v>
      </c>
      <c r="B18" s="14">
        <v>528</v>
      </c>
      <c r="C18" s="14">
        <v>690</v>
      </c>
      <c r="D18" s="17">
        <f t="shared" si="1"/>
        <v>0.30681818181818182</v>
      </c>
    </row>
    <row r="19" spans="1:8" x14ac:dyDescent="0.3">
      <c r="A19" s="18" t="s">
        <v>32</v>
      </c>
      <c r="B19" s="14">
        <v>99</v>
      </c>
      <c r="C19" s="14">
        <v>388</v>
      </c>
      <c r="D19" s="17">
        <f t="shared" si="1"/>
        <v>2.9191919191919191</v>
      </c>
    </row>
    <row r="20" spans="1:8" x14ac:dyDescent="0.3">
      <c r="A20" s="18" t="s">
        <v>24</v>
      </c>
      <c r="B20" s="14">
        <v>11496</v>
      </c>
      <c r="C20" s="14">
        <v>12048</v>
      </c>
      <c r="D20" s="17">
        <f t="shared" si="1"/>
        <v>4.8016701461377868E-2</v>
      </c>
    </row>
    <row r="21" spans="1:8" s="9" customFormat="1" x14ac:dyDescent="0.3">
      <c r="A21" s="29" t="s">
        <v>33</v>
      </c>
      <c r="B21" s="30">
        <f>SUM(B15:B20)</f>
        <v>157805</v>
      </c>
      <c r="C21" s="30">
        <f>SUM(C15:C20)</f>
        <v>179133</v>
      </c>
      <c r="D21" s="42">
        <f t="shared" si="1"/>
        <v>0.13515414593960901</v>
      </c>
      <c r="G21" s="12"/>
    </row>
    <row r="22" spans="1:8" s="9" customFormat="1" x14ac:dyDescent="0.3">
      <c r="A22" s="31" t="s">
        <v>34</v>
      </c>
      <c r="B22" s="32">
        <v>3766883</v>
      </c>
      <c r="C22" s="32">
        <v>3476205</v>
      </c>
      <c r="D22" s="47">
        <f t="shared" si="1"/>
        <v>-7.7166718477850255E-2</v>
      </c>
      <c r="G22" s="12"/>
      <c r="H22" s="12"/>
    </row>
    <row r="23" spans="1:8" s="9" customFormat="1" ht="15.75" thickBot="1" x14ac:dyDescent="0.35">
      <c r="A23" s="26" t="s">
        <v>35</v>
      </c>
      <c r="B23" s="27">
        <f>+B21+B22</f>
        <v>3924688</v>
      </c>
      <c r="C23" s="27">
        <f>+C21+C22</f>
        <v>3655338</v>
      </c>
      <c r="D23" s="45">
        <f t="shared" si="1"/>
        <v>-6.8629659223866962E-2</v>
      </c>
      <c r="G23" s="12"/>
      <c r="H23" s="12"/>
    </row>
    <row r="24" spans="1:8" x14ac:dyDescent="0.3">
      <c r="A24" s="18" t="s">
        <v>54</v>
      </c>
      <c r="B24" s="14">
        <v>435123458</v>
      </c>
      <c r="C24" s="14">
        <v>435123458</v>
      </c>
      <c r="D24" s="17"/>
      <c r="H24" s="11"/>
    </row>
    <row r="25" spans="1:8" x14ac:dyDescent="0.3">
      <c r="A25" s="18" t="s">
        <v>71</v>
      </c>
      <c r="B25" s="33">
        <f>+B22/+(B24/1000000)</f>
        <v>8657.0441807805255</v>
      </c>
      <c r="C25" s="33">
        <f>+C22/+(C24/1000000)</f>
        <v>7989.008489631924</v>
      </c>
      <c r="D25" s="17"/>
      <c r="H25" s="11"/>
    </row>
    <row r="26" spans="1:8" x14ac:dyDescent="0.3">
      <c r="G26" s="13"/>
      <c r="H26" s="13"/>
    </row>
    <row r="27" spans="1:8" x14ac:dyDescent="0.3">
      <c r="A27" s="6" t="s">
        <v>70</v>
      </c>
      <c r="B27" s="6">
        <v>2007</v>
      </c>
      <c r="C27" s="6">
        <v>2008</v>
      </c>
      <c r="D27" s="6" t="s">
        <v>46</v>
      </c>
      <c r="H27" s="13"/>
    </row>
    <row r="28" spans="1:8" x14ac:dyDescent="0.3">
      <c r="A28" s="19" t="s">
        <v>66</v>
      </c>
      <c r="B28" s="14"/>
      <c r="C28" s="17"/>
      <c r="D28" s="34"/>
    </row>
    <row r="29" spans="1:8" x14ac:dyDescent="0.3">
      <c r="A29" s="19" t="s">
        <v>44</v>
      </c>
      <c r="B29" s="14"/>
      <c r="C29" s="17"/>
      <c r="D29" s="34"/>
    </row>
    <row r="30" spans="1:8" x14ac:dyDescent="0.3">
      <c r="A30" s="19" t="s">
        <v>45</v>
      </c>
      <c r="B30" s="14"/>
      <c r="C30" s="17"/>
      <c r="D30" s="34"/>
    </row>
    <row r="31" spans="1:8" s="9" customFormat="1" x14ac:dyDescent="0.3">
      <c r="A31" s="19" t="s">
        <v>72</v>
      </c>
      <c r="B31" s="30">
        <v>37425</v>
      </c>
      <c r="C31" s="30">
        <f>-15295+77743</f>
        <v>62448</v>
      </c>
      <c r="D31" s="17">
        <f t="shared" ref="D31:D42" si="2">IF(C31&lt;&gt;0,(C31-B31)/B31,0)</f>
        <v>0.66861723446893784</v>
      </c>
      <c r="G31" s="12"/>
    </row>
    <row r="32" spans="1:8" x14ac:dyDescent="0.3">
      <c r="A32" s="19" t="s">
        <v>5</v>
      </c>
      <c r="B32" s="14">
        <v>2701</v>
      </c>
      <c r="C32" s="14">
        <v>2704</v>
      </c>
      <c r="D32" s="17">
        <f t="shared" si="2"/>
        <v>1.1106997408367272E-3</v>
      </c>
    </row>
    <row r="33" spans="1:7" s="9" customFormat="1" x14ac:dyDescent="0.3">
      <c r="A33" s="19" t="s">
        <v>57</v>
      </c>
      <c r="B33" s="14">
        <v>2752</v>
      </c>
      <c r="C33" s="14">
        <v>2991</v>
      </c>
      <c r="D33" s="17">
        <f t="shared" si="2"/>
        <v>8.6845930232558141E-2</v>
      </c>
      <c r="G33" s="12"/>
    </row>
    <row r="34" spans="1:7" s="9" customFormat="1" x14ac:dyDescent="0.3">
      <c r="A34" s="19" t="s">
        <v>56</v>
      </c>
      <c r="B34" s="14">
        <v>910</v>
      </c>
      <c r="C34" s="14">
        <f>47+1301</f>
        <v>1348</v>
      </c>
      <c r="D34" s="17">
        <f t="shared" si="2"/>
        <v>0.48131868131868133</v>
      </c>
      <c r="G34" s="12"/>
    </row>
    <row r="35" spans="1:7" s="9" customFormat="1" x14ac:dyDescent="0.3">
      <c r="A35" s="35" t="s">
        <v>4</v>
      </c>
      <c r="B35" s="30">
        <f>SUM(B31:B34)</f>
        <v>43788</v>
      </c>
      <c r="C35" s="30">
        <f>SUM(C31:C34)</f>
        <v>69491</v>
      </c>
      <c r="D35" s="17">
        <f t="shared" si="2"/>
        <v>0.58698730245729425</v>
      </c>
      <c r="G35" s="12"/>
    </row>
    <row r="36" spans="1:7" x14ac:dyDescent="0.3">
      <c r="A36" s="19" t="s">
        <v>58</v>
      </c>
      <c r="B36" s="14">
        <v>-1501</v>
      </c>
      <c r="C36" s="14">
        <v>-1634</v>
      </c>
      <c r="D36" s="17">
        <f t="shared" si="2"/>
        <v>8.8607594936708861E-2</v>
      </c>
    </row>
    <row r="37" spans="1:7" s="9" customFormat="1" x14ac:dyDescent="0.3">
      <c r="A37" s="35" t="s">
        <v>42</v>
      </c>
      <c r="B37" s="30">
        <f>SUM(B35:B36)</f>
        <v>42287</v>
      </c>
      <c r="C37" s="30">
        <f>SUM(C35:C36)</f>
        <v>67857</v>
      </c>
      <c r="D37" s="17">
        <f t="shared" si="2"/>
        <v>0.60467756047957999</v>
      </c>
      <c r="G37" s="12"/>
    </row>
    <row r="38" spans="1:7" s="9" customFormat="1" x14ac:dyDescent="0.3">
      <c r="A38" s="19" t="s">
        <v>10</v>
      </c>
      <c r="B38" s="14">
        <v>7</v>
      </c>
      <c r="C38" s="14">
        <v>164</v>
      </c>
      <c r="D38" s="17">
        <f t="shared" si="2"/>
        <v>22.428571428571427</v>
      </c>
      <c r="G38" s="12"/>
    </row>
    <row r="39" spans="1:7" x14ac:dyDescent="0.3">
      <c r="A39" s="19" t="s">
        <v>13</v>
      </c>
      <c r="B39" s="14">
        <v>-65</v>
      </c>
      <c r="C39" s="14">
        <v>-59</v>
      </c>
      <c r="D39" s="17">
        <f t="shared" si="2"/>
        <v>-9.2307692307692313E-2</v>
      </c>
    </row>
    <row r="40" spans="1:7" s="9" customFormat="1" x14ac:dyDescent="0.3">
      <c r="A40" s="35" t="s">
        <v>43</v>
      </c>
      <c r="B40" s="30">
        <f>SUM(B37:B39)</f>
        <v>42229</v>
      </c>
      <c r="C40" s="30">
        <f>SUM(C37:C39)</f>
        <v>67962</v>
      </c>
      <c r="D40" s="17">
        <f t="shared" si="2"/>
        <v>0.60936796987851949</v>
      </c>
      <c r="G40" s="12"/>
    </row>
    <row r="41" spans="1:7" x14ac:dyDescent="0.3">
      <c r="A41" s="19" t="s">
        <v>15</v>
      </c>
      <c r="B41" s="14">
        <v>-54</v>
      </c>
      <c r="C41" s="14">
        <v>-48</v>
      </c>
      <c r="D41" s="17">
        <f t="shared" si="2"/>
        <v>-0.1111111111111111</v>
      </c>
    </row>
    <row r="42" spans="1:7" ht="15.75" thickBot="1" x14ac:dyDescent="0.35">
      <c r="A42" s="36" t="s">
        <v>17</v>
      </c>
      <c r="B42" s="37">
        <f>SUM(B40:B41)</f>
        <v>42175</v>
      </c>
      <c r="C42" s="37">
        <f>SUM(C40:C41)</f>
        <v>67914</v>
      </c>
      <c r="D42" s="28">
        <f t="shared" si="2"/>
        <v>0.61029045643153523</v>
      </c>
    </row>
    <row r="44" spans="1:7" x14ac:dyDescent="0.3">
      <c r="A44" s="19" t="s">
        <v>53</v>
      </c>
      <c r="B44" s="14"/>
      <c r="C44" s="14"/>
      <c r="D44" s="17"/>
    </row>
  </sheetData>
  <phoneticPr fontId="0" type="noConversion"/>
  <pageMargins left="0.70866141732283472" right="0.43307086614173229" top="0.47244094488188981" bottom="0.39370078740157483" header="0.31496062992125984" footer="0.18"/>
  <pageSetup orientation="portrait" r:id="rId1"/>
  <headerFooter>
    <oddFooter>&amp;L&amp;A</oddFooter>
  </headerFooter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58"/>
  <sheetViews>
    <sheetView zoomScale="87" zoomScaleNormal="87" workbookViewId="0"/>
  </sheetViews>
  <sheetFormatPr baseColWidth="10" defaultColWidth="11.42578125" defaultRowHeight="15" x14ac:dyDescent="0.3"/>
  <cols>
    <col min="1" max="1" width="43.42578125" style="5" customWidth="1"/>
    <col min="2" max="2" width="11.7109375" style="2" bestFit="1" customWidth="1"/>
    <col min="3" max="3" width="14.7109375" style="2" bestFit="1" customWidth="1"/>
    <col min="4" max="4" width="13.28515625" style="3" bestFit="1" customWidth="1"/>
    <col min="5" max="5" width="11.42578125" style="3"/>
    <col min="6" max="6" width="11.5703125" style="4" customWidth="1"/>
    <col min="7" max="7" width="3.42578125" style="4" customWidth="1"/>
    <col min="8" max="16384" width="11.42578125" style="5"/>
  </cols>
  <sheetData>
    <row r="1" spans="1:6" x14ac:dyDescent="0.3">
      <c r="A1" s="38" t="s">
        <v>40</v>
      </c>
    </row>
    <row r="2" spans="1:6" x14ac:dyDescent="0.3">
      <c r="A2" s="38" t="s">
        <v>65</v>
      </c>
    </row>
    <row r="3" spans="1:6" x14ac:dyDescent="0.3">
      <c r="A3" s="24" t="s">
        <v>44</v>
      </c>
    </row>
    <row r="4" spans="1:6" x14ac:dyDescent="0.3">
      <c r="A4" s="24" t="s">
        <v>45</v>
      </c>
    </row>
    <row r="6" spans="1:6" x14ac:dyDescent="0.3">
      <c r="A6" s="6" t="s">
        <v>20</v>
      </c>
      <c r="B6" s="6">
        <v>2007</v>
      </c>
      <c r="C6" s="6">
        <v>2008</v>
      </c>
      <c r="D6" s="7" t="s">
        <v>46</v>
      </c>
      <c r="E6" s="20"/>
      <c r="F6" s="23"/>
    </row>
    <row r="7" spans="1:6" x14ac:dyDescent="0.3">
      <c r="A7" s="18" t="s">
        <v>21</v>
      </c>
      <c r="B7" s="14">
        <v>162791</v>
      </c>
      <c r="C7" s="14">
        <v>206388</v>
      </c>
      <c r="D7" s="17">
        <f>+(C7-B7)/B7</f>
        <v>0.26780964549637265</v>
      </c>
      <c r="E7" s="21"/>
      <c r="F7" s="23"/>
    </row>
    <row r="8" spans="1:6" x14ac:dyDescent="0.3">
      <c r="A8" s="18" t="s">
        <v>22</v>
      </c>
      <c r="B8" s="14">
        <v>311842</v>
      </c>
      <c r="C8" s="14">
        <v>272899</v>
      </c>
      <c r="D8" s="17">
        <f t="shared" ref="D8:D16" si="0">+(C8-B8)/B8</f>
        <v>-0.12488054848288556</v>
      </c>
      <c r="E8" s="21"/>
      <c r="F8" s="23"/>
    </row>
    <row r="9" spans="1:6" x14ac:dyDescent="0.3">
      <c r="A9" s="18" t="s">
        <v>23</v>
      </c>
      <c r="B9" s="14">
        <v>367618</v>
      </c>
      <c r="C9" s="14">
        <v>462799</v>
      </c>
      <c r="D9" s="17">
        <f t="shared" si="0"/>
        <v>0.25891278446648425</v>
      </c>
      <c r="E9" s="21"/>
      <c r="F9" s="23"/>
    </row>
    <row r="10" spans="1:6" x14ac:dyDescent="0.3">
      <c r="A10" s="18" t="s">
        <v>36</v>
      </c>
      <c r="B10" s="14">
        <v>414335</v>
      </c>
      <c r="C10" s="14">
        <v>441512</v>
      </c>
      <c r="D10" s="17">
        <f t="shared" si="0"/>
        <v>6.5591852003813345E-2</v>
      </c>
      <c r="E10" s="21"/>
      <c r="F10" s="23"/>
    </row>
    <row r="11" spans="1:6" x14ac:dyDescent="0.3">
      <c r="A11" s="18" t="s">
        <v>60</v>
      </c>
      <c r="B11" s="14">
        <v>604307</v>
      </c>
      <c r="C11" s="14">
        <v>683972</v>
      </c>
      <c r="D11" s="17">
        <f t="shared" si="0"/>
        <v>0.13182868972227693</v>
      </c>
      <c r="E11" s="21"/>
      <c r="F11" s="23"/>
    </row>
    <row r="12" spans="1:6" x14ac:dyDescent="0.3">
      <c r="A12" s="18" t="s">
        <v>47</v>
      </c>
      <c r="B12" s="14">
        <v>621272</v>
      </c>
      <c r="C12" s="14">
        <v>545371</v>
      </c>
      <c r="D12" s="17">
        <f t="shared" si="0"/>
        <v>-0.12217032153388532</v>
      </c>
      <c r="E12" s="21"/>
      <c r="F12" s="23"/>
    </row>
    <row r="13" spans="1:6" x14ac:dyDescent="0.3">
      <c r="A13" s="18" t="s">
        <v>24</v>
      </c>
      <c r="B13" s="14">
        <v>36990</v>
      </c>
      <c r="C13" s="14">
        <v>74187</v>
      </c>
      <c r="D13" s="17">
        <f t="shared" si="0"/>
        <v>1.0055961070559611</v>
      </c>
      <c r="E13" s="21"/>
      <c r="F13" s="23"/>
    </row>
    <row r="14" spans="1:6" x14ac:dyDescent="0.3">
      <c r="A14" s="18" t="s">
        <v>25</v>
      </c>
      <c r="B14" s="14">
        <v>10431</v>
      </c>
      <c r="C14" s="14">
        <v>12730</v>
      </c>
      <c r="D14" s="17">
        <f t="shared" si="0"/>
        <v>0.22040072859744991</v>
      </c>
      <c r="E14" s="21"/>
      <c r="F14" s="23"/>
    </row>
    <row r="15" spans="1:6" x14ac:dyDescent="0.3">
      <c r="A15" s="18" t="s">
        <v>26</v>
      </c>
      <c r="B15" s="14">
        <v>2458478</v>
      </c>
      <c r="C15" s="14">
        <v>2088372</v>
      </c>
      <c r="D15" s="17">
        <f t="shared" si="0"/>
        <v>-0.15054273416316924</v>
      </c>
      <c r="E15" s="21"/>
      <c r="F15" s="23"/>
    </row>
    <row r="16" spans="1:6" ht="15.75" thickBot="1" x14ac:dyDescent="0.35">
      <c r="A16" s="26" t="s">
        <v>27</v>
      </c>
      <c r="B16" s="27">
        <f>SUM(B7:B15)</f>
        <v>4988064</v>
      </c>
      <c r="C16" s="27">
        <f>SUM(C7:C15)</f>
        <v>4788230</v>
      </c>
      <c r="D16" s="45">
        <f t="shared" si="0"/>
        <v>-4.0062437049725105E-2</v>
      </c>
      <c r="E16" s="22"/>
      <c r="F16" s="23"/>
    </row>
    <row r="17" spans="1:6" x14ac:dyDescent="0.3">
      <c r="A17" s="1"/>
      <c r="E17" s="21"/>
      <c r="F17" s="23"/>
    </row>
    <row r="18" spans="1:6" x14ac:dyDescent="0.3">
      <c r="A18" s="6" t="s">
        <v>48</v>
      </c>
      <c r="B18" s="6">
        <v>2007</v>
      </c>
      <c r="C18" s="6">
        <v>2008</v>
      </c>
      <c r="D18" s="7" t="s">
        <v>46</v>
      </c>
      <c r="E18" s="20"/>
      <c r="F18" s="23"/>
    </row>
    <row r="19" spans="1:6" x14ac:dyDescent="0.3">
      <c r="A19" s="18" t="s">
        <v>28</v>
      </c>
      <c r="B19" s="14">
        <v>793270</v>
      </c>
      <c r="C19" s="14">
        <v>667919</v>
      </c>
      <c r="D19" s="17">
        <f t="shared" ref="D19:D30" si="1">+(C19-B19)/B19</f>
        <v>-0.15801807707337981</v>
      </c>
      <c r="E19" s="21"/>
      <c r="F19" s="23"/>
    </row>
    <row r="20" spans="1:6" x14ac:dyDescent="0.3">
      <c r="A20" s="18" t="s">
        <v>49</v>
      </c>
      <c r="B20" s="14">
        <v>123680</v>
      </c>
      <c r="C20" s="14">
        <v>145266</v>
      </c>
      <c r="D20" s="17">
        <f t="shared" si="1"/>
        <v>0.17453104786545925</v>
      </c>
      <c r="E20" s="21"/>
      <c r="F20" s="23"/>
    </row>
    <row r="21" spans="1:6" x14ac:dyDescent="0.3">
      <c r="A21" s="18" t="s">
        <v>38</v>
      </c>
      <c r="B21" s="14">
        <v>188574</v>
      </c>
      <c r="C21" s="14">
        <v>217624</v>
      </c>
      <c r="D21" s="17">
        <f t="shared" si="1"/>
        <v>0.15405092960853564</v>
      </c>
      <c r="E21" s="21"/>
      <c r="F21" s="23"/>
    </row>
    <row r="22" spans="1:6" x14ac:dyDescent="0.3">
      <c r="A22" s="18" t="s">
        <v>30</v>
      </c>
      <c r="B22" s="14">
        <v>37015</v>
      </c>
      <c r="C22" s="14">
        <v>43411</v>
      </c>
      <c r="D22" s="17">
        <f t="shared" si="1"/>
        <v>0.17279481291368365</v>
      </c>
      <c r="E22" s="21"/>
      <c r="F22" s="23"/>
    </row>
    <row r="23" spans="1:6" x14ac:dyDescent="0.3">
      <c r="A23" s="18" t="s">
        <v>31</v>
      </c>
      <c r="B23" s="14">
        <v>35010</v>
      </c>
      <c r="C23" s="14">
        <v>43752</v>
      </c>
      <c r="D23" s="17">
        <f t="shared" si="1"/>
        <v>0.24970008568980293</v>
      </c>
      <c r="E23" s="21"/>
      <c r="F23" s="23"/>
    </row>
    <row r="24" spans="1:6" x14ac:dyDescent="0.3">
      <c r="A24" s="18" t="s">
        <v>32</v>
      </c>
      <c r="B24" s="14">
        <v>92311</v>
      </c>
      <c r="C24" s="14">
        <v>136815</v>
      </c>
      <c r="D24" s="17">
        <f t="shared" si="1"/>
        <v>0.48210939108015294</v>
      </c>
      <c r="E24" s="21"/>
      <c r="F24" s="23"/>
    </row>
    <row r="25" spans="1:6" x14ac:dyDescent="0.3">
      <c r="A25" s="18" t="s">
        <v>24</v>
      </c>
      <c r="B25" s="14">
        <v>10326</v>
      </c>
      <c r="C25" s="14">
        <v>77290</v>
      </c>
      <c r="D25" s="17">
        <f t="shared" si="1"/>
        <v>6.4849893472787139</v>
      </c>
      <c r="E25" s="21"/>
      <c r="F25" s="23"/>
    </row>
    <row r="26" spans="1:6" x14ac:dyDescent="0.3">
      <c r="A26" s="18" t="s">
        <v>0</v>
      </c>
      <c r="B26" s="14">
        <v>1393</v>
      </c>
      <c r="C26" s="14">
        <v>1048</v>
      </c>
      <c r="D26" s="17">
        <f t="shared" si="1"/>
        <v>-0.24766690595836324</v>
      </c>
      <c r="E26" s="21"/>
      <c r="F26" s="23"/>
    </row>
    <row r="27" spans="1:6" x14ac:dyDescent="0.3">
      <c r="A27" s="18" t="s">
        <v>33</v>
      </c>
      <c r="B27" s="14">
        <v>1281579</v>
      </c>
      <c r="C27" s="14">
        <v>1333125</v>
      </c>
      <c r="D27" s="17">
        <f t="shared" si="1"/>
        <v>4.0220696500176734E-2</v>
      </c>
      <c r="E27" s="21"/>
      <c r="F27" s="23"/>
    </row>
    <row r="28" spans="1:6" x14ac:dyDescent="0.3">
      <c r="A28" s="18" t="s">
        <v>39</v>
      </c>
      <c r="B28" s="14">
        <v>2717</v>
      </c>
      <c r="C28" s="14">
        <v>2970</v>
      </c>
      <c r="D28" s="17">
        <f t="shared" si="1"/>
        <v>9.3117408906882596E-2</v>
      </c>
      <c r="E28" s="21"/>
      <c r="F28" s="23"/>
    </row>
    <row r="29" spans="1:6" x14ac:dyDescent="0.3">
      <c r="A29" s="32" t="s">
        <v>34</v>
      </c>
      <c r="B29" s="32">
        <v>3703768</v>
      </c>
      <c r="C29" s="32">
        <v>3452135</v>
      </c>
      <c r="D29" s="47">
        <f t="shared" si="1"/>
        <v>-6.7939730566277376E-2</v>
      </c>
      <c r="E29" s="22"/>
      <c r="F29" s="22"/>
    </row>
    <row r="30" spans="1:6" ht="15.75" thickBot="1" x14ac:dyDescent="0.35">
      <c r="A30" s="27" t="s">
        <v>35</v>
      </c>
      <c r="B30" s="27">
        <f>+B27+B28+B29</f>
        <v>4988064</v>
      </c>
      <c r="C30" s="27">
        <f>+C27+C28+C29</f>
        <v>4788230</v>
      </c>
      <c r="D30" s="45">
        <f t="shared" si="1"/>
        <v>-4.0062437049725105E-2</v>
      </c>
      <c r="E30" s="22"/>
      <c r="F30" s="22"/>
    </row>
    <row r="31" spans="1:6" x14ac:dyDescent="0.3">
      <c r="A31" s="19"/>
      <c r="B31" s="14"/>
      <c r="C31" s="14"/>
      <c r="D31" s="17"/>
      <c r="E31" s="21"/>
      <c r="F31" s="23"/>
    </row>
    <row r="32" spans="1:6" x14ac:dyDescent="0.3">
      <c r="A32" s="41" t="s">
        <v>3</v>
      </c>
      <c r="B32" s="14"/>
      <c r="C32" s="14"/>
      <c r="D32" s="17"/>
      <c r="E32" s="21"/>
      <c r="F32" s="23"/>
    </row>
    <row r="33" spans="1:7" x14ac:dyDescent="0.3">
      <c r="A33" s="41" t="s">
        <v>66</v>
      </c>
      <c r="B33" s="14"/>
      <c r="C33" s="14"/>
      <c r="D33" s="17"/>
    </row>
    <row r="34" spans="1:7" x14ac:dyDescent="0.3">
      <c r="A34" s="41" t="s">
        <v>44</v>
      </c>
      <c r="B34" s="14"/>
      <c r="C34" s="14"/>
      <c r="D34" s="17"/>
    </row>
    <row r="35" spans="1:7" x14ac:dyDescent="0.3">
      <c r="A35" s="41" t="s">
        <v>45</v>
      </c>
      <c r="B35" s="14"/>
      <c r="C35" s="14"/>
      <c r="D35" s="17"/>
    </row>
    <row r="36" spans="1:7" x14ac:dyDescent="0.3">
      <c r="A36" s="6"/>
      <c r="B36" s="6">
        <v>2007</v>
      </c>
      <c r="C36" s="6" t="s">
        <v>55</v>
      </c>
      <c r="D36" s="6">
        <v>2008</v>
      </c>
      <c r="E36" s="6" t="s">
        <v>55</v>
      </c>
      <c r="F36" s="7" t="s">
        <v>46</v>
      </c>
    </row>
    <row r="37" spans="1:7" s="9" customFormat="1" x14ac:dyDescent="0.3">
      <c r="A37" s="30" t="s">
        <v>4</v>
      </c>
      <c r="B37" s="30">
        <v>769218</v>
      </c>
      <c r="C37" s="42">
        <v>1</v>
      </c>
      <c r="D37" s="50">
        <v>876511</v>
      </c>
      <c r="E37" s="42">
        <v>1</v>
      </c>
      <c r="F37" s="17">
        <f>IF(D37&lt;&gt;0,(D37-B37)/B37,0)</f>
        <v>0.13948321542137598</v>
      </c>
      <c r="G37" s="8"/>
    </row>
    <row r="38" spans="1:7" x14ac:dyDescent="0.3">
      <c r="A38" s="14" t="s">
        <v>50</v>
      </c>
      <c r="B38" s="14">
        <v>-459878</v>
      </c>
      <c r="C38" s="17">
        <f t="shared" ref="C38:C55" si="2">+B38/$B$37</f>
        <v>-0.59785132433198396</v>
      </c>
      <c r="D38" s="51">
        <v>-508099</v>
      </c>
      <c r="E38" s="17">
        <f>+D38/$D$37</f>
        <v>-0.57968354076560358</v>
      </c>
      <c r="F38" s="17">
        <f t="shared" ref="F38:F52" si="3">IF(D38&lt;&gt;0,(D38-B38)/B38,0)</f>
        <v>0.10485607052305176</v>
      </c>
    </row>
    <row r="39" spans="1:7" s="9" customFormat="1" x14ac:dyDescent="0.3">
      <c r="A39" s="30" t="s">
        <v>6</v>
      </c>
      <c r="B39" s="30">
        <f>SUM(B37:B38)</f>
        <v>309340</v>
      </c>
      <c r="C39" s="42">
        <f t="shared" si="2"/>
        <v>0.4021486756680161</v>
      </c>
      <c r="D39" s="30">
        <f>SUM(D37:D38)</f>
        <v>368412</v>
      </c>
      <c r="E39" s="42">
        <f t="shared" ref="E39:E55" si="4">+D39/$D$37</f>
        <v>0.42031645923439637</v>
      </c>
      <c r="F39" s="42">
        <f t="shared" si="3"/>
        <v>0.190961401693929</v>
      </c>
      <c r="G39" s="8"/>
    </row>
    <row r="40" spans="1:7" x14ac:dyDescent="0.3">
      <c r="A40" s="14" t="s">
        <v>7</v>
      </c>
      <c r="B40" s="14">
        <v>-35861</v>
      </c>
      <c r="C40" s="17">
        <f t="shared" si="2"/>
        <v>-4.662007389322663E-2</v>
      </c>
      <c r="D40" s="14">
        <v>-40216</v>
      </c>
      <c r="E40" s="17">
        <f t="shared" si="4"/>
        <v>-4.588191135079879E-2</v>
      </c>
      <c r="F40" s="17">
        <f t="shared" si="3"/>
        <v>0.12144111987953488</v>
      </c>
    </row>
    <row r="41" spans="1:7" x14ac:dyDescent="0.3">
      <c r="A41" s="14" t="s">
        <v>8</v>
      </c>
      <c r="B41" s="14">
        <v>-190423</v>
      </c>
      <c r="C41" s="17">
        <f t="shared" si="2"/>
        <v>-0.24755400939655597</v>
      </c>
      <c r="D41" s="14">
        <v>-217362</v>
      </c>
      <c r="E41" s="17">
        <f t="shared" si="4"/>
        <v>-0.24798547879034033</v>
      </c>
      <c r="F41" s="17">
        <f t="shared" si="3"/>
        <v>0.1414692552895396</v>
      </c>
    </row>
    <row r="42" spans="1:7" s="9" customFormat="1" x14ac:dyDescent="0.3">
      <c r="A42" s="30" t="s">
        <v>9</v>
      </c>
      <c r="B42" s="30">
        <f>SUM(B40:B41)</f>
        <v>-226284</v>
      </c>
      <c r="C42" s="42">
        <f t="shared" si="2"/>
        <v>-0.29417408328978262</v>
      </c>
      <c r="D42" s="30">
        <f>SUM(D40:D41)</f>
        <v>-257578</v>
      </c>
      <c r="E42" s="42">
        <f t="shared" si="4"/>
        <v>-0.29386739014113911</v>
      </c>
      <c r="F42" s="42">
        <f t="shared" si="3"/>
        <v>0.13829523961040108</v>
      </c>
      <c r="G42" s="8"/>
    </row>
    <row r="43" spans="1:7" s="9" customFormat="1" x14ac:dyDescent="0.3">
      <c r="A43" s="30" t="s">
        <v>1</v>
      </c>
      <c r="B43" s="30">
        <f>+B39+B42</f>
        <v>83056</v>
      </c>
      <c r="C43" s="42">
        <f t="shared" si="2"/>
        <v>0.10797459237823348</v>
      </c>
      <c r="D43" s="30">
        <f>+D39+D42</f>
        <v>110834</v>
      </c>
      <c r="E43" s="42">
        <f t="shared" si="4"/>
        <v>0.12644906909325723</v>
      </c>
      <c r="F43" s="42">
        <f t="shared" si="3"/>
        <v>0.33444904642650741</v>
      </c>
      <c r="G43" s="8"/>
    </row>
    <row r="44" spans="1:7" x14ac:dyDescent="0.3">
      <c r="A44" s="14" t="s">
        <v>51</v>
      </c>
      <c r="B44" s="14">
        <v>2596</v>
      </c>
      <c r="C44" s="17">
        <f t="shared" si="2"/>
        <v>3.3748560226099754E-3</v>
      </c>
      <c r="D44" s="14">
        <v>3285</v>
      </c>
      <c r="E44" s="17">
        <f t="shared" si="4"/>
        <v>3.7478137752977431E-3</v>
      </c>
      <c r="F44" s="17">
        <f t="shared" si="3"/>
        <v>0.26540832049306623</v>
      </c>
    </row>
    <row r="45" spans="1:7" x14ac:dyDescent="0.3">
      <c r="A45" s="14" t="s">
        <v>11</v>
      </c>
      <c r="B45" s="14">
        <v>-22387</v>
      </c>
      <c r="C45" s="17">
        <f t="shared" si="2"/>
        <v>-2.9103583119479783E-2</v>
      </c>
      <c r="D45" s="14">
        <v>-37902</v>
      </c>
      <c r="E45" s="17">
        <f t="shared" si="4"/>
        <v>-4.324189884667734E-2</v>
      </c>
      <c r="F45" s="17">
        <f t="shared" si="3"/>
        <v>0.69303613704382006</v>
      </c>
    </row>
    <row r="46" spans="1:7" x14ac:dyDescent="0.3">
      <c r="A46" s="14" t="s">
        <v>12</v>
      </c>
      <c r="B46" s="14">
        <v>-8188</v>
      </c>
      <c r="C46" s="17">
        <f t="shared" si="2"/>
        <v>-1.0644576699973219E-2</v>
      </c>
      <c r="D46" s="14">
        <v>25165</v>
      </c>
      <c r="E46" s="17">
        <f t="shared" si="4"/>
        <v>2.8710421204069317E-2</v>
      </c>
      <c r="F46" s="17">
        <f t="shared" si="3"/>
        <v>-4.0734000977039573</v>
      </c>
    </row>
    <row r="47" spans="1:7" x14ac:dyDescent="0.3">
      <c r="A47" s="14" t="s">
        <v>52</v>
      </c>
      <c r="B47" s="14">
        <v>-6484</v>
      </c>
      <c r="C47" s="17">
        <f t="shared" si="2"/>
        <v>-8.429339927042789E-3</v>
      </c>
      <c r="D47" s="14">
        <v>-89258</v>
      </c>
      <c r="E47" s="17">
        <f t="shared" si="4"/>
        <v>-0.10183329131066239</v>
      </c>
      <c r="F47" s="17">
        <f t="shared" si="3"/>
        <v>12.765885256014805</v>
      </c>
    </row>
    <row r="48" spans="1:7" x14ac:dyDescent="0.3">
      <c r="A48" s="14" t="s">
        <v>14</v>
      </c>
      <c r="B48" s="14">
        <v>6117</v>
      </c>
      <c r="C48" s="17">
        <f t="shared" si="2"/>
        <v>7.9522320070513179E-3</v>
      </c>
      <c r="D48" s="14">
        <v>6007</v>
      </c>
      <c r="E48" s="17">
        <f t="shared" si="4"/>
        <v>6.853308172972159E-3</v>
      </c>
      <c r="F48" s="17">
        <f t="shared" si="3"/>
        <v>-1.7982671244073892E-2</v>
      </c>
    </row>
    <row r="49" spans="1:7" x14ac:dyDescent="0.3">
      <c r="A49" s="14" t="s">
        <v>16</v>
      </c>
      <c r="B49" s="14">
        <v>6542</v>
      </c>
      <c r="C49" s="17">
        <f t="shared" si="2"/>
        <v>8.5047411787035673E-3</v>
      </c>
      <c r="D49" s="14">
        <v>80487</v>
      </c>
      <c r="E49" s="17">
        <f t="shared" si="4"/>
        <v>9.1826571486267716E-2</v>
      </c>
      <c r="F49" s="17">
        <f t="shared" si="3"/>
        <v>11.303118312442678</v>
      </c>
    </row>
    <row r="50" spans="1:7" s="9" customFormat="1" x14ac:dyDescent="0.3">
      <c r="A50" s="30" t="s">
        <v>2</v>
      </c>
      <c r="B50" s="30">
        <f>SUM(B44:B49)</f>
        <v>-21804</v>
      </c>
      <c r="C50" s="42">
        <f t="shared" si="2"/>
        <v>-2.8345670538130932E-2</v>
      </c>
      <c r="D50" s="30">
        <f>SUM(D44:D49)</f>
        <v>-12216</v>
      </c>
      <c r="E50" s="42">
        <f t="shared" si="4"/>
        <v>-1.3937075518732795E-2</v>
      </c>
      <c r="F50" s="42">
        <f t="shared" si="3"/>
        <v>-0.43973582828838748</v>
      </c>
      <c r="G50" s="8"/>
    </row>
    <row r="51" spans="1:7" s="9" customFormat="1" x14ac:dyDescent="0.3">
      <c r="A51" s="30" t="s">
        <v>41</v>
      </c>
      <c r="B51" s="30">
        <f>+B43+B50</f>
        <v>61252</v>
      </c>
      <c r="C51" s="42">
        <f t="shared" si="2"/>
        <v>7.9628921840102548E-2</v>
      </c>
      <c r="D51" s="30">
        <f>+D43+D50</f>
        <v>98618</v>
      </c>
      <c r="E51" s="42">
        <f t="shared" si="4"/>
        <v>0.11251199357452445</v>
      </c>
      <c r="F51" s="42">
        <f t="shared" si="3"/>
        <v>0.61003722327434207</v>
      </c>
      <c r="G51" s="8"/>
    </row>
    <row r="52" spans="1:7" x14ac:dyDescent="0.3">
      <c r="A52" s="14" t="s">
        <v>15</v>
      </c>
      <c r="B52" s="14">
        <v>-19046</v>
      </c>
      <c r="C52" s="17">
        <f t="shared" si="2"/>
        <v>-2.4760211019502924E-2</v>
      </c>
      <c r="D52" s="14">
        <v>-34040</v>
      </c>
      <c r="E52" s="17">
        <f t="shared" si="4"/>
        <v>-3.8835793275840233E-2</v>
      </c>
      <c r="F52" s="17">
        <f t="shared" si="3"/>
        <v>0.78725191641289505</v>
      </c>
    </row>
    <row r="53" spans="1:7" x14ac:dyDescent="0.3">
      <c r="A53" s="14" t="s">
        <v>18</v>
      </c>
      <c r="B53" s="14">
        <v>0</v>
      </c>
      <c r="C53" s="17">
        <f t="shared" si="2"/>
        <v>0</v>
      </c>
      <c r="D53" s="14">
        <v>-94</v>
      </c>
      <c r="E53" s="17">
        <f t="shared" si="4"/>
        <v>-1.0724337743622156E-4</v>
      </c>
      <c r="F53" s="17">
        <f>IF(B53&lt;&gt;0,(D53-B53)/B53,0)</f>
        <v>0</v>
      </c>
    </row>
    <row r="54" spans="1:7" s="9" customFormat="1" x14ac:dyDescent="0.3">
      <c r="A54" s="43" t="s">
        <v>17</v>
      </c>
      <c r="B54" s="43">
        <f>+B51+B52+B53</f>
        <v>42206</v>
      </c>
      <c r="C54" s="44">
        <f t="shared" si="2"/>
        <v>5.4868710820599624E-2</v>
      </c>
      <c r="D54" s="43">
        <f>+D51+D52+D53</f>
        <v>64484</v>
      </c>
      <c r="E54" s="44">
        <f t="shared" si="4"/>
        <v>7.3568956921247999E-2</v>
      </c>
      <c r="F54" s="44">
        <f>+(D54-B54)/B54</f>
        <v>0.5278396436525612</v>
      </c>
      <c r="G54" s="8"/>
    </row>
    <row r="55" spans="1:7" s="9" customFormat="1" ht="15.75" thickBot="1" x14ac:dyDescent="0.35">
      <c r="A55" s="27" t="s">
        <v>19</v>
      </c>
      <c r="B55" s="27">
        <v>105459</v>
      </c>
      <c r="C55" s="45">
        <f t="shared" si="2"/>
        <v>0.13709897584299899</v>
      </c>
      <c r="D55" s="27">
        <v>134654</v>
      </c>
      <c r="E55" s="45">
        <f t="shared" si="4"/>
        <v>0.15362499729039339</v>
      </c>
      <c r="F55" s="45">
        <f>+(D55-B55)/B55</f>
        <v>0.27683744393555787</v>
      </c>
      <c r="G55" s="8"/>
    </row>
    <row r="56" spans="1:7" x14ac:dyDescent="0.3">
      <c r="A56" s="2"/>
      <c r="C56" s="3"/>
      <c r="D56" s="10"/>
    </row>
    <row r="57" spans="1:7" x14ac:dyDescent="0.3">
      <c r="A57" s="19" t="s">
        <v>53</v>
      </c>
      <c r="B57" s="14"/>
      <c r="C57" s="14"/>
      <c r="D57" s="17"/>
    </row>
    <row r="58" spans="1:7" x14ac:dyDescent="0.3">
      <c r="D58" s="10"/>
    </row>
  </sheetData>
  <phoneticPr fontId="0" type="noConversion"/>
  <pageMargins left="0.70866141732283472" right="0.43307086614173229" top="0.43307086614173229" bottom="0.51181102362204722" header="0.31496062992125984" footer="0.31496062992125984"/>
  <pageSetup scale="87" orientation="portrait" r:id="rId1"/>
  <headerFooter>
    <oddFooter>&amp;C&amp;A</oddFooter>
  </headerFooter>
  <customProperties>
    <customPr name="_pios_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5"/>
  <sheetViews>
    <sheetView topLeftCell="A23" zoomScale="86" zoomScaleNormal="86" workbookViewId="0">
      <selection activeCell="A6" sqref="A6:D43"/>
    </sheetView>
  </sheetViews>
  <sheetFormatPr baseColWidth="10" defaultColWidth="11.42578125" defaultRowHeight="15" x14ac:dyDescent="0.3"/>
  <cols>
    <col min="1" max="1" width="43.7109375" style="5" customWidth="1"/>
    <col min="2" max="3" width="11.7109375" style="2" bestFit="1" customWidth="1"/>
    <col min="4" max="4" width="13.28515625" style="3" bestFit="1" customWidth="1"/>
    <col min="5" max="6" width="11.42578125" style="5"/>
    <col min="7" max="7" width="11.5703125" style="11" bestFit="1" customWidth="1"/>
    <col min="8" max="8" width="11.5703125" style="5" bestFit="1" customWidth="1"/>
    <col min="9" max="16384" width="11.42578125" style="5"/>
  </cols>
  <sheetData>
    <row r="1" spans="1:4" x14ac:dyDescent="0.3">
      <c r="A1" s="24" t="s">
        <v>69</v>
      </c>
    </row>
    <row r="2" spans="1:4" x14ac:dyDescent="0.3">
      <c r="A2" s="24" t="s">
        <v>63</v>
      </c>
    </row>
    <row r="3" spans="1:4" x14ac:dyDescent="0.3">
      <c r="A3" s="24" t="s">
        <v>44</v>
      </c>
    </row>
    <row r="4" spans="1:4" x14ac:dyDescent="0.3">
      <c r="A4" s="24" t="s">
        <v>45</v>
      </c>
    </row>
    <row r="5" spans="1:4" ht="12" customHeight="1" x14ac:dyDescent="0.3"/>
    <row r="6" spans="1:4" x14ac:dyDescent="0.3">
      <c r="A6" s="6" t="s">
        <v>20</v>
      </c>
      <c r="B6" s="6">
        <v>2007</v>
      </c>
      <c r="C6" s="6">
        <v>2008</v>
      </c>
      <c r="D6" s="7" t="s">
        <v>46</v>
      </c>
    </row>
    <row r="7" spans="1:4" x14ac:dyDescent="0.3">
      <c r="A7" s="18" t="s">
        <v>21</v>
      </c>
      <c r="B7" s="14">
        <v>1609</v>
      </c>
      <c r="C7" s="14">
        <v>225</v>
      </c>
      <c r="D7" s="17">
        <f>IF(B7&lt;&gt;0,(C7-B7)/B7,0)</f>
        <v>-0.86016159105034184</v>
      </c>
    </row>
    <row r="8" spans="1:4" x14ac:dyDescent="0.3">
      <c r="A8" s="18" t="s">
        <v>22</v>
      </c>
      <c r="B8" s="14">
        <v>2666070</v>
      </c>
      <c r="C8" s="14">
        <v>2777079.4338039998</v>
      </c>
      <c r="D8" s="17">
        <f>IF(B8&lt;&gt;0,(C8-B8)/B8,0)</f>
        <v>4.1637854146365172E-2</v>
      </c>
    </row>
    <row r="9" spans="1:4" x14ac:dyDescent="0.3">
      <c r="A9" s="18" t="s">
        <v>23</v>
      </c>
      <c r="B9" s="14">
        <v>21521</v>
      </c>
      <c r="C9" s="14">
        <v>56394</v>
      </c>
      <c r="D9" s="17">
        <f>IF(B9&lt;&gt;0,(C9-B9)/B9,0)</f>
        <v>1.6204172668556294</v>
      </c>
    </row>
    <row r="10" spans="1:4" x14ac:dyDescent="0.3">
      <c r="A10" s="18" t="s">
        <v>37</v>
      </c>
      <c r="B10" s="14"/>
      <c r="C10" s="14">
        <v>19</v>
      </c>
      <c r="D10" s="52" t="str">
        <f>IF(B10&lt;&gt;0,(C10-B10)/B10,"N.A.")</f>
        <v>N.A.</v>
      </c>
    </row>
    <row r="11" spans="1:4" x14ac:dyDescent="0.3">
      <c r="A11" s="18" t="s">
        <v>59</v>
      </c>
      <c r="B11" s="14">
        <f>497+275+155</f>
        <v>927</v>
      </c>
      <c r="C11" s="14">
        <f>54+155</f>
        <v>209</v>
      </c>
      <c r="D11" s="17">
        <f>IF(B11&lt;&gt;0,(C11-B11)/B11,0)</f>
        <v>-0.77454153182308527</v>
      </c>
    </row>
    <row r="12" spans="1:4" x14ac:dyDescent="0.3">
      <c r="A12" s="18" t="s">
        <v>26</v>
      </c>
      <c r="B12" s="14">
        <v>1222939</v>
      </c>
      <c r="C12" s="14">
        <v>937125</v>
      </c>
      <c r="D12" s="17">
        <f>IF(B12&lt;&gt;0,(C12-B12)/B12,0)</f>
        <v>-0.23371075744579248</v>
      </c>
    </row>
    <row r="13" spans="1:4" ht="15.75" thickBot="1" x14ac:dyDescent="0.35">
      <c r="A13" s="26" t="s">
        <v>27</v>
      </c>
      <c r="B13" s="27">
        <f>SUM(B7:B12)</f>
        <v>3913066</v>
      </c>
      <c r="C13" s="27">
        <f>SUM(C7:C12)</f>
        <v>3771051.4338039998</v>
      </c>
      <c r="D13" s="46">
        <f>IF(B13&lt;&gt;0,(C13-B13)/B13,0)</f>
        <v>-3.6292402478261342E-2</v>
      </c>
    </row>
    <row r="15" spans="1:4" x14ac:dyDescent="0.3">
      <c r="A15" s="6" t="s">
        <v>48</v>
      </c>
      <c r="B15" s="6">
        <v>2007</v>
      </c>
      <c r="C15" s="6">
        <v>2008</v>
      </c>
      <c r="D15" s="7" t="s">
        <v>46</v>
      </c>
    </row>
    <row r="16" spans="1:4" x14ac:dyDescent="0.3">
      <c r="A16" s="18" t="s">
        <v>28</v>
      </c>
      <c r="B16" s="14">
        <v>7000</v>
      </c>
      <c r="C16" s="14">
        <v>7016</v>
      </c>
      <c r="D16" s="17">
        <f t="shared" ref="D16:D24" si="0">IF(B16&lt;&gt;0,(C16-B16)/B16,0)</f>
        <v>2.2857142857142859E-3</v>
      </c>
    </row>
    <row r="17" spans="1:8" x14ac:dyDescent="0.3">
      <c r="A17" s="18" t="s">
        <v>29</v>
      </c>
      <c r="B17" s="14">
        <v>113296</v>
      </c>
      <c r="C17" s="14">
        <v>131788</v>
      </c>
      <c r="D17" s="17">
        <f t="shared" si="0"/>
        <v>0.16321847196723627</v>
      </c>
    </row>
    <row r="18" spans="1:8" x14ac:dyDescent="0.3">
      <c r="A18" s="18" t="s">
        <v>30</v>
      </c>
      <c r="B18" s="14">
        <v>157</v>
      </c>
      <c r="C18" s="14">
        <v>739</v>
      </c>
      <c r="D18" s="17">
        <f t="shared" si="0"/>
        <v>3.7070063694267517</v>
      </c>
    </row>
    <row r="19" spans="1:8" x14ac:dyDescent="0.3">
      <c r="A19" s="18" t="s">
        <v>31</v>
      </c>
      <c r="B19" s="14">
        <v>176</v>
      </c>
      <c r="C19" s="14">
        <v>111</v>
      </c>
      <c r="D19" s="17">
        <f t="shared" si="0"/>
        <v>-0.36931818181818182</v>
      </c>
    </row>
    <row r="20" spans="1:8" x14ac:dyDescent="0.3">
      <c r="A20" s="18" t="s">
        <v>32</v>
      </c>
      <c r="B20" s="14">
        <v>293</v>
      </c>
      <c r="C20" s="14">
        <v>876</v>
      </c>
      <c r="D20" s="17">
        <f t="shared" si="0"/>
        <v>1.9897610921501707</v>
      </c>
    </row>
    <row r="21" spans="1:8" x14ac:dyDescent="0.3">
      <c r="A21" s="18" t="s">
        <v>24</v>
      </c>
      <c r="B21" s="14">
        <v>8132</v>
      </c>
      <c r="C21" s="14">
        <v>8802</v>
      </c>
      <c r="D21" s="17">
        <f t="shared" si="0"/>
        <v>8.2390555828824402E-2</v>
      </c>
    </row>
    <row r="22" spans="1:8" s="9" customFormat="1" x14ac:dyDescent="0.3">
      <c r="A22" s="29" t="s">
        <v>33</v>
      </c>
      <c r="B22" s="30">
        <f>SUM(B16:B21)</f>
        <v>129054</v>
      </c>
      <c r="C22" s="30">
        <f>SUM(C16:C21)</f>
        <v>149332</v>
      </c>
      <c r="D22" s="42">
        <f t="shared" si="0"/>
        <v>0.15712802392796812</v>
      </c>
      <c r="G22" s="12"/>
    </row>
    <row r="23" spans="1:8" s="9" customFormat="1" x14ac:dyDescent="0.3">
      <c r="A23" s="31" t="s">
        <v>34</v>
      </c>
      <c r="B23" s="32">
        <v>3784012</v>
      </c>
      <c r="C23" s="32">
        <v>3621719.4338039998</v>
      </c>
      <c r="D23" s="47">
        <f t="shared" si="0"/>
        <v>-4.288901995976762E-2</v>
      </c>
      <c r="G23" s="12"/>
      <c r="H23" s="12"/>
    </row>
    <row r="24" spans="1:8" s="9" customFormat="1" ht="15.75" thickBot="1" x14ac:dyDescent="0.35">
      <c r="A24" s="26" t="s">
        <v>35</v>
      </c>
      <c r="B24" s="27">
        <f>+B22+B23</f>
        <v>3913066</v>
      </c>
      <c r="C24" s="27">
        <f>+C22+C23</f>
        <v>3771051.4338039998</v>
      </c>
      <c r="D24" s="45">
        <f t="shared" si="0"/>
        <v>-3.6292402478261342E-2</v>
      </c>
      <c r="G24" s="12"/>
      <c r="H24" s="12"/>
    </row>
    <row r="25" spans="1:8" x14ac:dyDescent="0.3">
      <c r="A25" s="33" t="s">
        <v>54</v>
      </c>
      <c r="B25" s="14">
        <v>435123458</v>
      </c>
      <c r="C25" s="14">
        <v>435123458</v>
      </c>
      <c r="D25" s="17"/>
      <c r="H25" s="11"/>
    </row>
    <row r="26" spans="1:8" x14ac:dyDescent="0.3">
      <c r="A26" s="33" t="s">
        <v>71</v>
      </c>
      <c r="B26" s="33">
        <f>+B23/+(B25/1000000)</f>
        <v>8696.4100197971857</v>
      </c>
      <c r="C26" s="33">
        <f>+C23/+(C25/1000000)</f>
        <v>8323.4295168797798</v>
      </c>
      <c r="D26" s="17"/>
      <c r="H26" s="11"/>
    </row>
    <row r="27" spans="1:8" x14ac:dyDescent="0.3">
      <c r="G27" s="13"/>
      <c r="H27" s="13"/>
    </row>
    <row r="28" spans="1:8" x14ac:dyDescent="0.3">
      <c r="A28" s="6" t="s">
        <v>70</v>
      </c>
      <c r="B28" s="6">
        <v>2007</v>
      </c>
      <c r="C28" s="6">
        <v>2008</v>
      </c>
      <c r="D28" s="7" t="s">
        <v>46</v>
      </c>
      <c r="H28" s="13"/>
    </row>
    <row r="29" spans="1:8" x14ac:dyDescent="0.3">
      <c r="A29" s="19" t="s">
        <v>64</v>
      </c>
      <c r="B29" s="14"/>
      <c r="C29" s="17"/>
      <c r="D29" s="34"/>
    </row>
    <row r="30" spans="1:8" x14ac:dyDescent="0.3">
      <c r="A30" s="19" t="s">
        <v>44</v>
      </c>
      <c r="B30" s="14"/>
      <c r="C30" s="17"/>
      <c r="D30" s="34"/>
    </row>
    <row r="31" spans="1:8" x14ac:dyDescent="0.3">
      <c r="A31" s="19" t="s">
        <v>45</v>
      </c>
      <c r="B31" s="14"/>
      <c r="C31" s="17"/>
      <c r="D31" s="34"/>
    </row>
    <row r="32" spans="1:8" s="9" customFormat="1" x14ac:dyDescent="0.3">
      <c r="A32" s="19" t="s">
        <v>72</v>
      </c>
      <c r="B32" s="30">
        <f>37372+2891</f>
        <v>40263</v>
      </c>
      <c r="C32" s="30">
        <v>128668</v>
      </c>
      <c r="D32" s="25">
        <f t="shared" ref="D32:D43" si="1">IF(C32&lt;&gt;0,(C32-B32)/B32,0)</f>
        <v>2.1956883491046368</v>
      </c>
      <c r="G32" s="12"/>
    </row>
    <row r="33" spans="1:7" s="9" customFormat="1" x14ac:dyDescent="0.3">
      <c r="A33" s="19" t="s">
        <v>5</v>
      </c>
      <c r="B33" s="14">
        <v>2701</v>
      </c>
      <c r="C33" s="14">
        <v>2704</v>
      </c>
      <c r="D33" s="54">
        <f t="shared" si="1"/>
        <v>1.1106997408367272E-3</v>
      </c>
      <c r="G33" s="12"/>
    </row>
    <row r="34" spans="1:7" s="9" customFormat="1" x14ac:dyDescent="0.3">
      <c r="A34" s="19" t="s">
        <v>57</v>
      </c>
      <c r="B34" s="14">
        <v>6224</v>
      </c>
      <c r="C34" s="14">
        <v>8877</v>
      </c>
      <c r="D34" s="54">
        <f t="shared" si="1"/>
        <v>0.42625321336760924</v>
      </c>
      <c r="G34" s="12"/>
    </row>
    <row r="35" spans="1:7" s="9" customFormat="1" x14ac:dyDescent="0.3">
      <c r="A35" s="19" t="s">
        <v>56</v>
      </c>
      <c r="B35" s="14">
        <f>312+1679</f>
        <v>1991</v>
      </c>
      <c r="C35" s="14">
        <f>71+2603</f>
        <v>2674</v>
      </c>
      <c r="D35" s="54">
        <f t="shared" si="1"/>
        <v>0.34304369663485684</v>
      </c>
      <c r="G35" s="12"/>
    </row>
    <row r="36" spans="1:7" s="9" customFormat="1" x14ac:dyDescent="0.3">
      <c r="A36" s="35" t="s">
        <v>4</v>
      </c>
      <c r="B36" s="30">
        <f>SUM(B32:B35)</f>
        <v>51179</v>
      </c>
      <c r="C36" s="14">
        <f>SUM(C32:C35)</f>
        <v>142923</v>
      </c>
      <c r="D36" s="54">
        <f t="shared" si="1"/>
        <v>1.7926102502979737</v>
      </c>
      <c r="G36" s="12"/>
    </row>
    <row r="37" spans="1:7" x14ac:dyDescent="0.3">
      <c r="A37" s="19" t="s">
        <v>58</v>
      </c>
      <c r="B37" s="14">
        <v>-2954</v>
      </c>
      <c r="C37" s="14">
        <v>-3759</v>
      </c>
      <c r="D37" s="54">
        <f t="shared" si="1"/>
        <v>0.27251184834123221</v>
      </c>
    </row>
    <row r="38" spans="1:7" s="9" customFormat="1" x14ac:dyDescent="0.3">
      <c r="A38" s="35" t="s">
        <v>42</v>
      </c>
      <c r="B38" s="14">
        <f>SUM(B36:B37)</f>
        <v>48225</v>
      </c>
      <c r="C38" s="14">
        <f>SUM(C36:C37)</f>
        <v>139164</v>
      </c>
      <c r="D38" s="54">
        <f t="shared" si="1"/>
        <v>1.8857231726283048</v>
      </c>
      <c r="G38" s="12"/>
    </row>
    <row r="39" spans="1:7" x14ac:dyDescent="0.3">
      <c r="A39" s="19" t="s">
        <v>10</v>
      </c>
      <c r="B39" s="14">
        <v>9</v>
      </c>
      <c r="C39" s="14">
        <v>437</v>
      </c>
      <c r="D39" s="54">
        <f t="shared" si="1"/>
        <v>47.555555555555557</v>
      </c>
    </row>
    <row r="40" spans="1:7" s="9" customFormat="1" x14ac:dyDescent="0.3">
      <c r="A40" s="19" t="s">
        <v>13</v>
      </c>
      <c r="B40" s="14">
        <v>-567</v>
      </c>
      <c r="C40" s="14">
        <v>-597</v>
      </c>
      <c r="D40" s="54">
        <f t="shared" si="1"/>
        <v>5.2910052910052907E-2</v>
      </c>
      <c r="G40" s="12"/>
    </row>
    <row r="41" spans="1:7" s="9" customFormat="1" x14ac:dyDescent="0.3">
      <c r="A41" s="35" t="s">
        <v>43</v>
      </c>
      <c r="B41" s="30">
        <f>SUM(B38:B40)</f>
        <v>47667</v>
      </c>
      <c r="C41" s="14">
        <f>SUM(C38:C40)</f>
        <v>139004</v>
      </c>
      <c r="D41" s="54">
        <f t="shared" si="1"/>
        <v>1.9161474395283948</v>
      </c>
      <c r="G41" s="12"/>
    </row>
    <row r="42" spans="1:7" x14ac:dyDescent="0.3">
      <c r="A42" s="19" t="s">
        <v>15</v>
      </c>
      <c r="B42" s="14">
        <v>-108</v>
      </c>
      <c r="C42" s="14">
        <v>-96</v>
      </c>
      <c r="D42" s="54">
        <f t="shared" si="1"/>
        <v>-0.1111111111111111</v>
      </c>
    </row>
    <row r="43" spans="1:7" ht="15.75" thickBot="1" x14ac:dyDescent="0.35">
      <c r="A43" s="36" t="s">
        <v>17</v>
      </c>
      <c r="B43" s="37">
        <f>SUM(B41:B42)</f>
        <v>47559</v>
      </c>
      <c r="C43" s="37">
        <f>SUM(C41:C42)</f>
        <v>138908</v>
      </c>
      <c r="D43" s="28">
        <f t="shared" si="1"/>
        <v>1.9207510670956076</v>
      </c>
    </row>
    <row r="45" spans="1:7" x14ac:dyDescent="0.3">
      <c r="A45" s="19" t="s">
        <v>53</v>
      </c>
      <c r="B45" s="14"/>
      <c r="C45" s="17"/>
    </row>
  </sheetData>
  <phoneticPr fontId="0" type="noConversion"/>
  <pageMargins left="0.70866141732283472" right="0.43307086614173229" top="0.47244094488188981" bottom="0.39370078740157483" header="0.31496062992125984" footer="0.18"/>
  <pageSetup orientation="portrait" r:id="rId1"/>
  <headerFooter>
    <oddFooter>&amp;L&amp;A</oddFooter>
  </headerFooter>
  <customProperties>
    <customPr name="_pios_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58"/>
  <sheetViews>
    <sheetView topLeftCell="A28" zoomScale="87" zoomScaleNormal="87" workbookViewId="0">
      <selection activeCell="A6" sqref="A6:F55"/>
    </sheetView>
  </sheetViews>
  <sheetFormatPr baseColWidth="10" defaultColWidth="11.42578125" defaultRowHeight="15" x14ac:dyDescent="0.3"/>
  <cols>
    <col min="1" max="1" width="43.42578125" style="5" customWidth="1"/>
    <col min="2" max="3" width="11.7109375" style="2" bestFit="1" customWidth="1"/>
    <col min="4" max="4" width="13.28515625" style="3" bestFit="1" customWidth="1"/>
    <col min="5" max="5" width="11.42578125" style="3"/>
    <col min="6" max="6" width="9.28515625" style="4" bestFit="1" customWidth="1"/>
    <col min="7" max="7" width="3.42578125" style="4" customWidth="1"/>
    <col min="8" max="16384" width="11.42578125" style="5"/>
  </cols>
  <sheetData>
    <row r="1" spans="1:5" x14ac:dyDescent="0.3">
      <c r="A1" s="38" t="s">
        <v>40</v>
      </c>
      <c r="E1" s="21"/>
    </row>
    <row r="2" spans="1:5" x14ac:dyDescent="0.3">
      <c r="A2" s="38" t="s">
        <v>63</v>
      </c>
      <c r="E2" s="21"/>
    </row>
    <row r="3" spans="1:5" x14ac:dyDescent="0.3">
      <c r="A3" s="24" t="s">
        <v>44</v>
      </c>
      <c r="E3" s="21"/>
    </row>
    <row r="4" spans="1:5" x14ac:dyDescent="0.3">
      <c r="A4" s="24" t="s">
        <v>45</v>
      </c>
      <c r="E4" s="21"/>
    </row>
    <row r="5" spans="1:5" x14ac:dyDescent="0.3">
      <c r="E5" s="21"/>
    </row>
    <row r="6" spans="1:5" x14ac:dyDescent="0.3">
      <c r="A6" s="6" t="s">
        <v>20</v>
      </c>
      <c r="B6" s="6">
        <v>2007</v>
      </c>
      <c r="C6" s="6">
        <v>2008</v>
      </c>
      <c r="D6" s="7" t="s">
        <v>46</v>
      </c>
      <c r="E6" s="20"/>
    </row>
    <row r="7" spans="1:5" x14ac:dyDescent="0.3">
      <c r="A7" s="18" t="s">
        <v>21</v>
      </c>
      <c r="B7" s="14">
        <v>144117</v>
      </c>
      <c r="C7" s="14">
        <v>153862</v>
      </c>
      <c r="D7" s="17">
        <f>+(C7-B7)/B7</f>
        <v>6.761867094097157E-2</v>
      </c>
      <c r="E7" s="21"/>
    </row>
    <row r="8" spans="1:5" x14ac:dyDescent="0.3">
      <c r="A8" s="18" t="s">
        <v>22</v>
      </c>
      <c r="B8" s="14">
        <v>346162</v>
      </c>
      <c r="C8" s="14">
        <v>303270</v>
      </c>
      <c r="D8" s="17">
        <f t="shared" ref="D8:D16" si="0">+(C8-B8)/B8</f>
        <v>-0.12390730351685049</v>
      </c>
      <c r="E8" s="21"/>
    </row>
    <row r="9" spans="1:5" x14ac:dyDescent="0.3">
      <c r="A9" s="18" t="s">
        <v>23</v>
      </c>
      <c r="B9" s="14">
        <v>390751</v>
      </c>
      <c r="C9" s="14">
        <v>521798</v>
      </c>
      <c r="D9" s="17">
        <f t="shared" si="0"/>
        <v>0.33537214236175977</v>
      </c>
      <c r="E9" s="21"/>
    </row>
    <row r="10" spans="1:5" x14ac:dyDescent="0.3">
      <c r="A10" s="18" t="s">
        <v>36</v>
      </c>
      <c r="B10" s="14">
        <v>426868</v>
      </c>
      <c r="C10" s="14">
        <v>464860</v>
      </c>
      <c r="D10" s="17">
        <f t="shared" si="0"/>
        <v>8.9001752298134312E-2</v>
      </c>
      <c r="E10" s="21"/>
    </row>
    <row r="11" spans="1:5" x14ac:dyDescent="0.3">
      <c r="A11" s="18" t="s">
        <v>60</v>
      </c>
      <c r="B11" s="14">
        <v>591538</v>
      </c>
      <c r="C11" s="14">
        <v>684779</v>
      </c>
      <c r="D11" s="17">
        <f t="shared" si="0"/>
        <v>0.1576247003573735</v>
      </c>
      <c r="E11" s="21"/>
    </row>
    <row r="12" spans="1:5" x14ac:dyDescent="0.3">
      <c r="A12" s="18" t="s">
        <v>47</v>
      </c>
      <c r="B12" s="14">
        <v>560066</v>
      </c>
      <c r="C12" s="14">
        <v>510911</v>
      </c>
      <c r="D12" s="17">
        <f t="shared" si="0"/>
        <v>-8.776644181221499E-2</v>
      </c>
      <c r="E12" s="21"/>
    </row>
    <row r="13" spans="1:5" x14ac:dyDescent="0.3">
      <c r="A13" s="18" t="s">
        <v>24</v>
      </c>
      <c r="B13" s="14">
        <v>45191</v>
      </c>
      <c r="C13" s="14">
        <v>73369</v>
      </c>
      <c r="D13" s="17">
        <f t="shared" si="0"/>
        <v>0.62353123409528444</v>
      </c>
      <c r="E13" s="21"/>
    </row>
    <row r="14" spans="1:5" x14ac:dyDescent="0.3">
      <c r="A14" s="18" t="s">
        <v>25</v>
      </c>
      <c r="B14" s="14">
        <v>11023</v>
      </c>
      <c r="C14" s="14">
        <v>12432</v>
      </c>
      <c r="D14" s="17">
        <f t="shared" si="0"/>
        <v>0.12782364147691191</v>
      </c>
      <c r="E14" s="21"/>
    </row>
    <row r="15" spans="1:5" x14ac:dyDescent="0.3">
      <c r="A15" s="18" t="s">
        <v>26</v>
      </c>
      <c r="B15" s="14">
        <v>2467655</v>
      </c>
      <c r="C15" s="14">
        <v>2204864</v>
      </c>
      <c r="D15" s="17">
        <f t="shared" si="0"/>
        <v>-0.10649422224743735</v>
      </c>
      <c r="E15" s="21"/>
    </row>
    <row r="16" spans="1:5" ht="15.75" thickBot="1" x14ac:dyDescent="0.35">
      <c r="A16" s="26" t="s">
        <v>27</v>
      </c>
      <c r="B16" s="27">
        <f>SUM(B7:B15)</f>
        <v>4983371</v>
      </c>
      <c r="C16" s="27">
        <f>SUM(C7:C15)</f>
        <v>4930145</v>
      </c>
      <c r="D16" s="45">
        <f t="shared" si="0"/>
        <v>-1.068072194504483E-2</v>
      </c>
      <c r="E16" s="22"/>
    </row>
    <row r="17" spans="1:5" x14ac:dyDescent="0.3">
      <c r="A17" s="1"/>
      <c r="E17" s="21"/>
    </row>
    <row r="18" spans="1:5" x14ac:dyDescent="0.3">
      <c r="A18" s="6" t="s">
        <v>48</v>
      </c>
      <c r="B18" s="6">
        <v>2007</v>
      </c>
      <c r="C18" s="6">
        <v>2008</v>
      </c>
      <c r="D18" s="7" t="s">
        <v>46</v>
      </c>
      <c r="E18" s="20"/>
    </row>
    <row r="19" spans="1:5" x14ac:dyDescent="0.3">
      <c r="A19" s="18" t="s">
        <v>28</v>
      </c>
      <c r="B19" s="14">
        <v>713125</v>
      </c>
      <c r="C19" s="14">
        <v>686806</v>
      </c>
      <c r="D19" s="17">
        <f t="shared" ref="D19:D30" si="1">+(C19-B19)/B19</f>
        <v>-3.6906573181419808E-2</v>
      </c>
      <c r="E19" s="21"/>
    </row>
    <row r="20" spans="1:5" x14ac:dyDescent="0.3">
      <c r="A20" s="18" t="s">
        <v>49</v>
      </c>
      <c r="B20" s="14">
        <v>131752</v>
      </c>
      <c r="C20" s="14">
        <v>146733</v>
      </c>
      <c r="D20" s="17">
        <f t="shared" si="1"/>
        <v>0.11370605379804481</v>
      </c>
      <c r="E20" s="21"/>
    </row>
    <row r="21" spans="1:5" x14ac:dyDescent="0.3">
      <c r="A21" s="18" t="s">
        <v>38</v>
      </c>
      <c r="B21" s="14">
        <v>156446</v>
      </c>
      <c r="C21" s="14">
        <v>186290</v>
      </c>
      <c r="D21" s="17">
        <f t="shared" si="1"/>
        <v>0.19076230776114442</v>
      </c>
      <c r="E21" s="21"/>
    </row>
    <row r="22" spans="1:5" x14ac:dyDescent="0.3">
      <c r="A22" s="18" t="s">
        <v>30</v>
      </c>
      <c r="B22" s="14">
        <v>39925</v>
      </c>
      <c r="C22" s="14">
        <v>53902</v>
      </c>
      <c r="D22" s="17">
        <f t="shared" si="1"/>
        <v>0.35008140262993109</v>
      </c>
      <c r="E22" s="21"/>
    </row>
    <row r="23" spans="1:5" x14ac:dyDescent="0.3">
      <c r="A23" s="18" t="s">
        <v>31</v>
      </c>
      <c r="B23" s="14">
        <v>29862</v>
      </c>
      <c r="C23" s="14">
        <v>36264</v>
      </c>
      <c r="D23" s="17">
        <f t="shared" si="1"/>
        <v>0.21438617641149288</v>
      </c>
      <c r="E23" s="21"/>
    </row>
    <row r="24" spans="1:5" x14ac:dyDescent="0.3">
      <c r="A24" s="18" t="s">
        <v>32</v>
      </c>
      <c r="B24" s="14">
        <v>119727</v>
      </c>
      <c r="C24" s="14">
        <v>159959</v>
      </c>
      <c r="D24" s="17">
        <f t="shared" si="1"/>
        <v>0.33603113750448937</v>
      </c>
      <c r="E24" s="21"/>
    </row>
    <row r="25" spans="1:5" x14ac:dyDescent="0.3">
      <c r="A25" s="18" t="s">
        <v>24</v>
      </c>
      <c r="B25" s="14">
        <v>10961</v>
      </c>
      <c r="C25" s="14">
        <v>57796</v>
      </c>
      <c r="D25" s="17">
        <f t="shared" si="1"/>
        <v>4.2728765623574487</v>
      </c>
      <c r="E25" s="21"/>
    </row>
    <row r="26" spans="1:5" x14ac:dyDescent="0.3">
      <c r="A26" s="18" t="s">
        <v>0</v>
      </c>
      <c r="B26" s="14">
        <v>2018</v>
      </c>
      <c r="C26" s="14">
        <v>1833</v>
      </c>
      <c r="D26" s="17">
        <f t="shared" si="1"/>
        <v>-9.1674925668979182E-2</v>
      </c>
      <c r="E26" s="21"/>
    </row>
    <row r="27" spans="1:5" x14ac:dyDescent="0.3">
      <c r="A27" s="18" t="s">
        <v>33</v>
      </c>
      <c r="B27" s="14">
        <f>SUM(B19:B26)</f>
        <v>1203816</v>
      </c>
      <c r="C27" s="14">
        <f>SUM(C19:C26)</f>
        <v>1329583</v>
      </c>
      <c r="D27" s="17">
        <f t="shared" si="1"/>
        <v>0.10447360726223941</v>
      </c>
      <c r="E27" s="21"/>
    </row>
    <row r="28" spans="1:5" x14ac:dyDescent="0.3">
      <c r="A28" s="18" t="s">
        <v>39</v>
      </c>
      <c r="B28" s="14">
        <v>2848</v>
      </c>
      <c r="C28" s="14">
        <v>2937</v>
      </c>
      <c r="D28" s="17">
        <f t="shared" si="1"/>
        <v>3.125E-2</v>
      </c>
      <c r="E28" s="21"/>
    </row>
    <row r="29" spans="1:5" x14ac:dyDescent="0.3">
      <c r="A29" s="31" t="s">
        <v>34</v>
      </c>
      <c r="B29" s="32">
        <v>3776707</v>
      </c>
      <c r="C29" s="32">
        <v>3597625</v>
      </c>
      <c r="D29" s="47">
        <f t="shared" si="1"/>
        <v>-4.7417498895201561E-2</v>
      </c>
      <c r="E29" s="22"/>
    </row>
    <row r="30" spans="1:5" ht="15.75" thickBot="1" x14ac:dyDescent="0.35">
      <c r="A30" s="26" t="s">
        <v>35</v>
      </c>
      <c r="B30" s="27">
        <f>+B27+B28+B29</f>
        <v>4983371</v>
      </c>
      <c r="C30" s="27">
        <f>+C27+C28+C29</f>
        <v>4930145</v>
      </c>
      <c r="D30" s="45">
        <f t="shared" si="1"/>
        <v>-1.068072194504483E-2</v>
      </c>
      <c r="E30" s="22"/>
    </row>
    <row r="31" spans="1:5" x14ac:dyDescent="0.3">
      <c r="A31" s="19"/>
      <c r="B31" s="14"/>
      <c r="C31" s="14"/>
      <c r="D31" s="17"/>
      <c r="E31" s="21"/>
    </row>
    <row r="32" spans="1:5" x14ac:dyDescent="0.3">
      <c r="A32" s="41" t="s">
        <v>3</v>
      </c>
      <c r="B32" s="14"/>
      <c r="C32" s="14"/>
      <c r="D32" s="17"/>
      <c r="E32" s="21"/>
    </row>
    <row r="33" spans="1:7" x14ac:dyDescent="0.3">
      <c r="A33" s="41" t="s">
        <v>64</v>
      </c>
      <c r="B33" s="14"/>
      <c r="C33" s="14"/>
      <c r="D33" s="17"/>
      <c r="E33" s="21"/>
    </row>
    <row r="34" spans="1:7" x14ac:dyDescent="0.3">
      <c r="A34" s="41" t="s">
        <v>44</v>
      </c>
      <c r="B34" s="14"/>
      <c r="C34" s="14"/>
      <c r="D34" s="17"/>
    </row>
    <row r="35" spans="1:7" x14ac:dyDescent="0.3">
      <c r="A35" s="41" t="s">
        <v>45</v>
      </c>
      <c r="B35" s="14"/>
      <c r="C35" s="14"/>
      <c r="D35" s="17"/>
    </row>
    <row r="36" spans="1:7" x14ac:dyDescent="0.3">
      <c r="A36" s="6"/>
      <c r="B36" s="6">
        <v>2007</v>
      </c>
      <c r="C36" s="6" t="s">
        <v>55</v>
      </c>
      <c r="D36" s="6">
        <v>2008</v>
      </c>
      <c r="E36" s="7" t="s">
        <v>55</v>
      </c>
      <c r="F36" s="7" t="s">
        <v>46</v>
      </c>
    </row>
    <row r="37" spans="1:7" s="9" customFormat="1" x14ac:dyDescent="0.3">
      <c r="A37" s="30" t="s">
        <v>4</v>
      </c>
      <c r="B37" s="30">
        <v>1582226</v>
      </c>
      <c r="C37" s="42">
        <v>1</v>
      </c>
      <c r="D37" s="50">
        <v>1801423</v>
      </c>
      <c r="E37" s="42">
        <v>1</v>
      </c>
      <c r="F37" s="42">
        <f>+(D37-B37)/B37</f>
        <v>0.13853709899849959</v>
      </c>
      <c r="G37" s="8"/>
    </row>
    <row r="38" spans="1:7" x14ac:dyDescent="0.3">
      <c r="A38" s="14" t="s">
        <v>50</v>
      </c>
      <c r="B38" s="14">
        <v>-947458</v>
      </c>
      <c r="C38" s="17">
        <f t="shared" ref="C38:C55" si="2">+B38/$B$37</f>
        <v>-0.5988133174401129</v>
      </c>
      <c r="D38" s="51">
        <v>-1055915</v>
      </c>
      <c r="E38" s="17">
        <f>+D38/$D$37</f>
        <v>-0.58615605551833194</v>
      </c>
      <c r="F38" s="17">
        <f t="shared" ref="F38:F55" si="3">+(D38-B38)/B38</f>
        <v>0.11447156496646817</v>
      </c>
    </row>
    <row r="39" spans="1:7" s="9" customFormat="1" x14ac:dyDescent="0.3">
      <c r="A39" s="30" t="s">
        <v>6</v>
      </c>
      <c r="B39" s="30">
        <f>SUM(B37:B38)</f>
        <v>634768</v>
      </c>
      <c r="C39" s="42">
        <f t="shared" si="2"/>
        <v>0.40118668255988715</v>
      </c>
      <c r="D39" s="30">
        <f>SUM(D37:D38)</f>
        <v>745508</v>
      </c>
      <c r="E39" s="42">
        <f t="shared" ref="E39:E55" si="4">+D39/$D$37</f>
        <v>0.41384394448166811</v>
      </c>
      <c r="F39" s="42">
        <f t="shared" si="3"/>
        <v>0.17445743956847226</v>
      </c>
      <c r="G39" s="8"/>
    </row>
    <row r="40" spans="1:7" x14ac:dyDescent="0.3">
      <c r="A40" s="14" t="s">
        <v>7</v>
      </c>
      <c r="B40" s="14">
        <v>-75735</v>
      </c>
      <c r="C40" s="17">
        <f t="shared" si="2"/>
        <v>-4.7866107623057638E-2</v>
      </c>
      <c r="D40" s="14">
        <v>-83321</v>
      </c>
      <c r="E40" s="17">
        <f t="shared" si="4"/>
        <v>-4.6252878974011098E-2</v>
      </c>
      <c r="F40" s="17">
        <f t="shared" si="3"/>
        <v>0.10016504918465703</v>
      </c>
    </row>
    <row r="41" spans="1:7" x14ac:dyDescent="0.3">
      <c r="A41" s="14" t="s">
        <v>8</v>
      </c>
      <c r="B41" s="14">
        <v>-386109</v>
      </c>
      <c r="C41" s="17">
        <f t="shared" si="2"/>
        <v>-0.24402898195327344</v>
      </c>
      <c r="D41" s="14">
        <v>-449058</v>
      </c>
      <c r="E41" s="17">
        <f t="shared" si="4"/>
        <v>-0.24927959729613755</v>
      </c>
      <c r="F41" s="17">
        <f t="shared" si="3"/>
        <v>0.16303427270537593</v>
      </c>
    </row>
    <row r="42" spans="1:7" s="9" customFormat="1" x14ac:dyDescent="0.3">
      <c r="A42" s="30" t="s">
        <v>9</v>
      </c>
      <c r="B42" s="30">
        <f>SUM(B40:B41)</f>
        <v>-461844</v>
      </c>
      <c r="C42" s="42">
        <f t="shared" si="2"/>
        <v>-0.29189508957633109</v>
      </c>
      <c r="D42" s="30">
        <f>SUM(D40:D41)</f>
        <v>-532379</v>
      </c>
      <c r="E42" s="42">
        <f t="shared" si="4"/>
        <v>-0.29553247627014867</v>
      </c>
      <c r="F42" s="42">
        <f t="shared" si="3"/>
        <v>0.15272472956236305</v>
      </c>
      <c r="G42" s="8"/>
    </row>
    <row r="43" spans="1:7" s="9" customFormat="1" x14ac:dyDescent="0.3">
      <c r="A43" s="30" t="s">
        <v>1</v>
      </c>
      <c r="B43" s="30">
        <f>+B39+B42</f>
        <v>172924</v>
      </c>
      <c r="C43" s="42">
        <f t="shared" si="2"/>
        <v>0.10929159298355608</v>
      </c>
      <c r="D43" s="30">
        <f>+D39+D42</f>
        <v>213129</v>
      </c>
      <c r="E43" s="42">
        <f t="shared" si="4"/>
        <v>0.11831146821151944</v>
      </c>
      <c r="F43" s="42">
        <f t="shared" si="3"/>
        <v>0.23250098309083758</v>
      </c>
      <c r="G43" s="8"/>
    </row>
    <row r="44" spans="1:7" x14ac:dyDescent="0.3">
      <c r="A44" s="14" t="s">
        <v>51</v>
      </c>
      <c r="B44" s="14">
        <v>5502</v>
      </c>
      <c r="C44" s="17">
        <f t="shared" si="2"/>
        <v>3.4773793377178733E-3</v>
      </c>
      <c r="D44" s="14">
        <v>6606</v>
      </c>
      <c r="E44" s="17">
        <f t="shared" si="4"/>
        <v>3.6671009529688475E-3</v>
      </c>
      <c r="F44" s="17">
        <f t="shared" si="3"/>
        <v>0.20065430752453653</v>
      </c>
    </row>
    <row r="45" spans="1:7" x14ac:dyDescent="0.3">
      <c r="A45" s="14" t="s">
        <v>11</v>
      </c>
      <c r="B45" s="14">
        <v>-39447</v>
      </c>
      <c r="C45" s="17">
        <f t="shared" si="2"/>
        <v>-2.4931330922384035E-2</v>
      </c>
      <c r="D45" s="14">
        <v>-38878</v>
      </c>
      <c r="E45" s="17">
        <f t="shared" si="4"/>
        <v>-2.1581827255453049E-2</v>
      </c>
      <c r="F45" s="17">
        <f t="shared" si="3"/>
        <v>-1.4424417572945979E-2</v>
      </c>
    </row>
    <row r="46" spans="1:7" x14ac:dyDescent="0.3">
      <c r="A46" s="14" t="s">
        <v>12</v>
      </c>
      <c r="B46" s="14">
        <v>-63440</v>
      </c>
      <c r="C46" s="17">
        <f t="shared" si="2"/>
        <v>-4.0095409884555053E-2</v>
      </c>
      <c r="D46" s="14">
        <v>1565</v>
      </c>
      <c r="E46" s="17">
        <f t="shared" si="4"/>
        <v>8.687576432631314E-4</v>
      </c>
      <c r="F46" s="17">
        <f t="shared" si="3"/>
        <v>-1.0246689785624212</v>
      </c>
    </row>
    <row r="47" spans="1:7" x14ac:dyDescent="0.3">
      <c r="A47" s="14" t="s">
        <v>52</v>
      </c>
      <c r="B47" s="14">
        <v>-12805</v>
      </c>
      <c r="C47" s="17">
        <f t="shared" si="2"/>
        <v>-8.0930284295669518E-3</v>
      </c>
      <c r="D47" s="14">
        <v>-94130</v>
      </c>
      <c r="E47" s="17">
        <f t="shared" si="4"/>
        <v>-5.225313543792879E-2</v>
      </c>
      <c r="F47" s="17">
        <f t="shared" si="3"/>
        <v>6.3510347520499808</v>
      </c>
    </row>
    <row r="48" spans="1:7" x14ac:dyDescent="0.3">
      <c r="A48" s="14" t="s">
        <v>14</v>
      </c>
      <c r="B48" s="14">
        <v>13054</v>
      </c>
      <c r="C48" s="17">
        <f t="shared" si="2"/>
        <v>8.2504016493219045E-3</v>
      </c>
      <c r="D48" s="14">
        <v>15276</v>
      </c>
      <c r="E48" s="17">
        <f t="shared" si="4"/>
        <v>8.4799627849760986E-3</v>
      </c>
      <c r="F48" s="17">
        <f t="shared" si="3"/>
        <v>0.17021602573923703</v>
      </c>
    </row>
    <row r="49" spans="1:7" x14ac:dyDescent="0.3">
      <c r="A49" s="14" t="s">
        <v>16</v>
      </c>
      <c r="B49" s="14">
        <v>6542</v>
      </c>
      <c r="C49" s="17">
        <f t="shared" si="2"/>
        <v>4.134681139104022E-3</v>
      </c>
      <c r="D49" s="14">
        <v>80487</v>
      </c>
      <c r="E49" s="17">
        <f t="shared" si="4"/>
        <v>4.4679678232153137E-2</v>
      </c>
      <c r="F49" s="17">
        <f t="shared" si="3"/>
        <v>11.303118312442678</v>
      </c>
    </row>
    <row r="50" spans="1:7" s="9" customFormat="1" x14ac:dyDescent="0.3">
      <c r="A50" s="30" t="s">
        <v>2</v>
      </c>
      <c r="B50" s="30">
        <f>SUM(B44:B49)</f>
        <v>-90594</v>
      </c>
      <c r="C50" s="42">
        <f t="shared" si="2"/>
        <v>-5.7257307110362234E-2</v>
      </c>
      <c r="D50" s="30">
        <f>SUM(D44:D49)</f>
        <v>-29074</v>
      </c>
      <c r="E50" s="42">
        <f t="shared" si="4"/>
        <v>-1.6139463080020629E-2</v>
      </c>
      <c r="F50" s="42">
        <f t="shared" si="3"/>
        <v>-0.67907366933792523</v>
      </c>
      <c r="G50" s="8"/>
    </row>
    <row r="51" spans="1:7" s="9" customFormat="1" x14ac:dyDescent="0.3">
      <c r="A51" s="30" t="s">
        <v>41</v>
      </c>
      <c r="B51" s="30">
        <f>+B43+B50</f>
        <v>82330</v>
      </c>
      <c r="C51" s="42">
        <f t="shared" si="2"/>
        <v>5.2034285873193843E-2</v>
      </c>
      <c r="D51" s="30">
        <f>+D43+D50</f>
        <v>184055</v>
      </c>
      <c r="E51" s="42">
        <f t="shared" si="4"/>
        <v>0.10217200513149882</v>
      </c>
      <c r="F51" s="42">
        <f t="shared" si="3"/>
        <v>1.2355763391230414</v>
      </c>
      <c r="G51" s="8"/>
    </row>
    <row r="52" spans="1:7" x14ac:dyDescent="0.3">
      <c r="A52" s="14" t="s">
        <v>15</v>
      </c>
      <c r="B52" s="14">
        <v>-32455</v>
      </c>
      <c r="C52" s="17">
        <f t="shared" si="2"/>
        <v>-2.0512240349987929E-2</v>
      </c>
      <c r="D52" s="14">
        <v>-61357</v>
      </c>
      <c r="E52" s="17">
        <f t="shared" si="4"/>
        <v>-3.4060295666259399E-2</v>
      </c>
      <c r="F52" s="17">
        <f t="shared" si="3"/>
        <v>0.89052534278231399</v>
      </c>
    </row>
    <row r="53" spans="1:7" x14ac:dyDescent="0.3">
      <c r="A53" s="14" t="s">
        <v>18</v>
      </c>
      <c r="B53" s="14">
        <v>-257</v>
      </c>
      <c r="C53" s="17">
        <f t="shared" si="2"/>
        <v>-1.6242938745792321E-4</v>
      </c>
      <c r="D53" s="14">
        <v>-111</v>
      </c>
      <c r="E53" s="17">
        <f t="shared" si="4"/>
        <v>-6.1617954250611881E-5</v>
      </c>
      <c r="F53" s="17">
        <f t="shared" si="3"/>
        <v>-0.56809338521400776</v>
      </c>
    </row>
    <row r="54" spans="1:7" s="9" customFormat="1" x14ac:dyDescent="0.3">
      <c r="A54" s="43" t="s">
        <v>17</v>
      </c>
      <c r="B54" s="43">
        <f>+B51+B52+B53</f>
        <v>49618</v>
      </c>
      <c r="C54" s="44">
        <f t="shared" si="2"/>
        <v>3.1359616135747989E-2</v>
      </c>
      <c r="D54" s="43">
        <f>+D51+D52+D53</f>
        <v>122587</v>
      </c>
      <c r="E54" s="44">
        <f t="shared" si="4"/>
        <v>6.8050091510988814E-2</v>
      </c>
      <c r="F54" s="44">
        <f t="shared" si="3"/>
        <v>1.4706155024386312</v>
      </c>
      <c r="G54" s="8"/>
    </row>
    <row r="55" spans="1:7" s="9" customFormat="1" ht="15.75" thickBot="1" x14ac:dyDescent="0.35">
      <c r="A55" s="27" t="s">
        <v>19</v>
      </c>
      <c r="B55" s="27">
        <v>220025</v>
      </c>
      <c r="C55" s="45">
        <f t="shared" si="2"/>
        <v>0.13906041235575703</v>
      </c>
      <c r="D55" s="27">
        <v>260911</v>
      </c>
      <c r="E55" s="45">
        <f t="shared" si="4"/>
        <v>0.1448360546079405</v>
      </c>
      <c r="F55" s="45">
        <f t="shared" si="3"/>
        <v>0.1858243381433928</v>
      </c>
      <c r="G55" s="8"/>
    </row>
    <row r="56" spans="1:7" x14ac:dyDescent="0.3">
      <c r="A56" s="2"/>
      <c r="C56" s="3"/>
      <c r="D56" s="10"/>
    </row>
    <row r="57" spans="1:7" x14ac:dyDescent="0.3">
      <c r="A57" s="19" t="s">
        <v>53</v>
      </c>
      <c r="B57" s="14"/>
      <c r="C57" s="14"/>
      <c r="D57" s="17"/>
    </row>
    <row r="58" spans="1:7" x14ac:dyDescent="0.3">
      <c r="D58" s="10"/>
    </row>
  </sheetData>
  <phoneticPr fontId="0" type="noConversion"/>
  <pageMargins left="0.70866141732283472" right="0.43307086614173229" top="0.43307086614173229" bottom="0.51181102362204722" header="0.31496062992125984" footer="0.31496062992125984"/>
  <pageSetup scale="87" orientation="portrait" r:id="rId1"/>
  <headerFooter>
    <oddFooter>&amp;C&amp;A</oddFooter>
  </headerFooter>
  <customProperties>
    <customPr name="_pios_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45"/>
  <sheetViews>
    <sheetView topLeftCell="A19" zoomScale="86" zoomScaleNormal="86" workbookViewId="0">
      <selection activeCell="F26" sqref="F26"/>
    </sheetView>
  </sheetViews>
  <sheetFormatPr baseColWidth="10" defaultColWidth="11.42578125" defaultRowHeight="15" x14ac:dyDescent="0.3"/>
  <cols>
    <col min="1" max="1" width="43.7109375" style="5" customWidth="1"/>
    <col min="2" max="3" width="11.7109375" style="2" bestFit="1" customWidth="1"/>
    <col min="4" max="4" width="13.28515625" style="3" bestFit="1" customWidth="1"/>
    <col min="5" max="5" width="10.5703125" style="4" customWidth="1"/>
    <col min="6" max="16384" width="11.42578125" style="5"/>
  </cols>
  <sheetData>
    <row r="1" spans="1:4" x14ac:dyDescent="0.3">
      <c r="A1" s="24" t="s">
        <v>69</v>
      </c>
    </row>
    <row r="2" spans="1:4" x14ac:dyDescent="0.3">
      <c r="A2" s="24" t="s">
        <v>61</v>
      </c>
    </row>
    <row r="3" spans="1:4" x14ac:dyDescent="0.3">
      <c r="A3" s="24" t="s">
        <v>44</v>
      </c>
    </row>
    <row r="4" spans="1:4" x14ac:dyDescent="0.3">
      <c r="A4" s="24" t="s">
        <v>45</v>
      </c>
    </row>
    <row r="5" spans="1:4" ht="12" customHeight="1" x14ac:dyDescent="0.3"/>
    <row r="6" spans="1:4" x14ac:dyDescent="0.3">
      <c r="A6" s="6" t="s">
        <v>20</v>
      </c>
      <c r="B6" s="6">
        <v>2007</v>
      </c>
      <c r="C6" s="6">
        <v>2008</v>
      </c>
      <c r="D6" s="6" t="s">
        <v>46</v>
      </c>
    </row>
    <row r="7" spans="1:4" x14ac:dyDescent="0.3">
      <c r="A7" s="18" t="s">
        <v>21</v>
      </c>
      <c r="B7" s="14">
        <v>3823</v>
      </c>
      <c r="C7" s="14">
        <v>1510</v>
      </c>
      <c r="D7" s="17">
        <f>IF(B7&lt;&gt;0,(C7-B7)/B7,0)</f>
        <v>-0.60502223384776355</v>
      </c>
    </row>
    <row r="8" spans="1:4" x14ac:dyDescent="0.3">
      <c r="A8" s="18" t="s">
        <v>22</v>
      </c>
      <c r="B8" s="14">
        <v>2725536</v>
      </c>
      <c r="C8" s="14">
        <v>2916380</v>
      </c>
      <c r="D8" s="17">
        <f>IF(B8&lt;&gt;0,(C8-B8)/B8,0)</f>
        <v>7.0020722529440083E-2</v>
      </c>
    </row>
    <row r="9" spans="1:4" x14ac:dyDescent="0.3">
      <c r="A9" s="18" t="s">
        <v>23</v>
      </c>
      <c r="B9" s="14">
        <v>12573</v>
      </c>
      <c r="C9" s="14">
        <v>27949.618029000001</v>
      </c>
      <c r="D9" s="17">
        <f>IF(B9&lt;&gt;0,(C9-B9)/B9,0)</f>
        <v>1.2229871970890003</v>
      </c>
    </row>
    <row r="10" spans="1:4" x14ac:dyDescent="0.3">
      <c r="A10" s="18" t="s">
        <v>37</v>
      </c>
      <c r="B10" s="14"/>
      <c r="C10" s="14">
        <v>49.019278</v>
      </c>
      <c r="D10" s="52" t="str">
        <f>IF(B10&lt;&gt;0,(C10-B10)/B10,"N.A.")</f>
        <v>N.A.</v>
      </c>
    </row>
    <row r="11" spans="1:4" x14ac:dyDescent="0.3">
      <c r="A11" s="18" t="s">
        <v>59</v>
      </c>
      <c r="B11" s="14">
        <f>276+138+155</f>
        <v>569</v>
      </c>
      <c r="C11" s="14">
        <f>54+155</f>
        <v>209</v>
      </c>
      <c r="D11" s="17">
        <f>IF(B11&lt;&gt;0,(C11-B11)/B11,0)</f>
        <v>-0.63268892794376097</v>
      </c>
    </row>
    <row r="12" spans="1:4" x14ac:dyDescent="0.3">
      <c r="A12" s="18" t="s">
        <v>26</v>
      </c>
      <c r="B12" s="14">
        <v>1219700</v>
      </c>
      <c r="C12" s="14">
        <v>997550.44343600003</v>
      </c>
      <c r="D12" s="17">
        <f>IF(B12&lt;&gt;0,(C12-B12)/B12,0)</f>
        <v>-0.18213458765598095</v>
      </c>
    </row>
    <row r="13" spans="1:4" ht="15.75" thickBot="1" x14ac:dyDescent="0.35">
      <c r="A13" s="26" t="s">
        <v>27</v>
      </c>
      <c r="B13" s="27">
        <f>SUM(B7:B12)</f>
        <v>3962201</v>
      </c>
      <c r="C13" s="27">
        <f>SUM(C7:C12)</f>
        <v>3943648.0807429999</v>
      </c>
      <c r="D13" s="46">
        <f>IF(B13&lt;&gt;0,(C13-B13)/B13,0)</f>
        <v>-4.6824780613098855E-3</v>
      </c>
    </row>
    <row r="15" spans="1:4" x14ac:dyDescent="0.3">
      <c r="A15" s="6" t="s">
        <v>48</v>
      </c>
      <c r="B15" s="6">
        <v>2007</v>
      </c>
      <c r="C15" s="6">
        <v>2008</v>
      </c>
      <c r="D15" s="6" t="s">
        <v>46</v>
      </c>
    </row>
    <row r="16" spans="1:4" x14ac:dyDescent="0.3">
      <c r="A16" s="18" t="s">
        <v>28</v>
      </c>
      <c r="B16" s="14">
        <v>7000</v>
      </c>
      <c r="C16" s="14">
        <v>7142.725461</v>
      </c>
      <c r="D16" s="17">
        <f t="shared" ref="D16:D24" si="0">IF(B16&lt;&gt;0,(C16-B16)/B16,0)</f>
        <v>2.0389351571428571E-2</v>
      </c>
    </row>
    <row r="17" spans="1:5" x14ac:dyDescent="0.3">
      <c r="A17" s="18" t="s">
        <v>29</v>
      </c>
      <c r="B17" s="14">
        <v>87943</v>
      </c>
      <c r="C17" s="14">
        <v>104450.431241</v>
      </c>
      <c r="D17" s="17">
        <f t="shared" si="0"/>
        <v>0.18770602823419713</v>
      </c>
    </row>
    <row r="18" spans="1:5" x14ac:dyDescent="0.3">
      <c r="A18" s="18" t="s">
        <v>30</v>
      </c>
      <c r="B18" s="14">
        <v>174</v>
      </c>
      <c r="C18" s="14">
        <v>295.03023300000001</v>
      </c>
      <c r="D18" s="17">
        <f t="shared" si="0"/>
        <v>0.69557605172413794</v>
      </c>
    </row>
    <row r="19" spans="1:5" x14ac:dyDescent="0.3">
      <c r="A19" s="18" t="s">
        <v>31</v>
      </c>
      <c r="B19" s="14">
        <v>176</v>
      </c>
      <c r="C19" s="14">
        <v>93.912424000000001</v>
      </c>
      <c r="D19" s="17">
        <f t="shared" si="0"/>
        <v>-0.46640668181818179</v>
      </c>
    </row>
    <row r="20" spans="1:5" x14ac:dyDescent="0.3">
      <c r="A20" s="18" t="s">
        <v>32</v>
      </c>
      <c r="B20" s="14">
        <v>947</v>
      </c>
      <c r="C20" s="14">
        <v>1316.4207690000001</v>
      </c>
      <c r="D20" s="17">
        <f t="shared" si="0"/>
        <v>0.3900958489968322</v>
      </c>
    </row>
    <row r="21" spans="1:5" x14ac:dyDescent="0.3">
      <c r="A21" s="18" t="s">
        <v>24</v>
      </c>
      <c r="B21" s="14">
        <v>5414</v>
      </c>
      <c r="C21" s="14">
        <v>5868.0603709999996</v>
      </c>
      <c r="D21" s="17">
        <f t="shared" si="0"/>
        <v>8.3867818803102984E-2</v>
      </c>
    </row>
    <row r="22" spans="1:5" s="9" customFormat="1" x14ac:dyDescent="0.3">
      <c r="A22" s="29" t="s">
        <v>33</v>
      </c>
      <c r="B22" s="30">
        <f>SUM(B16:B21)</f>
        <v>101654</v>
      </c>
      <c r="C22" s="30">
        <f>SUM(C16:C21)</f>
        <v>119166.58049899999</v>
      </c>
      <c r="D22" s="42">
        <f t="shared" si="0"/>
        <v>0.17227635409329675</v>
      </c>
      <c r="E22" s="8"/>
    </row>
    <row r="23" spans="1:5" s="9" customFormat="1" x14ac:dyDescent="0.3">
      <c r="A23" s="31" t="s">
        <v>34</v>
      </c>
      <c r="B23" s="32">
        <v>3860547</v>
      </c>
      <c r="C23" s="32">
        <v>3824481.102343</v>
      </c>
      <c r="D23" s="47">
        <f t="shared" si="0"/>
        <v>-9.3421729244586305E-3</v>
      </c>
      <c r="E23" s="8"/>
    </row>
    <row r="24" spans="1:5" s="9" customFormat="1" ht="15.75" thickBot="1" x14ac:dyDescent="0.35">
      <c r="A24" s="26" t="s">
        <v>35</v>
      </c>
      <c r="B24" s="27">
        <f>+B22+B23</f>
        <v>3962201</v>
      </c>
      <c r="C24" s="27">
        <f>+C22+C23</f>
        <v>3943647.6828419999</v>
      </c>
      <c r="D24" s="45">
        <f t="shared" si="0"/>
        <v>-4.6825784855437872E-3</v>
      </c>
      <c r="E24" s="8"/>
    </row>
    <row r="25" spans="1:5" x14ac:dyDescent="0.3">
      <c r="A25" s="18" t="s">
        <v>54</v>
      </c>
      <c r="B25" s="14">
        <v>435123458</v>
      </c>
      <c r="C25" s="14">
        <v>435123458</v>
      </c>
      <c r="D25" s="17"/>
    </row>
    <row r="26" spans="1:5" x14ac:dyDescent="0.3">
      <c r="A26" s="19" t="s">
        <v>71</v>
      </c>
      <c r="B26" s="33">
        <f>+B23/+(B25/1000000)</f>
        <v>8872.3026281888015</v>
      </c>
      <c r="C26" s="33">
        <f>+C23/+(C25/1000000)</f>
        <v>8789.4160427981333</v>
      </c>
      <c r="D26" s="17"/>
    </row>
    <row r="28" spans="1:5" x14ac:dyDescent="0.3">
      <c r="A28" s="6" t="s">
        <v>70</v>
      </c>
      <c r="B28" s="6">
        <v>2007</v>
      </c>
      <c r="C28" s="6">
        <v>2008</v>
      </c>
      <c r="D28" s="6" t="s">
        <v>46</v>
      </c>
    </row>
    <row r="29" spans="1:5" x14ac:dyDescent="0.3">
      <c r="A29" s="19" t="s">
        <v>62</v>
      </c>
      <c r="B29" s="14"/>
      <c r="C29" s="17"/>
      <c r="D29" s="34"/>
    </row>
    <row r="30" spans="1:5" x14ac:dyDescent="0.3">
      <c r="A30" s="19" t="s">
        <v>44</v>
      </c>
      <c r="B30" s="14"/>
      <c r="C30" s="17"/>
      <c r="D30" s="34"/>
    </row>
    <row r="31" spans="1:5" x14ac:dyDescent="0.3">
      <c r="A31" s="19" t="s">
        <v>45</v>
      </c>
      <c r="B31" s="14"/>
      <c r="C31" s="17"/>
      <c r="D31" s="34"/>
    </row>
    <row r="32" spans="1:5" s="9" customFormat="1" x14ac:dyDescent="0.3">
      <c r="A32" s="19" t="s">
        <v>72</v>
      </c>
      <c r="B32" s="30">
        <f>111798+2891</f>
        <v>114689</v>
      </c>
      <c r="C32" s="30">
        <f>109588+77783</f>
        <v>187371</v>
      </c>
      <c r="D32" s="25">
        <f>IF(C32&lt;&gt;0,(C32-B32)/B32,0)</f>
        <v>0.63373122095405832</v>
      </c>
    </row>
    <row r="33" spans="1:4" s="9" customFormat="1" x14ac:dyDescent="0.3">
      <c r="A33" s="19" t="s">
        <v>5</v>
      </c>
      <c r="B33" s="14">
        <v>2701</v>
      </c>
      <c r="C33" s="14">
        <v>2573</v>
      </c>
      <c r="D33" s="54">
        <f t="shared" ref="D33:D43" si="1">IF(C33&lt;&gt;0,(C33-B33)/B33,0)</f>
        <v>-4.7389855609033693E-2</v>
      </c>
    </row>
    <row r="34" spans="1:4" s="9" customFormat="1" x14ac:dyDescent="0.3">
      <c r="A34" s="19" t="s">
        <v>57</v>
      </c>
      <c r="B34" s="14">
        <v>8944</v>
      </c>
      <c r="C34" s="14">
        <v>11812</v>
      </c>
      <c r="D34" s="54">
        <f t="shared" si="1"/>
        <v>0.32066189624329161</v>
      </c>
    </row>
    <row r="35" spans="1:4" s="9" customFormat="1" x14ac:dyDescent="0.3">
      <c r="A35" s="19" t="s">
        <v>56</v>
      </c>
      <c r="B35" s="14">
        <f>410+2731</f>
        <v>3141</v>
      </c>
      <c r="C35" s="14">
        <f>108+3903</f>
        <v>4011</v>
      </c>
      <c r="D35" s="54">
        <f t="shared" si="1"/>
        <v>0.27698185291308502</v>
      </c>
    </row>
    <row r="36" spans="1:4" s="9" customFormat="1" x14ac:dyDescent="0.3">
      <c r="A36" s="35" t="s">
        <v>4</v>
      </c>
      <c r="B36" s="30">
        <f>SUM(B32:B35)</f>
        <v>129475</v>
      </c>
      <c r="C36" s="30">
        <f>SUM(C32:C35)</f>
        <v>205767</v>
      </c>
      <c r="D36" s="25">
        <f t="shared" si="1"/>
        <v>0.58924116624831047</v>
      </c>
    </row>
    <row r="37" spans="1:4" x14ac:dyDescent="0.3">
      <c r="A37" s="19" t="s">
        <v>58</v>
      </c>
      <c r="B37" s="14">
        <v>-4655</v>
      </c>
      <c r="C37" s="14">
        <v>-6038</v>
      </c>
      <c r="D37" s="54">
        <f t="shared" si="1"/>
        <v>0.29709989258861441</v>
      </c>
    </row>
    <row r="38" spans="1:4" s="9" customFormat="1" x14ac:dyDescent="0.3">
      <c r="A38" s="35" t="s">
        <v>42</v>
      </c>
      <c r="B38" s="14">
        <f>SUM(B36:B37)</f>
        <v>124820</v>
      </c>
      <c r="C38" s="30">
        <f>SUM(C36:C37)</f>
        <v>199729</v>
      </c>
      <c r="D38" s="25">
        <f t="shared" si="1"/>
        <v>0.60013619612241631</v>
      </c>
    </row>
    <row r="39" spans="1:4" x14ac:dyDescent="0.3">
      <c r="A39" s="19" t="s">
        <v>10</v>
      </c>
      <c r="B39" s="14">
        <v>102</v>
      </c>
      <c r="C39" s="14">
        <v>704</v>
      </c>
      <c r="D39" s="54">
        <f t="shared" si="1"/>
        <v>5.9019607843137258</v>
      </c>
    </row>
    <row r="40" spans="1:4" s="9" customFormat="1" x14ac:dyDescent="0.3">
      <c r="A40" s="19" t="s">
        <v>13</v>
      </c>
      <c r="B40" s="14">
        <v>-923</v>
      </c>
      <c r="C40" s="14">
        <v>-614</v>
      </c>
      <c r="D40" s="54">
        <f t="shared" si="1"/>
        <v>-0.33477789815817982</v>
      </c>
    </row>
    <row r="41" spans="1:4" s="9" customFormat="1" x14ac:dyDescent="0.3">
      <c r="A41" s="35" t="s">
        <v>43</v>
      </c>
      <c r="B41" s="30">
        <f>SUM(B38:B40)</f>
        <v>123999</v>
      </c>
      <c r="C41" s="30">
        <f>SUM(C38:C40)</f>
        <v>199819</v>
      </c>
      <c r="D41" s="25">
        <f t="shared" si="1"/>
        <v>0.61145654400438709</v>
      </c>
    </row>
    <row r="42" spans="1:4" x14ac:dyDescent="0.3">
      <c r="A42" s="19" t="s">
        <v>15</v>
      </c>
      <c r="B42" s="14">
        <v>-162</v>
      </c>
      <c r="C42" s="14">
        <v>-142</v>
      </c>
      <c r="D42" s="54">
        <f t="shared" si="1"/>
        <v>-0.12345679012345678</v>
      </c>
    </row>
    <row r="43" spans="1:4" ht="15.75" thickBot="1" x14ac:dyDescent="0.35">
      <c r="A43" s="36" t="s">
        <v>17</v>
      </c>
      <c r="B43" s="37">
        <f>SUM(B41:B42)</f>
        <v>123837</v>
      </c>
      <c r="C43" s="37">
        <f>SUM(C41:C42)</f>
        <v>199677</v>
      </c>
      <c r="D43" s="28">
        <f t="shared" si="1"/>
        <v>0.61241793648101939</v>
      </c>
    </row>
    <row r="45" spans="1:4" x14ac:dyDescent="0.3">
      <c r="A45" s="19" t="s">
        <v>53</v>
      </c>
      <c r="B45" s="14"/>
      <c r="C45" s="17"/>
    </row>
  </sheetData>
  <phoneticPr fontId="0" type="noConversion"/>
  <pageMargins left="0.70866141732283472" right="0.43307086614173229" top="0.47244094488188981" bottom="0.39370078740157483" header="0.31496062992125984" footer="0.18"/>
  <pageSetup orientation="portrait" r:id="rId1"/>
  <headerFooter>
    <oddFooter>&amp;L&amp;A</oddFooter>
  </headerFooter>
  <customProperties>
    <customPr name="_pios_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8"/>
  <sheetViews>
    <sheetView topLeftCell="A28" zoomScale="86" zoomScaleNormal="86" workbookViewId="0">
      <selection sqref="A1:F57"/>
    </sheetView>
  </sheetViews>
  <sheetFormatPr baseColWidth="10" defaultColWidth="11.42578125" defaultRowHeight="15" x14ac:dyDescent="0.3"/>
  <cols>
    <col min="1" max="1" width="43.42578125" style="5" customWidth="1"/>
    <col min="2" max="3" width="11.7109375" style="2" bestFit="1" customWidth="1"/>
    <col min="4" max="4" width="13.28515625" style="3" bestFit="1" customWidth="1"/>
    <col min="5" max="5" width="11.42578125" style="3"/>
    <col min="6" max="6" width="9.28515625" style="4" bestFit="1" customWidth="1"/>
    <col min="7" max="7" width="17.28515625" style="5" bestFit="1" customWidth="1"/>
    <col min="8" max="16384" width="11.42578125" style="5"/>
  </cols>
  <sheetData>
    <row r="1" spans="1:8" x14ac:dyDescent="0.3">
      <c r="A1" s="38" t="s">
        <v>40</v>
      </c>
      <c r="E1" s="21"/>
    </row>
    <row r="2" spans="1:8" x14ac:dyDescent="0.3">
      <c r="A2" s="38" t="s">
        <v>61</v>
      </c>
      <c r="E2" s="21"/>
    </row>
    <row r="3" spans="1:8" x14ac:dyDescent="0.3">
      <c r="A3" s="24" t="s">
        <v>44</v>
      </c>
      <c r="D3" s="17"/>
      <c r="E3" s="21"/>
    </row>
    <row r="4" spans="1:8" x14ac:dyDescent="0.3">
      <c r="A4" s="24" t="s">
        <v>45</v>
      </c>
      <c r="E4" s="21"/>
      <c r="G4" s="19"/>
      <c r="H4" s="19"/>
    </row>
    <row r="5" spans="1:8" x14ac:dyDescent="0.3">
      <c r="E5" s="21"/>
      <c r="G5" s="19"/>
      <c r="H5" s="19"/>
    </row>
    <row r="6" spans="1:8" x14ac:dyDescent="0.3">
      <c r="A6" s="6" t="s">
        <v>20</v>
      </c>
      <c r="B6" s="6">
        <v>2007</v>
      </c>
      <c r="C6" s="6">
        <v>2008</v>
      </c>
      <c r="D6" s="6" t="s">
        <v>46</v>
      </c>
      <c r="E6" s="20"/>
      <c r="G6" s="19"/>
      <c r="H6" s="19"/>
    </row>
    <row r="7" spans="1:8" x14ac:dyDescent="0.3">
      <c r="A7" s="18" t="s">
        <v>21</v>
      </c>
      <c r="B7" s="14">
        <v>130538</v>
      </c>
      <c r="C7" s="14">
        <v>214086</v>
      </c>
      <c r="D7" s="17">
        <f t="shared" ref="D7:D16" si="0">+(C7-B7)/B7</f>
        <v>0.64002819102483566</v>
      </c>
      <c r="E7" s="21"/>
      <c r="G7" s="19"/>
      <c r="H7" s="19"/>
    </row>
    <row r="8" spans="1:8" x14ac:dyDescent="0.3">
      <c r="A8" s="18" t="s">
        <v>22</v>
      </c>
      <c r="B8" s="14">
        <v>333803</v>
      </c>
      <c r="C8" s="14">
        <v>320988</v>
      </c>
      <c r="D8" s="17">
        <f t="shared" si="0"/>
        <v>-3.8390907211738663E-2</v>
      </c>
      <c r="E8" s="21"/>
      <c r="G8" s="19"/>
      <c r="H8" s="19"/>
    </row>
    <row r="9" spans="1:8" x14ac:dyDescent="0.3">
      <c r="A9" s="18" t="s">
        <v>23</v>
      </c>
      <c r="B9" s="14">
        <v>431472</v>
      </c>
      <c r="C9" s="14">
        <v>612909</v>
      </c>
      <c r="D9" s="17">
        <f t="shared" si="0"/>
        <v>0.42050700856602513</v>
      </c>
      <c r="E9" s="21"/>
      <c r="G9" s="19"/>
      <c r="H9" s="19"/>
    </row>
    <row r="10" spans="1:8" x14ac:dyDescent="0.3">
      <c r="A10" s="18" t="s">
        <v>36</v>
      </c>
      <c r="B10" s="14">
        <v>440200</v>
      </c>
      <c r="C10" s="14">
        <v>512928</v>
      </c>
      <c r="D10" s="17">
        <f t="shared" si="0"/>
        <v>0.16521581099500227</v>
      </c>
      <c r="E10" s="21"/>
      <c r="G10" s="19"/>
      <c r="H10" s="19"/>
    </row>
    <row r="11" spans="1:8" x14ac:dyDescent="0.3">
      <c r="A11" s="18" t="s">
        <v>60</v>
      </c>
      <c r="B11" s="14">
        <v>630109</v>
      </c>
      <c r="C11" s="14">
        <v>719980</v>
      </c>
      <c r="D11" s="17">
        <f t="shared" si="0"/>
        <v>0.1426277040956406</v>
      </c>
      <c r="E11" s="21"/>
      <c r="G11" s="19"/>
      <c r="H11" s="19"/>
    </row>
    <row r="12" spans="1:8" x14ac:dyDescent="0.3">
      <c r="A12" s="18" t="s">
        <v>47</v>
      </c>
      <c r="B12" s="14">
        <v>568376</v>
      </c>
      <c r="C12" s="14">
        <v>519323</v>
      </c>
      <c r="D12" s="17">
        <f t="shared" si="0"/>
        <v>-8.6303784818500429E-2</v>
      </c>
      <c r="E12" s="21"/>
      <c r="G12" s="19"/>
      <c r="H12" s="19"/>
    </row>
    <row r="13" spans="1:8" x14ac:dyDescent="0.3">
      <c r="A13" s="18" t="s">
        <v>24</v>
      </c>
      <c r="B13" s="14">
        <v>47440</v>
      </c>
      <c r="C13" s="14">
        <v>71593</v>
      </c>
      <c r="D13" s="17">
        <f t="shared" si="0"/>
        <v>0.50912731871838113</v>
      </c>
      <c r="E13" s="21"/>
      <c r="G13" s="19"/>
      <c r="H13" s="19"/>
    </row>
    <row r="14" spans="1:8" x14ac:dyDescent="0.3">
      <c r="A14" s="18" t="s">
        <v>25</v>
      </c>
      <c r="B14" s="14">
        <v>12269</v>
      </c>
      <c r="C14" s="14">
        <v>12506</v>
      </c>
      <c r="D14" s="17">
        <f t="shared" si="0"/>
        <v>1.9316977748797783E-2</v>
      </c>
      <c r="E14" s="21"/>
      <c r="G14" s="19"/>
      <c r="H14" s="19"/>
    </row>
    <row r="15" spans="1:8" x14ac:dyDescent="0.3">
      <c r="A15" s="18" t="s">
        <v>26</v>
      </c>
      <c r="B15" s="14">
        <v>2466765</v>
      </c>
      <c r="C15" s="14">
        <v>2360009</v>
      </c>
      <c r="D15" s="17">
        <f t="shared" si="0"/>
        <v>-4.3277734198433983E-2</v>
      </c>
      <c r="E15" s="21"/>
      <c r="G15" s="19"/>
      <c r="H15" s="19"/>
    </row>
    <row r="16" spans="1:8" ht="15.75" thickBot="1" x14ac:dyDescent="0.35">
      <c r="A16" s="26" t="s">
        <v>27</v>
      </c>
      <c r="B16" s="27">
        <f>SUM(B7:B15)</f>
        <v>5060972</v>
      </c>
      <c r="C16" s="27">
        <f>SUM(C7:C15)</f>
        <v>5344322</v>
      </c>
      <c r="D16" s="45">
        <f t="shared" si="0"/>
        <v>5.5987268848750792E-2</v>
      </c>
      <c r="E16" s="22"/>
      <c r="G16" s="19"/>
      <c r="H16" s="19"/>
    </row>
    <row r="17" spans="1:8" x14ac:dyDescent="0.3">
      <c r="A17" s="1"/>
      <c r="E17" s="21"/>
      <c r="G17" s="19"/>
      <c r="H17" s="19"/>
    </row>
    <row r="18" spans="1:8" x14ac:dyDescent="0.3">
      <c r="A18" s="6" t="s">
        <v>48</v>
      </c>
      <c r="B18" s="6">
        <v>2007</v>
      </c>
      <c r="C18" s="6">
        <v>2008</v>
      </c>
      <c r="D18" s="6" t="s">
        <v>46</v>
      </c>
      <c r="E18" s="20"/>
      <c r="G18" s="19"/>
      <c r="H18" s="19"/>
    </row>
    <row r="19" spans="1:8" x14ac:dyDescent="0.3">
      <c r="A19" s="18" t="s">
        <v>28</v>
      </c>
      <c r="B19" s="14">
        <v>703403</v>
      </c>
      <c r="C19" s="14">
        <v>796807</v>
      </c>
      <c r="D19" s="17">
        <f t="shared" ref="D19:D30" si="1">+(C19-B19)/B19</f>
        <v>0.13278874272643137</v>
      </c>
      <c r="E19" s="21"/>
      <c r="G19" s="19"/>
      <c r="H19" s="19"/>
    </row>
    <row r="20" spans="1:8" x14ac:dyDescent="0.3">
      <c r="A20" s="18" t="s">
        <v>49</v>
      </c>
      <c r="B20" s="14">
        <v>141667</v>
      </c>
      <c r="C20" s="14">
        <v>186788</v>
      </c>
      <c r="D20" s="17">
        <f t="shared" si="1"/>
        <v>0.31850042705781867</v>
      </c>
      <c r="E20" s="21"/>
    </row>
    <row r="21" spans="1:8" x14ac:dyDescent="0.3">
      <c r="A21" s="18" t="s">
        <v>38</v>
      </c>
      <c r="B21" s="14">
        <v>148629</v>
      </c>
      <c r="C21" s="14">
        <v>127818</v>
      </c>
      <c r="D21" s="17">
        <f t="shared" si="1"/>
        <v>-0.14001978079647984</v>
      </c>
      <c r="E21" s="21"/>
    </row>
    <row r="22" spans="1:8" x14ac:dyDescent="0.3">
      <c r="A22" s="18" t="s">
        <v>30</v>
      </c>
      <c r="B22" s="14">
        <v>27130</v>
      </c>
      <c r="C22" s="14">
        <v>38488</v>
      </c>
      <c r="D22" s="17">
        <f t="shared" si="1"/>
        <v>0.41865093991890895</v>
      </c>
      <c r="E22" s="21"/>
    </row>
    <row r="23" spans="1:8" x14ac:dyDescent="0.3">
      <c r="A23" s="18" t="s">
        <v>31</v>
      </c>
      <c r="B23" s="14">
        <v>31757</v>
      </c>
      <c r="C23" s="14">
        <v>40209</v>
      </c>
      <c r="D23" s="17">
        <f t="shared" si="1"/>
        <v>0.26614604654092011</v>
      </c>
      <c r="E23" s="21"/>
    </row>
    <row r="24" spans="1:8" x14ac:dyDescent="0.3">
      <c r="A24" s="18" t="s">
        <v>32</v>
      </c>
      <c r="B24" s="14">
        <v>159844</v>
      </c>
      <c r="C24" s="14">
        <v>226589</v>
      </c>
      <c r="D24" s="17">
        <f t="shared" si="1"/>
        <v>0.41756337428993268</v>
      </c>
      <c r="E24" s="21"/>
    </row>
    <row r="25" spans="1:8" x14ac:dyDescent="0.3">
      <c r="A25" s="18" t="s">
        <v>24</v>
      </c>
      <c r="B25" s="14">
        <v>10895</v>
      </c>
      <c r="C25" s="14">
        <v>45256</v>
      </c>
      <c r="D25" s="17">
        <f t="shared" si="1"/>
        <v>3.1538320330426801</v>
      </c>
      <c r="E25" s="21"/>
    </row>
    <row r="26" spans="1:8" x14ac:dyDescent="0.3">
      <c r="A26" s="18" t="s">
        <v>0</v>
      </c>
      <c r="B26" s="14">
        <v>461</v>
      </c>
      <c r="C26" s="14">
        <v>3964</v>
      </c>
      <c r="D26" s="17">
        <f t="shared" si="1"/>
        <v>7.5986984815618221</v>
      </c>
      <c r="E26" s="21"/>
    </row>
    <row r="27" spans="1:8" x14ac:dyDescent="0.3">
      <c r="A27" s="18" t="s">
        <v>33</v>
      </c>
      <c r="B27" s="14">
        <f>SUM(B19:B26)</f>
        <v>1223786</v>
      </c>
      <c r="C27" s="14">
        <f>SUM(C19:C26)</f>
        <v>1465919</v>
      </c>
      <c r="D27" s="17">
        <f t="shared" si="1"/>
        <v>0.19785567084441233</v>
      </c>
      <c r="E27" s="21"/>
    </row>
    <row r="28" spans="1:8" x14ac:dyDescent="0.3">
      <c r="A28" s="18" t="s">
        <v>39</v>
      </c>
      <c r="B28" s="14">
        <v>2891</v>
      </c>
      <c r="C28" s="14">
        <v>2365</v>
      </c>
      <c r="D28" s="17">
        <f t="shared" si="1"/>
        <v>-0.18194396402628848</v>
      </c>
      <c r="E28" s="21"/>
    </row>
    <row r="29" spans="1:8" ht="15.75" thickBot="1" x14ac:dyDescent="0.35">
      <c r="A29" s="26" t="s">
        <v>34</v>
      </c>
      <c r="B29" s="27">
        <v>3834295</v>
      </c>
      <c r="C29" s="27">
        <v>3876038</v>
      </c>
      <c r="D29" s="45">
        <f t="shared" si="1"/>
        <v>1.0886747107356111E-2</v>
      </c>
      <c r="E29" s="22"/>
    </row>
    <row r="30" spans="1:8" ht="15.75" thickBot="1" x14ac:dyDescent="0.35">
      <c r="A30" s="26" t="s">
        <v>35</v>
      </c>
      <c r="B30" s="27">
        <f>+B27+B28+B29</f>
        <v>5060972</v>
      </c>
      <c r="C30" s="27">
        <f>+C27+C28+C29</f>
        <v>5344322</v>
      </c>
      <c r="D30" s="45">
        <f t="shared" si="1"/>
        <v>5.5987268848750792E-2</v>
      </c>
      <c r="E30" s="22"/>
    </row>
    <row r="31" spans="1:8" x14ac:dyDescent="0.3">
      <c r="A31" s="19"/>
      <c r="B31" s="14"/>
      <c r="C31" s="14"/>
      <c r="D31" s="17"/>
    </row>
    <row r="32" spans="1:8" x14ac:dyDescent="0.3">
      <c r="A32" s="41" t="s">
        <v>3</v>
      </c>
      <c r="B32" s="14"/>
      <c r="C32" s="14"/>
      <c r="D32" s="17"/>
    </row>
    <row r="33" spans="1:6" x14ac:dyDescent="0.3">
      <c r="A33" s="41" t="s">
        <v>62</v>
      </c>
      <c r="B33" s="14"/>
      <c r="C33" s="14"/>
      <c r="D33" s="17"/>
    </row>
    <row r="34" spans="1:6" x14ac:dyDescent="0.3">
      <c r="A34" s="41" t="s">
        <v>44</v>
      </c>
      <c r="B34" s="14"/>
      <c r="C34" s="14"/>
      <c r="D34" s="17"/>
    </row>
    <row r="35" spans="1:6" x14ac:dyDescent="0.3">
      <c r="A35" s="41" t="s">
        <v>45</v>
      </c>
      <c r="B35" s="14"/>
      <c r="C35" s="14"/>
      <c r="D35" s="17"/>
    </row>
    <row r="36" spans="1:6" x14ac:dyDescent="0.3">
      <c r="A36" s="6"/>
      <c r="B36" s="6">
        <v>2007</v>
      </c>
      <c r="C36" s="6" t="s">
        <v>55</v>
      </c>
      <c r="D36" s="6">
        <v>2008</v>
      </c>
      <c r="E36" s="6" t="s">
        <v>55</v>
      </c>
      <c r="F36" s="6" t="s">
        <v>46</v>
      </c>
    </row>
    <row r="37" spans="1:6" s="9" customFormat="1" x14ac:dyDescent="0.3">
      <c r="A37" s="30" t="s">
        <v>4</v>
      </c>
      <c r="B37" s="30">
        <v>2462153</v>
      </c>
      <c r="C37" s="42">
        <f t="shared" ref="C37:C46" si="2">+B37/$B$37</f>
        <v>1</v>
      </c>
      <c r="D37" s="50">
        <v>2831071</v>
      </c>
      <c r="E37" s="42">
        <f>+D37/$D$37</f>
        <v>1</v>
      </c>
      <c r="F37" s="42">
        <f t="shared" ref="F37:F55" si="3">+(D37-B37)/B37</f>
        <v>0.14983553012343262</v>
      </c>
    </row>
    <row r="38" spans="1:6" x14ac:dyDescent="0.3">
      <c r="A38" s="14" t="s">
        <v>50</v>
      </c>
      <c r="B38" s="14">
        <v>-1458664</v>
      </c>
      <c r="C38" s="17">
        <f t="shared" si="2"/>
        <v>-0.59243434506304038</v>
      </c>
      <c r="D38" s="51">
        <v>-1665171</v>
      </c>
      <c r="E38" s="17">
        <f>+D38/$D$37</f>
        <v>-0.58817705384287433</v>
      </c>
      <c r="F38" s="17">
        <f t="shared" si="3"/>
        <v>0.14157269940164424</v>
      </c>
    </row>
    <row r="39" spans="1:6" s="9" customFormat="1" x14ac:dyDescent="0.3">
      <c r="A39" s="30" t="s">
        <v>6</v>
      </c>
      <c r="B39" s="30">
        <f>SUM(B37:B38)</f>
        <v>1003489</v>
      </c>
      <c r="C39" s="42">
        <f t="shared" si="2"/>
        <v>0.40756565493695962</v>
      </c>
      <c r="D39" s="30">
        <f>SUM(D37:D38)</f>
        <v>1165900</v>
      </c>
      <c r="E39" s="42">
        <f t="shared" ref="E39:E55" si="4">+D39/$D$37</f>
        <v>0.41182294615712567</v>
      </c>
      <c r="F39" s="42">
        <f t="shared" si="3"/>
        <v>0.1618463181958148</v>
      </c>
    </row>
    <row r="40" spans="1:6" x14ac:dyDescent="0.3">
      <c r="A40" s="14" t="s">
        <v>7</v>
      </c>
      <c r="B40" s="14">
        <v>-117207</v>
      </c>
      <c r="C40" s="17">
        <f t="shared" si="2"/>
        <v>-4.7603459248876899E-2</v>
      </c>
      <c r="D40" s="14">
        <v>-131989</v>
      </c>
      <c r="E40" s="17">
        <f t="shared" si="4"/>
        <v>-4.6621578900705778E-2</v>
      </c>
      <c r="F40" s="17">
        <f t="shared" si="3"/>
        <v>0.12611874717380361</v>
      </c>
    </row>
    <row r="41" spans="1:6" x14ac:dyDescent="0.3">
      <c r="A41" s="14" t="s">
        <v>8</v>
      </c>
      <c r="B41" s="14">
        <v>-597743</v>
      </c>
      <c r="C41" s="17">
        <f t="shared" si="2"/>
        <v>-0.2427724840820209</v>
      </c>
      <c r="D41" s="14">
        <v>-691355</v>
      </c>
      <c r="E41" s="17">
        <f t="shared" si="4"/>
        <v>-0.24420263568098433</v>
      </c>
      <c r="F41" s="17">
        <f t="shared" si="3"/>
        <v>0.1566091112735741</v>
      </c>
    </row>
    <row r="42" spans="1:6" s="9" customFormat="1" x14ac:dyDescent="0.3">
      <c r="A42" s="30" t="s">
        <v>9</v>
      </c>
      <c r="B42" s="30">
        <f>SUM(B40:B41)</f>
        <v>-714950</v>
      </c>
      <c r="C42" s="42">
        <f t="shared" si="2"/>
        <v>-0.29037594333089778</v>
      </c>
      <c r="D42" s="30">
        <f>SUM(D40:D41)</f>
        <v>-823344</v>
      </c>
      <c r="E42" s="42">
        <f t="shared" si="4"/>
        <v>-0.29082421458169011</v>
      </c>
      <c r="F42" s="42">
        <f t="shared" si="3"/>
        <v>0.15161060214000979</v>
      </c>
    </row>
    <row r="43" spans="1:6" s="9" customFormat="1" x14ac:dyDescent="0.3">
      <c r="A43" s="30" t="s">
        <v>1</v>
      </c>
      <c r="B43" s="30">
        <f>+B39+B42</f>
        <v>288539</v>
      </c>
      <c r="C43" s="42">
        <f t="shared" si="2"/>
        <v>0.11718971160606186</v>
      </c>
      <c r="D43" s="30">
        <f>+D39+D42</f>
        <v>342556</v>
      </c>
      <c r="E43" s="42">
        <f t="shared" si="4"/>
        <v>0.12099873157543559</v>
      </c>
      <c r="F43" s="42">
        <f t="shared" si="3"/>
        <v>0.18720866156741375</v>
      </c>
    </row>
    <row r="44" spans="1:6" x14ac:dyDescent="0.3">
      <c r="A44" s="14" t="s">
        <v>51</v>
      </c>
      <c r="B44" s="14">
        <v>7971</v>
      </c>
      <c r="C44" s="17">
        <f t="shared" si="2"/>
        <v>3.2374105102323048E-3</v>
      </c>
      <c r="D44" s="14">
        <v>8246</v>
      </c>
      <c r="E44" s="17">
        <f t="shared" si="4"/>
        <v>2.9126786293950241E-3</v>
      </c>
      <c r="F44" s="17">
        <f t="shared" si="3"/>
        <v>3.4500062727386774E-2</v>
      </c>
    </row>
    <row r="45" spans="1:6" x14ac:dyDescent="0.3">
      <c r="A45" s="14" t="s">
        <v>11</v>
      </c>
      <c r="B45" s="14">
        <v>-61081</v>
      </c>
      <c r="C45" s="17">
        <f t="shared" si="2"/>
        <v>-2.480796278704045E-2</v>
      </c>
      <c r="D45" s="14">
        <v>-58740</v>
      </c>
      <c r="E45" s="17">
        <f t="shared" si="4"/>
        <v>-2.0748331638450607E-2</v>
      </c>
      <c r="F45" s="17">
        <f t="shared" si="3"/>
        <v>-3.8326157070120007E-2</v>
      </c>
    </row>
    <row r="46" spans="1:6" x14ac:dyDescent="0.3">
      <c r="A46" s="14" t="s">
        <v>12</v>
      </c>
      <c r="B46" s="14">
        <v>-61954</v>
      </c>
      <c r="C46" s="17">
        <f t="shared" si="2"/>
        <v>-2.5162530516990616E-2</v>
      </c>
      <c r="D46" s="14">
        <v>-16111</v>
      </c>
      <c r="E46" s="17">
        <f t="shared" si="4"/>
        <v>-5.6907792139441219E-3</v>
      </c>
      <c r="F46" s="17">
        <f t="shared" si="3"/>
        <v>-0.73995222261678018</v>
      </c>
    </row>
    <row r="47" spans="1:6" x14ac:dyDescent="0.3">
      <c r="A47" s="14" t="s">
        <v>52</v>
      </c>
      <c r="B47" s="14">
        <v>-23025</v>
      </c>
      <c r="C47" s="17">
        <f t="shared" ref="C47:C55" si="5">+B47/$B$37</f>
        <v>-9.3515715717098005E-3</v>
      </c>
      <c r="D47" s="14">
        <v>-115324</v>
      </c>
      <c r="E47" s="17">
        <f t="shared" si="4"/>
        <v>-4.0735114025752091E-2</v>
      </c>
      <c r="F47" s="17">
        <f t="shared" si="3"/>
        <v>4.0086427795874053</v>
      </c>
    </row>
    <row r="48" spans="1:6" x14ac:dyDescent="0.3">
      <c r="A48" s="14" t="s">
        <v>14</v>
      </c>
      <c r="B48" s="14">
        <v>20010</v>
      </c>
      <c r="C48" s="17">
        <f t="shared" si="5"/>
        <v>8.1270335352839566E-3</v>
      </c>
      <c r="D48" s="14">
        <v>21671</v>
      </c>
      <c r="E48" s="17">
        <f t="shared" si="4"/>
        <v>7.6547002883361106E-3</v>
      </c>
      <c r="F48" s="17">
        <f t="shared" si="3"/>
        <v>8.3008495752123934E-2</v>
      </c>
    </row>
    <row r="49" spans="1:6" x14ac:dyDescent="0.3">
      <c r="A49" s="14" t="s">
        <v>16</v>
      </c>
      <c r="B49" s="14">
        <v>6542</v>
      </c>
      <c r="C49" s="17">
        <f t="shared" si="5"/>
        <v>2.6570241573127258E-3</v>
      </c>
      <c r="D49" s="14">
        <v>80356</v>
      </c>
      <c r="E49" s="17">
        <f t="shared" si="4"/>
        <v>2.8383604649971691E-2</v>
      </c>
      <c r="F49" s="17">
        <f t="shared" si="3"/>
        <v>11.283093855090186</v>
      </c>
    </row>
    <row r="50" spans="1:6" s="9" customFormat="1" x14ac:dyDescent="0.3">
      <c r="A50" s="30" t="s">
        <v>2</v>
      </c>
      <c r="B50" s="30">
        <f>SUM(B44:B49)</f>
        <v>-111537</v>
      </c>
      <c r="C50" s="42">
        <f t="shared" si="5"/>
        <v>-4.5300596672911878E-2</v>
      </c>
      <c r="D50" s="30">
        <f>SUM(D44:D49)</f>
        <v>-79902</v>
      </c>
      <c r="E50" s="42">
        <f t="shared" si="4"/>
        <v>-2.8223241310443997E-2</v>
      </c>
      <c r="F50" s="42">
        <f t="shared" si="3"/>
        <v>-0.28362785443395466</v>
      </c>
    </row>
    <row r="51" spans="1:6" s="9" customFormat="1" x14ac:dyDescent="0.3">
      <c r="A51" s="30" t="s">
        <v>41</v>
      </c>
      <c r="B51" s="30">
        <f>+B43+B50</f>
        <v>177002</v>
      </c>
      <c r="C51" s="42">
        <f t="shared" si="5"/>
        <v>7.1889114933149964E-2</v>
      </c>
      <c r="D51" s="30">
        <f>+D43+D50</f>
        <v>262654</v>
      </c>
      <c r="E51" s="42">
        <f t="shared" si="4"/>
        <v>9.2775490264991586E-2</v>
      </c>
      <c r="F51" s="42">
        <f t="shared" si="3"/>
        <v>0.48390413667642174</v>
      </c>
    </row>
    <row r="52" spans="1:6" x14ac:dyDescent="0.3">
      <c r="A52" s="14" t="s">
        <v>15</v>
      </c>
      <c r="B52" s="14">
        <v>-53359</v>
      </c>
      <c r="C52" s="17">
        <f t="shared" si="5"/>
        <v>-2.1671683278821421E-2</v>
      </c>
      <c r="D52" s="14">
        <v>-82750</v>
      </c>
      <c r="E52" s="17">
        <f t="shared" si="4"/>
        <v>-2.9229221026247663E-2</v>
      </c>
      <c r="F52" s="17">
        <f t="shared" si="3"/>
        <v>0.55081616971832303</v>
      </c>
    </row>
    <row r="53" spans="1:6" x14ac:dyDescent="0.3">
      <c r="A53" s="14" t="s">
        <v>18</v>
      </c>
      <c r="B53" s="14">
        <v>-299</v>
      </c>
      <c r="C53" s="17">
        <f t="shared" si="5"/>
        <v>-1.2143843213642694E-4</v>
      </c>
      <c r="D53" s="14">
        <v>451</v>
      </c>
      <c r="E53" s="17">
        <f t="shared" si="4"/>
        <v>1.59303669883235E-4</v>
      </c>
      <c r="F53" s="17">
        <f t="shared" si="3"/>
        <v>-2.508361204013378</v>
      </c>
    </row>
    <row r="54" spans="1:6" s="9" customFormat="1" x14ac:dyDescent="0.3">
      <c r="A54" s="43" t="s">
        <v>17</v>
      </c>
      <c r="B54" s="43">
        <f>+B51+B52+B53</f>
        <v>123344</v>
      </c>
      <c r="C54" s="44">
        <f t="shared" si="5"/>
        <v>5.0095993222192124E-2</v>
      </c>
      <c r="D54" s="43">
        <f>+D51+D52+D53</f>
        <v>180355</v>
      </c>
      <c r="E54" s="44">
        <f t="shared" si="4"/>
        <v>6.3705572908627162E-2</v>
      </c>
      <c r="F54" s="44">
        <f t="shared" si="3"/>
        <v>0.46221137631339992</v>
      </c>
    </row>
    <row r="55" spans="1:6" s="9" customFormat="1" ht="15.75" thickBot="1" x14ac:dyDescent="0.35">
      <c r="A55" s="27" t="s">
        <v>19</v>
      </c>
      <c r="B55" s="27">
        <v>359195</v>
      </c>
      <c r="C55" s="45">
        <f t="shared" si="5"/>
        <v>0.14588654726168521</v>
      </c>
      <c r="D55" s="27">
        <v>415965</v>
      </c>
      <c r="E55" s="45">
        <f t="shared" si="4"/>
        <v>0.14692849455206175</v>
      </c>
      <c r="F55" s="45">
        <f t="shared" si="3"/>
        <v>0.15804785701359986</v>
      </c>
    </row>
    <row r="56" spans="1:6" x14ac:dyDescent="0.3">
      <c r="A56" s="2"/>
      <c r="C56" s="3"/>
      <c r="D56" s="10"/>
    </row>
    <row r="57" spans="1:6" x14ac:dyDescent="0.3">
      <c r="A57" s="19" t="s">
        <v>53</v>
      </c>
      <c r="B57" s="14"/>
      <c r="C57" s="17"/>
      <c r="D57" s="10"/>
    </row>
    <row r="58" spans="1:6" x14ac:dyDescent="0.3">
      <c r="D58" s="10"/>
    </row>
  </sheetData>
  <phoneticPr fontId="0" type="noConversion"/>
  <pageMargins left="0.70866141732283472" right="0.43307086614173229" top="0.43307086614173229" bottom="0.51181102362204722" header="0.31496062992125984" footer="0.31496062992125984"/>
  <pageSetup scale="87" orientation="portrait" r:id="rId1"/>
  <headerFooter>
    <oddFooter>&amp;C&amp;A</oddFooter>
  </headerFooter>
  <customProperties>
    <customPr name="_pios_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4"/>
  <sheetViews>
    <sheetView topLeftCell="A16" zoomScale="86" zoomScaleNormal="86" workbookViewId="0">
      <selection activeCell="B35" sqref="B35"/>
    </sheetView>
  </sheetViews>
  <sheetFormatPr baseColWidth="10" defaultColWidth="11.42578125" defaultRowHeight="15" x14ac:dyDescent="0.3"/>
  <cols>
    <col min="1" max="1" width="43.7109375" style="5" customWidth="1"/>
    <col min="2" max="3" width="11.7109375" style="2" bestFit="1" customWidth="1"/>
    <col min="4" max="4" width="13.28515625" style="3" bestFit="1" customWidth="1"/>
    <col min="5" max="5" width="10.5703125" style="4" customWidth="1"/>
    <col min="6" max="16384" width="11.42578125" style="5"/>
  </cols>
  <sheetData>
    <row r="1" spans="1:4" x14ac:dyDescent="0.3">
      <c r="A1" s="24" t="s">
        <v>69</v>
      </c>
    </row>
    <row r="2" spans="1:4" x14ac:dyDescent="0.3">
      <c r="A2" s="24" t="s">
        <v>67</v>
      </c>
    </row>
    <row r="3" spans="1:4" x14ac:dyDescent="0.3">
      <c r="A3" s="24" t="s">
        <v>44</v>
      </c>
    </row>
    <row r="4" spans="1:4" x14ac:dyDescent="0.3">
      <c r="A4" s="24" t="s">
        <v>45</v>
      </c>
    </row>
    <row r="5" spans="1:4" ht="12" customHeight="1" x14ac:dyDescent="0.3"/>
    <row r="6" spans="1:4" x14ac:dyDescent="0.3">
      <c r="A6" s="6" t="s">
        <v>20</v>
      </c>
      <c r="B6" s="6">
        <v>2007</v>
      </c>
      <c r="C6" s="6">
        <v>2008</v>
      </c>
      <c r="D6" s="6" t="s">
        <v>46</v>
      </c>
    </row>
    <row r="7" spans="1:4" x14ac:dyDescent="0.3">
      <c r="A7" s="18" t="s">
        <v>21</v>
      </c>
      <c r="B7" s="14">
        <v>1835</v>
      </c>
      <c r="C7" s="14">
        <v>382</v>
      </c>
      <c r="D7" s="17">
        <f>IF(B7&lt;&gt;0,(C7-B7)/B7,0)</f>
        <v>-0.79182561307901911</v>
      </c>
    </row>
    <row r="8" spans="1:4" x14ac:dyDescent="0.3">
      <c r="A8" s="18" t="s">
        <v>22</v>
      </c>
      <c r="B8" s="14">
        <v>2904738</v>
      </c>
      <c r="C8" s="14">
        <v>3041332</v>
      </c>
      <c r="D8" s="17">
        <f>IF(B8&lt;&gt;0,(C8-B8)/B8,0)</f>
        <v>4.7024550923353503E-2</v>
      </c>
    </row>
    <row r="9" spans="1:4" x14ac:dyDescent="0.3">
      <c r="A9" s="18" t="s">
        <v>23</v>
      </c>
      <c r="B9" s="14">
        <f>9715+472</f>
        <v>10187</v>
      </c>
      <c r="C9" s="14">
        <f>468+23750</f>
        <v>24218</v>
      </c>
      <c r="D9" s="17">
        <f>IF(B9&lt;&gt;0,(C9-B9)/B9,0)</f>
        <v>1.3773436733091196</v>
      </c>
    </row>
    <row r="10" spans="1:4" x14ac:dyDescent="0.3">
      <c r="A10" s="18" t="s">
        <v>37</v>
      </c>
      <c r="B10" s="14">
        <v>0</v>
      </c>
      <c r="C10" s="14">
        <v>50</v>
      </c>
      <c r="D10" s="52" t="str">
        <f>IF(B10&lt;&gt;0,(C10-B10)/B10,"N.A.")</f>
        <v>N.A.</v>
      </c>
    </row>
    <row r="11" spans="1:4" x14ac:dyDescent="0.3">
      <c r="A11" s="18" t="s">
        <v>59</v>
      </c>
      <c r="B11" s="14">
        <f>155+54</f>
        <v>209</v>
      </c>
      <c r="C11" s="14">
        <f>155+54</f>
        <v>209</v>
      </c>
      <c r="D11" s="17">
        <f>IF(B11&lt;&gt;0,(C11-B11)/B11,0)</f>
        <v>0</v>
      </c>
    </row>
    <row r="12" spans="1:4" x14ac:dyDescent="0.3">
      <c r="A12" s="18" t="s">
        <v>26</v>
      </c>
      <c r="B12" s="14">
        <v>1324771</v>
      </c>
      <c r="C12" s="14">
        <v>891321</v>
      </c>
      <c r="D12" s="17">
        <f>IF(B12&lt;&gt;0,(C12-B12)/B12,0)</f>
        <v>-0.3271886235432388</v>
      </c>
    </row>
    <row r="13" spans="1:4" ht="15.75" thickBot="1" x14ac:dyDescent="0.35">
      <c r="A13" s="26" t="s">
        <v>27</v>
      </c>
      <c r="B13" s="27">
        <f>SUM(B7:B12)</f>
        <v>4241740</v>
      </c>
      <c r="C13" s="27">
        <f>SUM(C7:C12)</f>
        <v>3957512</v>
      </c>
      <c r="D13" s="46">
        <f>IF(B13&lt;&gt;0,(C13-B13)/B13,0)</f>
        <v>-6.7007407337554878E-2</v>
      </c>
    </row>
    <row r="15" spans="1:4" x14ac:dyDescent="0.3">
      <c r="A15" s="6" t="s">
        <v>48</v>
      </c>
      <c r="B15" s="6">
        <v>2007</v>
      </c>
      <c r="C15" s="6">
        <v>2008</v>
      </c>
      <c r="D15" s="6" t="s">
        <v>46</v>
      </c>
    </row>
    <row r="16" spans="1:4" x14ac:dyDescent="0.3">
      <c r="A16" s="18" t="s">
        <v>28</v>
      </c>
      <c r="B16" s="14">
        <v>7000</v>
      </c>
      <c r="C16" s="14">
        <v>7000</v>
      </c>
      <c r="D16" s="17">
        <f t="shared" ref="D16:D23" si="0">IF(B16&lt;&gt;0,(C16-B16)/B16,0)</f>
        <v>0</v>
      </c>
    </row>
    <row r="17" spans="1:5" x14ac:dyDescent="0.3">
      <c r="A17" s="18" t="s">
        <v>29</v>
      </c>
      <c r="B17" s="14">
        <v>62571</v>
      </c>
      <c r="C17" s="14">
        <f>37492+33775</f>
        <v>71267</v>
      </c>
      <c r="D17" s="17">
        <f t="shared" si="0"/>
        <v>0.13897812085470906</v>
      </c>
    </row>
    <row r="18" spans="1:5" x14ac:dyDescent="0.3">
      <c r="A18" s="18" t="s">
        <v>30</v>
      </c>
      <c r="B18" s="14">
        <v>645</v>
      </c>
      <c r="C18" s="14">
        <v>1762</v>
      </c>
      <c r="D18" s="17">
        <f t="shared" si="0"/>
        <v>1.7317829457364342</v>
      </c>
    </row>
    <row r="19" spans="1:5" x14ac:dyDescent="0.3">
      <c r="A19" s="18" t="s">
        <v>31</v>
      </c>
      <c r="B19" s="14">
        <v>686</v>
      </c>
      <c r="C19" s="14">
        <v>940</v>
      </c>
      <c r="D19" s="17">
        <f t="shared" si="0"/>
        <v>0.37026239067055394</v>
      </c>
    </row>
    <row r="20" spans="1:5" x14ac:dyDescent="0.3">
      <c r="A20" s="18" t="s">
        <v>24</v>
      </c>
      <c r="B20" s="14">
        <v>2679</v>
      </c>
      <c r="C20" s="14">
        <v>2934</v>
      </c>
      <c r="D20" s="17">
        <f t="shared" si="0"/>
        <v>9.5184770436730126E-2</v>
      </c>
    </row>
    <row r="21" spans="1:5" s="9" customFormat="1" x14ac:dyDescent="0.3">
      <c r="A21" s="29" t="s">
        <v>33</v>
      </c>
      <c r="B21" s="30">
        <f>SUM(B16:B20)</f>
        <v>73581</v>
      </c>
      <c r="C21" s="30">
        <f>SUM(C16:C20)</f>
        <v>83903</v>
      </c>
      <c r="D21" s="42">
        <f t="shared" si="0"/>
        <v>0.14028077900544977</v>
      </c>
      <c r="E21" s="8"/>
    </row>
    <row r="22" spans="1:5" s="9" customFormat="1" x14ac:dyDescent="0.3">
      <c r="A22" s="31" t="s">
        <v>34</v>
      </c>
      <c r="B22" s="32">
        <v>4168159</v>
      </c>
      <c r="C22" s="32">
        <v>3873609</v>
      </c>
      <c r="D22" s="47">
        <f t="shared" si="0"/>
        <v>-7.0666690018303044E-2</v>
      </c>
      <c r="E22" s="8"/>
    </row>
    <row r="23" spans="1:5" s="9" customFormat="1" ht="15.75" thickBot="1" x14ac:dyDescent="0.35">
      <c r="A23" s="26" t="s">
        <v>35</v>
      </c>
      <c r="B23" s="27">
        <f>+B21+B22</f>
        <v>4241740</v>
      </c>
      <c r="C23" s="27">
        <f>+C21+C22</f>
        <v>3957512</v>
      </c>
      <c r="D23" s="45">
        <f t="shared" si="0"/>
        <v>-6.7007407337554878E-2</v>
      </c>
      <c r="E23" s="8"/>
    </row>
    <row r="24" spans="1:5" x14ac:dyDescent="0.3">
      <c r="A24" s="18" t="s">
        <v>54</v>
      </c>
      <c r="B24" s="14">
        <v>435123458</v>
      </c>
      <c r="C24" s="14">
        <v>435123458</v>
      </c>
      <c r="D24" s="17"/>
    </row>
    <row r="25" spans="1:5" x14ac:dyDescent="0.3">
      <c r="A25" s="19" t="s">
        <v>71</v>
      </c>
      <c r="B25" s="33">
        <f>+B22/+(B24/1000000)</f>
        <v>9579.2560096817397</v>
      </c>
      <c r="C25" s="33">
        <f>+C22/+(C24/1000000)</f>
        <v>8902.3216946395933</v>
      </c>
      <c r="D25" s="17"/>
    </row>
    <row r="27" spans="1:5" x14ac:dyDescent="0.3">
      <c r="A27" s="6" t="s">
        <v>70</v>
      </c>
      <c r="B27" s="6">
        <v>2007</v>
      </c>
      <c r="C27" s="6">
        <v>2008</v>
      </c>
      <c r="D27" s="6" t="s">
        <v>46</v>
      </c>
    </row>
    <row r="28" spans="1:5" x14ac:dyDescent="0.3">
      <c r="A28" s="19" t="s">
        <v>68</v>
      </c>
      <c r="B28" s="14"/>
      <c r="C28" s="17"/>
      <c r="D28" s="34"/>
    </row>
    <row r="29" spans="1:5" x14ac:dyDescent="0.3">
      <c r="A29" s="19" t="s">
        <v>44</v>
      </c>
      <c r="B29" s="14"/>
      <c r="C29" s="17"/>
      <c r="D29" s="34"/>
    </row>
    <row r="30" spans="1:5" x14ac:dyDescent="0.3">
      <c r="A30" s="19" t="s">
        <v>45</v>
      </c>
      <c r="B30" s="14"/>
      <c r="C30" s="17"/>
      <c r="D30" s="34"/>
    </row>
    <row r="31" spans="1:5" s="9" customFormat="1" x14ac:dyDescent="0.3">
      <c r="A31" s="19" t="s">
        <v>72</v>
      </c>
      <c r="B31" s="30">
        <v>231987</v>
      </c>
      <c r="C31" s="30">
        <v>268897</v>
      </c>
      <c r="D31" s="25">
        <f>IF(C31&lt;&gt;0,(C31-B31)/B31,0)</f>
        <v>0.15910374288214427</v>
      </c>
    </row>
    <row r="32" spans="1:5" s="9" customFormat="1" x14ac:dyDescent="0.3">
      <c r="A32" s="19" t="s">
        <v>5</v>
      </c>
      <c r="B32" s="14">
        <v>2685</v>
      </c>
      <c r="C32" s="14">
        <v>2704</v>
      </c>
      <c r="D32" s="54">
        <f t="shared" ref="D32:D42" si="1">IF(C32&lt;&gt;0,(C32-B32)/B32,0)</f>
        <v>7.07635009310987E-3</v>
      </c>
    </row>
    <row r="33" spans="1:8" s="9" customFormat="1" x14ac:dyDescent="0.3">
      <c r="A33" s="19" t="s">
        <v>57</v>
      </c>
      <c r="B33" s="14">
        <v>11678</v>
      </c>
      <c r="C33" s="14">
        <v>14746</v>
      </c>
      <c r="D33" s="54">
        <f t="shared" si="1"/>
        <v>0.26271621853057031</v>
      </c>
    </row>
    <row r="34" spans="1:8" s="9" customFormat="1" x14ac:dyDescent="0.3">
      <c r="A34" s="19" t="s">
        <v>56</v>
      </c>
      <c r="B34" s="14">
        <f>478+5041</f>
        <v>5519</v>
      </c>
      <c r="C34" s="14">
        <f>13055+124</f>
        <v>13179</v>
      </c>
      <c r="D34" s="54">
        <f t="shared" si="1"/>
        <v>1.3879325964848706</v>
      </c>
    </row>
    <row r="35" spans="1:8" s="9" customFormat="1" x14ac:dyDescent="0.3">
      <c r="A35" s="35" t="s">
        <v>4</v>
      </c>
      <c r="B35" s="30">
        <f>SUM(B31:B34)</f>
        <v>251869</v>
      </c>
      <c r="C35" s="30">
        <f>SUM(C31:C34)</f>
        <v>299526</v>
      </c>
      <c r="D35" s="25">
        <f t="shared" si="1"/>
        <v>0.18921344032016643</v>
      </c>
    </row>
    <row r="36" spans="1:8" s="4" customFormat="1" x14ac:dyDescent="0.3">
      <c r="A36" s="19" t="s">
        <v>58</v>
      </c>
      <c r="B36" s="14">
        <v>-7188</v>
      </c>
      <c r="C36" s="14">
        <v>-8773</v>
      </c>
      <c r="D36" s="54">
        <f t="shared" si="1"/>
        <v>0.22050639955481358</v>
      </c>
      <c r="F36" s="5"/>
      <c r="G36" s="5"/>
      <c r="H36" s="5"/>
    </row>
    <row r="37" spans="1:8" s="9" customFormat="1" x14ac:dyDescent="0.3">
      <c r="A37" s="35" t="s">
        <v>42</v>
      </c>
      <c r="B37" s="30">
        <f>SUM(B35:B36)</f>
        <v>244681</v>
      </c>
      <c r="C37" s="30">
        <f>SUM(C35:C36)</f>
        <v>290753</v>
      </c>
      <c r="D37" s="25">
        <f t="shared" si="1"/>
        <v>0.18829414625573707</v>
      </c>
    </row>
    <row r="38" spans="1:8" s="4" customFormat="1" x14ac:dyDescent="0.3">
      <c r="A38" s="19" t="s">
        <v>10</v>
      </c>
      <c r="B38" s="14">
        <v>80</v>
      </c>
      <c r="C38" s="14">
        <v>960</v>
      </c>
      <c r="D38" s="54">
        <f t="shared" si="1"/>
        <v>11</v>
      </c>
      <c r="F38" s="5"/>
      <c r="G38" s="5"/>
      <c r="H38" s="5"/>
    </row>
    <row r="39" spans="1:8" s="9" customFormat="1" x14ac:dyDescent="0.3">
      <c r="A39" s="19" t="s">
        <v>13</v>
      </c>
      <c r="B39" s="14">
        <v>-279</v>
      </c>
      <c r="C39" s="14">
        <v>-633</v>
      </c>
      <c r="D39" s="54">
        <f t="shared" si="1"/>
        <v>1.2688172043010753</v>
      </c>
    </row>
    <row r="40" spans="1:8" s="9" customFormat="1" x14ac:dyDescent="0.3">
      <c r="A40" s="35" t="s">
        <v>43</v>
      </c>
      <c r="B40" s="30">
        <f>SUM(B37:B39)</f>
        <v>244482</v>
      </c>
      <c r="C40" s="30">
        <f>SUM(C37:C39)</f>
        <v>291080</v>
      </c>
      <c r="D40" s="25">
        <f t="shared" si="1"/>
        <v>0.19059889889644227</v>
      </c>
    </row>
    <row r="41" spans="1:8" s="4" customFormat="1" x14ac:dyDescent="0.3">
      <c r="A41" s="19" t="s">
        <v>15</v>
      </c>
      <c r="B41" s="14">
        <v>-190</v>
      </c>
      <c r="C41" s="14">
        <v>-74</v>
      </c>
      <c r="D41" s="54">
        <f t="shared" si="1"/>
        <v>-0.61052631578947369</v>
      </c>
      <c r="F41" s="5"/>
      <c r="G41" s="5"/>
      <c r="H41" s="5"/>
    </row>
    <row r="42" spans="1:8" s="4" customFormat="1" ht="15.75" thickBot="1" x14ac:dyDescent="0.35">
      <c r="A42" s="36" t="s">
        <v>17</v>
      </c>
      <c r="B42" s="37">
        <f>SUM(B40:B41)</f>
        <v>244292</v>
      </c>
      <c r="C42" s="37">
        <f>SUM(C40:C41)</f>
        <v>291006</v>
      </c>
      <c r="D42" s="28">
        <f t="shared" si="1"/>
        <v>0.19122198025313969</v>
      </c>
      <c r="F42" s="5"/>
      <c r="G42" s="5"/>
      <c r="H42" s="5"/>
    </row>
    <row r="44" spans="1:8" s="4" customFormat="1" x14ac:dyDescent="0.3">
      <c r="A44" s="19" t="s">
        <v>75</v>
      </c>
      <c r="B44" s="53">
        <f>+B42/(B24/1000000)</f>
        <v>561.43146389501248</v>
      </c>
      <c r="C44" s="53">
        <f>+C42/(C24/1000000)</f>
        <v>668.78950019743593</v>
      </c>
      <c r="D44" s="3"/>
      <c r="F44" s="5"/>
      <c r="G44" s="5"/>
      <c r="H44" s="5"/>
    </row>
  </sheetData>
  <phoneticPr fontId="0" type="noConversion"/>
  <pageMargins left="0.70866141732283472" right="0.43307086614173229" top="0.47244094488188981" bottom="0.39370078740157483" header="0.31496062992125984" footer="0.18"/>
  <pageSetup orientation="portrait" r:id="rId1"/>
  <headerFooter>
    <oddFooter>&amp;L&amp;A</oddFooter>
  </headerFooter>
  <customProperties>
    <customPr name="_pios_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8"/>
  <sheetViews>
    <sheetView topLeftCell="A19" zoomScale="86" zoomScaleNormal="86" workbookViewId="0">
      <selection activeCell="D36" activeCellId="1" sqref="B36:B55 D36:D55"/>
    </sheetView>
  </sheetViews>
  <sheetFormatPr baseColWidth="10" defaultColWidth="11.42578125" defaultRowHeight="15" x14ac:dyDescent="0.3"/>
  <cols>
    <col min="1" max="1" width="43.42578125" style="5" customWidth="1"/>
    <col min="2" max="3" width="11.7109375" style="2" bestFit="1" customWidth="1"/>
    <col min="4" max="4" width="13.28515625" style="3" bestFit="1" customWidth="1"/>
    <col min="5" max="5" width="11.5703125" style="3" bestFit="1" customWidth="1"/>
    <col min="6" max="6" width="9.28515625" style="4" bestFit="1" customWidth="1"/>
    <col min="7" max="7" width="8.28515625" style="5" customWidth="1"/>
    <col min="8" max="16384" width="11.42578125" style="5"/>
  </cols>
  <sheetData>
    <row r="1" spans="1:8" x14ac:dyDescent="0.3">
      <c r="A1" s="38" t="s">
        <v>40</v>
      </c>
      <c r="E1" s="21"/>
    </row>
    <row r="2" spans="1:8" x14ac:dyDescent="0.3">
      <c r="A2" s="38" t="s">
        <v>67</v>
      </c>
      <c r="E2" s="21"/>
    </row>
    <row r="3" spans="1:8" x14ac:dyDescent="0.3">
      <c r="A3" s="24" t="s">
        <v>44</v>
      </c>
      <c r="D3" s="17"/>
      <c r="E3" s="21"/>
    </row>
    <row r="4" spans="1:8" x14ac:dyDescent="0.3">
      <c r="A4" s="24" t="s">
        <v>45</v>
      </c>
      <c r="E4" s="21"/>
      <c r="G4" s="19"/>
      <c r="H4" s="19"/>
    </row>
    <row r="5" spans="1:8" x14ac:dyDescent="0.3">
      <c r="E5" s="21"/>
      <c r="G5" s="19"/>
      <c r="H5" s="19"/>
    </row>
    <row r="6" spans="1:8" x14ac:dyDescent="0.3">
      <c r="A6" s="6" t="s">
        <v>20</v>
      </c>
      <c r="B6" s="6">
        <v>2007</v>
      </c>
      <c r="C6" s="6">
        <v>2008</v>
      </c>
      <c r="D6" s="6" t="s">
        <v>46</v>
      </c>
      <c r="E6" s="20"/>
      <c r="G6" s="19"/>
      <c r="H6" s="19"/>
    </row>
    <row r="7" spans="1:8" x14ac:dyDescent="0.3">
      <c r="A7" s="18" t="s">
        <v>21</v>
      </c>
      <c r="B7" s="14">
        <f>134295+6771</f>
        <v>141066</v>
      </c>
      <c r="C7" s="14">
        <v>200123</v>
      </c>
      <c r="D7" s="17">
        <f t="shared" ref="D7:D16" si="0">+(C7-B7)/B7</f>
        <v>0.41864800873350061</v>
      </c>
      <c r="E7" s="21"/>
      <c r="G7" s="19"/>
      <c r="H7" s="19"/>
    </row>
    <row r="8" spans="1:8" x14ac:dyDescent="0.3">
      <c r="A8" s="18" t="s">
        <v>22</v>
      </c>
      <c r="B8" s="14">
        <v>322254</v>
      </c>
      <c r="C8" s="14">
        <v>299414</v>
      </c>
      <c r="D8" s="17">
        <f t="shared" si="0"/>
        <v>-7.0875768803490419E-2</v>
      </c>
      <c r="E8" s="21"/>
      <c r="G8" s="19"/>
      <c r="H8" s="19"/>
    </row>
    <row r="9" spans="1:8" x14ac:dyDescent="0.3">
      <c r="A9" s="18" t="s">
        <v>23</v>
      </c>
      <c r="B9" s="14">
        <f>8613+418070</f>
        <v>426683</v>
      </c>
      <c r="C9" s="14">
        <f>645639+10992</f>
        <v>656631</v>
      </c>
      <c r="D9" s="17">
        <f t="shared" si="0"/>
        <v>0.53891999446896177</v>
      </c>
      <c r="E9" s="21"/>
      <c r="G9" s="19"/>
      <c r="H9" s="19"/>
    </row>
    <row r="10" spans="1:8" x14ac:dyDescent="0.3">
      <c r="A10" s="18" t="s">
        <v>36</v>
      </c>
      <c r="B10" s="14">
        <v>434839</v>
      </c>
      <c r="C10" s="14">
        <v>528465</v>
      </c>
      <c r="D10" s="17">
        <f t="shared" si="0"/>
        <v>0.21531187404993574</v>
      </c>
      <c r="E10" s="21"/>
      <c r="G10" s="19"/>
      <c r="H10" s="19"/>
    </row>
    <row r="11" spans="1:8" x14ac:dyDescent="0.3">
      <c r="A11" s="18" t="s">
        <v>60</v>
      </c>
      <c r="B11" s="14">
        <v>653908</v>
      </c>
      <c r="C11" s="14">
        <v>767527</v>
      </c>
      <c r="D11" s="17">
        <f t="shared" si="0"/>
        <v>0.17375380022877837</v>
      </c>
      <c r="E11" s="21"/>
      <c r="G11" s="19"/>
      <c r="H11" s="19"/>
    </row>
    <row r="12" spans="1:8" x14ac:dyDescent="0.3">
      <c r="A12" s="18" t="s">
        <v>47</v>
      </c>
      <c r="B12" s="14">
        <v>564218</v>
      </c>
      <c r="C12" s="14">
        <v>543336</v>
      </c>
      <c r="D12" s="17">
        <f t="shared" si="0"/>
        <v>-3.7010517211432462E-2</v>
      </c>
      <c r="E12" s="21"/>
      <c r="G12" s="19"/>
      <c r="H12" s="19"/>
    </row>
    <row r="13" spans="1:8" x14ac:dyDescent="0.3">
      <c r="A13" s="18" t="s">
        <v>24</v>
      </c>
      <c r="B13" s="14">
        <f>6101+51159</f>
        <v>57260</v>
      </c>
      <c r="C13" s="14">
        <f>7344+20831</f>
        <v>28175</v>
      </c>
      <c r="D13" s="17">
        <f t="shared" si="0"/>
        <v>-0.50794621026894871</v>
      </c>
      <c r="E13" s="21"/>
      <c r="G13" s="19"/>
      <c r="H13" s="19"/>
    </row>
    <row r="14" spans="1:8" x14ac:dyDescent="0.3">
      <c r="A14" s="18" t="s">
        <v>25</v>
      </c>
      <c r="B14" s="14">
        <f>94+11979</f>
        <v>12073</v>
      </c>
      <c r="C14" s="14">
        <f>10167+33928</f>
        <v>44095</v>
      </c>
      <c r="D14" s="17">
        <f t="shared" si="0"/>
        <v>2.652364780916094</v>
      </c>
      <c r="E14" s="21"/>
      <c r="G14" s="19"/>
      <c r="H14" s="19"/>
    </row>
    <row r="15" spans="1:8" x14ac:dyDescent="0.3">
      <c r="A15" s="18" t="s">
        <v>26</v>
      </c>
      <c r="B15" s="14">
        <v>2736001</v>
      </c>
      <c r="C15" s="14">
        <v>2268787</v>
      </c>
      <c r="D15" s="17">
        <f t="shared" si="0"/>
        <v>-0.17076528846297936</v>
      </c>
      <c r="E15" s="21"/>
      <c r="G15" s="19"/>
      <c r="H15" s="19"/>
    </row>
    <row r="16" spans="1:8" ht="15.75" thickBot="1" x14ac:dyDescent="0.35">
      <c r="A16" s="26" t="s">
        <v>27</v>
      </c>
      <c r="B16" s="27">
        <f>SUM(B7:B15)</f>
        <v>5348302</v>
      </c>
      <c r="C16" s="27">
        <f>SUM(C7:C15)</f>
        <v>5336553</v>
      </c>
      <c r="D16" s="45">
        <f t="shared" si="0"/>
        <v>-2.1967719848280821E-3</v>
      </c>
      <c r="E16" s="22"/>
      <c r="G16" s="19"/>
      <c r="H16" s="19"/>
    </row>
    <row r="17" spans="1:8" x14ac:dyDescent="0.3">
      <c r="A17" s="1"/>
      <c r="E17" s="21"/>
      <c r="G17" s="19"/>
      <c r="H17" s="19"/>
    </row>
    <row r="18" spans="1:8" x14ac:dyDescent="0.3">
      <c r="A18" s="6" t="s">
        <v>48</v>
      </c>
      <c r="B18" s="6">
        <v>2007</v>
      </c>
      <c r="C18" s="6">
        <v>2008</v>
      </c>
      <c r="D18" s="6" t="s">
        <v>46</v>
      </c>
      <c r="E18" s="20"/>
      <c r="G18" s="19"/>
      <c r="H18" s="19"/>
    </row>
    <row r="19" spans="1:8" x14ac:dyDescent="0.3">
      <c r="A19" s="18" t="s">
        <v>28</v>
      </c>
      <c r="B19" s="14">
        <v>718503</v>
      </c>
      <c r="C19" s="14">
        <f>535026+349791</f>
        <v>884817</v>
      </c>
      <c r="D19" s="17">
        <f t="shared" ref="D19:D30" si="1">+(C19-B19)/B19</f>
        <v>0.23147293748251574</v>
      </c>
      <c r="E19" s="21"/>
      <c r="G19" s="19"/>
      <c r="H19" s="19"/>
    </row>
    <row r="20" spans="1:8" x14ac:dyDescent="0.3">
      <c r="A20" s="18" t="s">
        <v>49</v>
      </c>
      <c r="B20" s="14">
        <v>146091</v>
      </c>
      <c r="C20" s="14">
        <v>163812</v>
      </c>
      <c r="D20" s="17">
        <f t="shared" si="1"/>
        <v>0.12130110684436413</v>
      </c>
      <c r="E20" s="21"/>
    </row>
    <row r="21" spans="1:8" x14ac:dyDescent="0.3">
      <c r="A21" s="18" t="s">
        <v>38</v>
      </c>
      <c r="B21" s="14">
        <v>140644</v>
      </c>
      <c r="C21" s="14">
        <f>160+172987</f>
        <v>173147</v>
      </c>
      <c r="D21" s="17">
        <f t="shared" si="1"/>
        <v>0.23110122010181736</v>
      </c>
      <c r="E21" s="21"/>
    </row>
    <row r="22" spans="1:8" x14ac:dyDescent="0.3">
      <c r="A22" s="18" t="s">
        <v>30</v>
      </c>
      <c r="B22" s="14">
        <v>55981</v>
      </c>
      <c r="C22" s="14">
        <v>61484</v>
      </c>
      <c r="D22" s="17">
        <f t="shared" si="1"/>
        <v>9.8301209338882839E-2</v>
      </c>
      <c r="E22" s="21"/>
    </row>
    <row r="23" spans="1:8" x14ac:dyDescent="0.3">
      <c r="A23" s="18" t="s">
        <v>31</v>
      </c>
      <c r="B23" s="14">
        <v>58521</v>
      </c>
      <c r="C23" s="14">
        <f>72945+2417</f>
        <v>75362</v>
      </c>
      <c r="D23" s="17">
        <f t="shared" si="1"/>
        <v>0.28777703730284854</v>
      </c>
      <c r="E23" s="21"/>
    </row>
    <row r="24" spans="1:8" x14ac:dyDescent="0.3">
      <c r="A24" s="18" t="s">
        <v>32</v>
      </c>
      <c r="B24" s="14">
        <v>57731</v>
      </c>
      <c r="C24" s="14">
        <f>41238+22590</f>
        <v>63828</v>
      </c>
      <c r="D24" s="17">
        <f t="shared" si="1"/>
        <v>0.1056105038887253</v>
      </c>
      <c r="E24" s="21"/>
    </row>
    <row r="25" spans="1:8" x14ac:dyDescent="0.3">
      <c r="A25" s="18" t="s">
        <v>24</v>
      </c>
      <c r="B25" s="14">
        <v>36889</v>
      </c>
      <c r="C25" s="14">
        <v>44153</v>
      </c>
      <c r="D25" s="17">
        <f t="shared" si="1"/>
        <v>0.19691506953292309</v>
      </c>
      <c r="E25" s="21"/>
    </row>
    <row r="26" spans="1:8" x14ac:dyDescent="0.3">
      <c r="A26" s="18" t="s">
        <v>0</v>
      </c>
      <c r="B26" s="14">
        <v>1583</v>
      </c>
      <c r="C26" s="14">
        <v>2766</v>
      </c>
      <c r="D26" s="17">
        <f t="shared" si="1"/>
        <v>0.74731522425773844</v>
      </c>
      <c r="E26" s="21"/>
    </row>
    <row r="27" spans="1:8" x14ac:dyDescent="0.3">
      <c r="A27" s="18" t="s">
        <v>33</v>
      </c>
      <c r="B27" s="14">
        <f>SUM(B19:B26)</f>
        <v>1215943</v>
      </c>
      <c r="C27" s="14">
        <f>SUM(C19:C26)</f>
        <v>1469369</v>
      </c>
      <c r="D27" s="17">
        <f t="shared" si="1"/>
        <v>0.20841930912879963</v>
      </c>
      <c r="E27" s="21"/>
    </row>
    <row r="28" spans="1:8" x14ac:dyDescent="0.3">
      <c r="A28" s="18" t="s">
        <v>39</v>
      </c>
      <c r="B28" s="14">
        <v>2964</v>
      </c>
      <c r="C28" s="14">
        <v>2751</v>
      </c>
      <c r="D28" s="17">
        <f t="shared" si="1"/>
        <v>-7.186234817813765E-2</v>
      </c>
      <c r="E28" s="21"/>
    </row>
    <row r="29" spans="1:8" ht="15.75" thickBot="1" x14ac:dyDescent="0.35">
      <c r="A29" s="26" t="s">
        <v>34</v>
      </c>
      <c r="B29" s="27">
        <v>4129395</v>
      </c>
      <c r="C29" s="27">
        <v>3864433</v>
      </c>
      <c r="D29" s="45">
        <f t="shared" si="1"/>
        <v>-6.416484739289896E-2</v>
      </c>
      <c r="E29" s="22"/>
    </row>
    <row r="30" spans="1:8" ht="15.75" thickBot="1" x14ac:dyDescent="0.35">
      <c r="A30" s="26" t="s">
        <v>35</v>
      </c>
      <c r="B30" s="27">
        <f>+B27+B28+B29</f>
        <v>5348302</v>
      </c>
      <c r="C30" s="27">
        <f>+C27+C28+C29</f>
        <v>5336553</v>
      </c>
      <c r="D30" s="45">
        <f t="shared" si="1"/>
        <v>-2.1967719848280821E-3</v>
      </c>
      <c r="E30" s="22"/>
    </row>
    <row r="31" spans="1:8" x14ac:dyDescent="0.3">
      <c r="A31" s="19"/>
      <c r="B31" s="14"/>
      <c r="C31" s="14"/>
      <c r="D31" s="17"/>
    </row>
    <row r="32" spans="1:8" x14ac:dyDescent="0.3">
      <c r="A32" s="41" t="s">
        <v>3</v>
      </c>
      <c r="B32" s="14"/>
      <c r="C32" s="14"/>
      <c r="D32" s="17"/>
    </row>
    <row r="33" spans="1:8" x14ac:dyDescent="0.3">
      <c r="A33" s="41" t="s">
        <v>68</v>
      </c>
      <c r="B33" s="14"/>
      <c r="C33" s="14"/>
      <c r="D33" s="17"/>
    </row>
    <row r="34" spans="1:8" x14ac:dyDescent="0.3">
      <c r="A34" s="41" t="s">
        <v>44</v>
      </c>
      <c r="B34" s="14"/>
      <c r="C34" s="14"/>
      <c r="D34" s="17"/>
    </row>
    <row r="35" spans="1:8" x14ac:dyDescent="0.3">
      <c r="A35" s="41" t="s">
        <v>45</v>
      </c>
      <c r="B35" s="14"/>
      <c r="C35" s="14"/>
      <c r="D35" s="17"/>
    </row>
    <row r="36" spans="1:8" x14ac:dyDescent="0.3">
      <c r="A36" s="6"/>
      <c r="B36" s="6">
        <v>2007</v>
      </c>
      <c r="C36" s="6" t="s">
        <v>55</v>
      </c>
      <c r="D36" s="6">
        <v>2008</v>
      </c>
      <c r="E36" s="6" t="s">
        <v>55</v>
      </c>
      <c r="F36" s="6" t="s">
        <v>46</v>
      </c>
    </row>
    <row r="37" spans="1:8" s="9" customFormat="1" x14ac:dyDescent="0.3">
      <c r="A37" s="30" t="s">
        <v>4</v>
      </c>
      <c r="B37" s="50">
        <v>3449517</v>
      </c>
      <c r="C37" s="42">
        <f t="shared" ref="C37:C55" si="2">+B37/$B$37</f>
        <v>1</v>
      </c>
      <c r="D37" s="50">
        <v>4009727</v>
      </c>
      <c r="E37" s="42">
        <f>+D37/$D$37</f>
        <v>1</v>
      </c>
      <c r="F37" s="42">
        <f t="shared" ref="F37:F55" si="3">+(D37-B37)/B37</f>
        <v>0.16240244648743576</v>
      </c>
    </row>
    <row r="38" spans="1:8" x14ac:dyDescent="0.3">
      <c r="A38" s="14" t="s">
        <v>50</v>
      </c>
      <c r="B38" s="51">
        <v>-2035308</v>
      </c>
      <c r="C38" s="17">
        <f t="shared" si="2"/>
        <v>-0.59002695159931084</v>
      </c>
      <c r="D38" s="51">
        <v>-2384094</v>
      </c>
      <c r="E38" s="17">
        <f>+D38/$D$37</f>
        <v>-0.59457763583406054</v>
      </c>
      <c r="F38" s="17">
        <f t="shared" si="3"/>
        <v>0.17136767506441286</v>
      </c>
    </row>
    <row r="39" spans="1:8" s="9" customFormat="1" x14ac:dyDescent="0.3">
      <c r="A39" s="30" t="s">
        <v>6</v>
      </c>
      <c r="B39" s="30">
        <f>SUM(B37:B38)</f>
        <v>1414209</v>
      </c>
      <c r="C39" s="42">
        <f t="shared" si="2"/>
        <v>0.40997304840068916</v>
      </c>
      <c r="D39" s="30">
        <f>SUM(D37:D38)</f>
        <v>1625633</v>
      </c>
      <c r="E39" s="42">
        <f t="shared" ref="E39:E55" si="4">+D39/$D$37</f>
        <v>0.40542236416593946</v>
      </c>
      <c r="F39" s="42">
        <f t="shared" si="3"/>
        <v>0.14949982640472517</v>
      </c>
    </row>
    <row r="40" spans="1:8" x14ac:dyDescent="0.3">
      <c r="A40" s="14" t="s">
        <v>7</v>
      </c>
      <c r="B40" s="14">
        <v>-165507</v>
      </c>
      <c r="C40" s="17">
        <f t="shared" si="2"/>
        <v>-4.7979760644751138E-2</v>
      </c>
      <c r="D40" s="14">
        <v>-183777</v>
      </c>
      <c r="E40" s="17">
        <f t="shared" si="4"/>
        <v>-4.583279609808847E-2</v>
      </c>
      <c r="F40" s="17">
        <f t="shared" si="3"/>
        <v>0.11038808026246624</v>
      </c>
    </row>
    <row r="41" spans="1:8" x14ac:dyDescent="0.3">
      <c r="A41" s="14" t="s">
        <v>8</v>
      </c>
      <c r="B41" s="14">
        <v>-815817</v>
      </c>
      <c r="C41" s="17">
        <f t="shared" si="2"/>
        <v>-0.23650180590500061</v>
      </c>
      <c r="D41" s="14">
        <v>-975970</v>
      </c>
      <c r="E41" s="17">
        <f t="shared" si="4"/>
        <v>-0.24340061056525794</v>
      </c>
      <c r="F41" s="17">
        <f t="shared" si="3"/>
        <v>0.1963099567672652</v>
      </c>
    </row>
    <row r="42" spans="1:8" s="9" customFormat="1" x14ac:dyDescent="0.3">
      <c r="A42" s="30" t="s">
        <v>9</v>
      </c>
      <c r="B42" s="30">
        <f>SUM(B40:B41)</f>
        <v>-981324</v>
      </c>
      <c r="C42" s="42">
        <f t="shared" si="2"/>
        <v>-0.28448156654975176</v>
      </c>
      <c r="D42" s="30">
        <f>SUM(D40:D41)</f>
        <v>-1159747</v>
      </c>
      <c r="E42" s="42">
        <f t="shared" si="4"/>
        <v>-0.2892334066633464</v>
      </c>
      <c r="F42" s="42">
        <f t="shared" si="3"/>
        <v>0.18181864501428682</v>
      </c>
    </row>
    <row r="43" spans="1:8" s="9" customFormat="1" x14ac:dyDescent="0.3">
      <c r="A43" s="30" t="s">
        <v>1</v>
      </c>
      <c r="B43" s="30">
        <f>+B39+B42</f>
        <v>432885</v>
      </c>
      <c r="C43" s="42">
        <f t="shared" si="2"/>
        <v>0.12549148185093739</v>
      </c>
      <c r="D43" s="30">
        <f>+D39+D42</f>
        <v>465886</v>
      </c>
      <c r="E43" s="42">
        <f t="shared" si="4"/>
        <v>0.11618895750259307</v>
      </c>
      <c r="F43" s="42">
        <f t="shared" si="3"/>
        <v>7.6235027778740305E-2</v>
      </c>
    </row>
    <row r="44" spans="1:8" x14ac:dyDescent="0.3">
      <c r="A44" s="14" t="s">
        <v>51</v>
      </c>
      <c r="B44" s="14">
        <v>11386</v>
      </c>
      <c r="C44" s="17">
        <f t="shared" si="2"/>
        <v>3.3007519603469124E-3</v>
      </c>
      <c r="D44" s="14">
        <f>124919-27907-45965-1642-37825</f>
        <v>11580</v>
      </c>
      <c r="E44" s="17">
        <f t="shared" si="4"/>
        <v>2.8879771615374313E-3</v>
      </c>
      <c r="F44" s="17">
        <f t="shared" si="3"/>
        <v>1.7038468294396626E-2</v>
      </c>
      <c r="H44" s="9"/>
    </row>
    <row r="45" spans="1:8" x14ac:dyDescent="0.3">
      <c r="A45" s="14" t="s">
        <v>11</v>
      </c>
      <c r="B45" s="14">
        <v>-84176</v>
      </c>
      <c r="C45" s="17">
        <f t="shared" si="2"/>
        <v>-2.4402256895675538E-2</v>
      </c>
      <c r="D45" s="14">
        <f>-202076+66698+12887+33753</f>
        <v>-88738</v>
      </c>
      <c r="E45" s="17">
        <f t="shared" si="4"/>
        <v>-2.213068370988848E-2</v>
      </c>
      <c r="F45" s="17">
        <f t="shared" si="3"/>
        <v>5.4195970347842619E-2</v>
      </c>
      <c r="H45" s="9"/>
    </row>
    <row r="46" spans="1:8" x14ac:dyDescent="0.3">
      <c r="A46" s="14" t="s">
        <v>12</v>
      </c>
      <c r="B46" s="14">
        <v>-17533</v>
      </c>
      <c r="C46" s="17">
        <f t="shared" si="2"/>
        <v>-5.0827405691869325E-3</v>
      </c>
      <c r="D46" s="14">
        <f>45965-66698+1642+37825-12887-33753</f>
        <v>-27906</v>
      </c>
      <c r="E46" s="17">
        <f t="shared" si="4"/>
        <v>-6.9595760509381316E-3</v>
      </c>
      <c r="F46" s="17">
        <f t="shared" si="3"/>
        <v>0.59162721724747613</v>
      </c>
      <c r="H46" s="9"/>
    </row>
    <row r="47" spans="1:8" x14ac:dyDescent="0.3">
      <c r="A47" s="14" t="s">
        <v>52</v>
      </c>
      <c r="B47" s="14">
        <v>-27554</v>
      </c>
      <c r="C47" s="17">
        <f t="shared" si="2"/>
        <v>-7.9877849565605855E-3</v>
      </c>
      <c r="D47" s="14">
        <f>-16167-80511</f>
        <v>-96678</v>
      </c>
      <c r="E47" s="17">
        <f t="shared" si="4"/>
        <v>-2.4110868395778567E-2</v>
      </c>
      <c r="F47" s="17">
        <f t="shared" si="3"/>
        <v>2.5086738767511068</v>
      </c>
      <c r="H47" s="9"/>
    </row>
    <row r="48" spans="1:8" x14ac:dyDescent="0.3">
      <c r="A48" s="14" t="s">
        <v>14</v>
      </c>
      <c r="B48" s="14">
        <v>25763</v>
      </c>
      <c r="C48" s="17">
        <f t="shared" si="2"/>
        <v>7.4685818333407256E-3</v>
      </c>
      <c r="D48" s="14">
        <v>27907</v>
      </c>
      <c r="E48" s="17">
        <f t="shared" si="4"/>
        <v>6.9598254444753968E-3</v>
      </c>
      <c r="F48" s="17">
        <f t="shared" si="3"/>
        <v>8.3220121880215811E-2</v>
      </c>
    </row>
    <row r="49" spans="1:6" x14ac:dyDescent="0.3">
      <c r="A49" s="14" t="s">
        <v>16</v>
      </c>
      <c r="B49" s="14">
        <v>6759</v>
      </c>
      <c r="C49" s="17">
        <f t="shared" si="2"/>
        <v>1.9594047514478112E-3</v>
      </c>
      <c r="D49" s="14">
        <v>80511</v>
      </c>
      <c r="E49" s="17">
        <f t="shared" si="4"/>
        <v>2.0078923078803119E-2</v>
      </c>
      <c r="F49" s="17">
        <f t="shared" si="3"/>
        <v>10.911673324456281</v>
      </c>
    </row>
    <row r="50" spans="1:6" s="9" customFormat="1" x14ac:dyDescent="0.3">
      <c r="A50" s="30" t="s">
        <v>2</v>
      </c>
      <c r="B50" s="30">
        <f>SUM(B44:B49)</f>
        <v>-85355</v>
      </c>
      <c r="C50" s="42">
        <f t="shared" si="2"/>
        <v>-2.4744043876287609E-2</v>
      </c>
      <c r="D50" s="30">
        <f>SUM(D44:D49)</f>
        <v>-93324</v>
      </c>
      <c r="E50" s="42">
        <f t="shared" si="4"/>
        <v>-2.3274402471789225E-2</v>
      </c>
      <c r="F50" s="42">
        <f t="shared" si="3"/>
        <v>9.3363013297404956E-2</v>
      </c>
    </row>
    <row r="51" spans="1:6" s="9" customFormat="1" x14ac:dyDescent="0.3">
      <c r="A51" s="30" t="s">
        <v>41</v>
      </c>
      <c r="B51" s="30">
        <f>+B43+B50</f>
        <v>347530</v>
      </c>
      <c r="C51" s="42">
        <f t="shared" si="2"/>
        <v>0.10074743797464979</v>
      </c>
      <c r="D51" s="30">
        <f>+D43+D50</f>
        <v>372562</v>
      </c>
      <c r="E51" s="42">
        <f t="shared" si="4"/>
        <v>9.2914555030803841E-2</v>
      </c>
      <c r="F51" s="42">
        <f t="shared" si="3"/>
        <v>7.2028314102379656E-2</v>
      </c>
    </row>
    <row r="52" spans="1:6" x14ac:dyDescent="0.3">
      <c r="A52" s="14" t="s">
        <v>15</v>
      </c>
      <c r="B52" s="14">
        <v>-99987</v>
      </c>
      <c r="C52" s="17">
        <f t="shared" si="2"/>
        <v>-2.8985797142034666E-2</v>
      </c>
      <c r="D52" s="14">
        <f>-74583+1351</f>
        <v>-73232</v>
      </c>
      <c r="E52" s="17">
        <f t="shared" si="4"/>
        <v>-1.8263587521045697E-2</v>
      </c>
      <c r="F52" s="17">
        <f t="shared" si="3"/>
        <v>-0.26758478602218289</v>
      </c>
    </row>
    <row r="53" spans="1:6" x14ac:dyDescent="0.3">
      <c r="A53" s="14" t="s">
        <v>18</v>
      </c>
      <c r="B53" s="14">
        <v>-230</v>
      </c>
      <c r="C53" s="17">
        <f t="shared" si="2"/>
        <v>-6.6676001306849631E-5</v>
      </c>
      <c r="D53" s="14">
        <v>-279</v>
      </c>
      <c r="E53" s="17">
        <f t="shared" si="4"/>
        <v>-6.9580796897145367E-5</v>
      </c>
      <c r="F53" s="17">
        <f t="shared" si="3"/>
        <v>0.21304347826086956</v>
      </c>
    </row>
    <row r="54" spans="1:6" s="9" customFormat="1" x14ac:dyDescent="0.3">
      <c r="A54" s="43" t="s">
        <v>17</v>
      </c>
      <c r="B54" s="43">
        <f>+B51+B52+B53</f>
        <v>247313</v>
      </c>
      <c r="C54" s="44">
        <f t="shared" si="2"/>
        <v>7.1694964831308272E-2</v>
      </c>
      <c r="D54" s="43">
        <f>+D51+D52+D53</f>
        <v>299051</v>
      </c>
      <c r="E54" s="44">
        <f t="shared" si="4"/>
        <v>7.4581386712861006E-2</v>
      </c>
      <c r="F54" s="44">
        <f t="shared" si="3"/>
        <v>0.20920048683247544</v>
      </c>
    </row>
    <row r="55" spans="1:6" s="9" customFormat="1" ht="15.75" thickBot="1" x14ac:dyDescent="0.35">
      <c r="A55" s="27" t="s">
        <v>19</v>
      </c>
      <c r="B55" s="27">
        <v>528754</v>
      </c>
      <c r="C55" s="45">
        <f t="shared" si="2"/>
        <v>0.15328348867392161</v>
      </c>
      <c r="D55" s="27">
        <v>569823</v>
      </c>
      <c r="E55" s="45">
        <f t="shared" si="4"/>
        <v>0.14211017358538375</v>
      </c>
      <c r="F55" s="45">
        <f t="shared" si="3"/>
        <v>7.7671280028141637E-2</v>
      </c>
    </row>
    <row r="56" spans="1:6" x14ac:dyDescent="0.3">
      <c r="A56" s="2"/>
      <c r="C56" s="3"/>
      <c r="D56" s="10"/>
    </row>
    <row r="57" spans="1:6" x14ac:dyDescent="0.3">
      <c r="A57" s="19"/>
      <c r="B57" s="14"/>
      <c r="C57" s="17"/>
      <c r="D57" s="10"/>
    </row>
    <row r="58" spans="1:6" x14ac:dyDescent="0.3">
      <c r="D58" s="10"/>
    </row>
  </sheetData>
  <phoneticPr fontId="0" type="noConversion"/>
  <pageMargins left="0.70866141732283472" right="0.43307086614173229" top="0.43307086614173229" bottom="0.51181102362204722" header="0.31496062992125984" footer="0.31496062992125984"/>
  <pageSetup scale="87" orientation="portrait" r:id="rId1"/>
  <headerFooter>
    <oddFooter>&amp;C&amp;A</oddFooter>
  </headerFooter>
  <customProperties>
    <customPr name="_pios_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4"/>
  <sheetViews>
    <sheetView zoomScale="86" zoomScaleNormal="86" workbookViewId="0">
      <selection activeCell="L25" sqref="L25"/>
    </sheetView>
  </sheetViews>
  <sheetFormatPr baseColWidth="10" defaultColWidth="11.42578125" defaultRowHeight="15" x14ac:dyDescent="0.3"/>
  <cols>
    <col min="1" max="1" width="43.7109375" style="5" customWidth="1"/>
    <col min="2" max="3" width="11.7109375" style="2" bestFit="1" customWidth="1"/>
    <col min="4" max="4" width="13.28515625" style="3" bestFit="1" customWidth="1"/>
    <col min="5" max="6" width="11.42578125" style="5"/>
    <col min="7" max="7" width="11.5703125" style="11" bestFit="1" customWidth="1"/>
    <col min="8" max="8" width="11.5703125" style="5" bestFit="1" customWidth="1"/>
    <col min="9" max="16384" width="11.42578125" style="5"/>
  </cols>
  <sheetData>
    <row r="1" spans="1:6" x14ac:dyDescent="0.3">
      <c r="A1" s="24" t="s">
        <v>69</v>
      </c>
    </row>
    <row r="2" spans="1:6" x14ac:dyDescent="0.3">
      <c r="A2" s="24" t="s">
        <v>76</v>
      </c>
    </row>
    <row r="3" spans="1:6" x14ac:dyDescent="0.3">
      <c r="A3" s="24" t="s">
        <v>44</v>
      </c>
    </row>
    <row r="4" spans="1:6" x14ac:dyDescent="0.3">
      <c r="A4" s="24" t="s">
        <v>45</v>
      </c>
    </row>
    <row r="5" spans="1:6" ht="12" customHeight="1" x14ac:dyDescent="0.3"/>
    <row r="6" spans="1:6" x14ac:dyDescent="0.3">
      <c r="A6" s="6" t="s">
        <v>20</v>
      </c>
      <c r="B6" s="6">
        <v>2008</v>
      </c>
      <c r="C6" s="6">
        <v>2009</v>
      </c>
      <c r="D6" s="7" t="s">
        <v>46</v>
      </c>
    </row>
    <row r="7" spans="1:6" x14ac:dyDescent="0.3">
      <c r="A7" s="18" t="s">
        <v>21</v>
      </c>
      <c r="B7" s="14">
        <f>2202+187</f>
        <v>2389</v>
      </c>
      <c r="C7" s="14">
        <v>526</v>
      </c>
      <c r="D7" s="17">
        <f t="shared" ref="D7:D12" si="0">IF(B7&lt;&gt;0,(C7-B7)/B7,0)</f>
        <v>-0.77982419422352445</v>
      </c>
    </row>
    <row r="8" spans="1:6" x14ac:dyDescent="0.3">
      <c r="A8" s="18" t="s">
        <v>22</v>
      </c>
      <c r="B8" s="14">
        <v>2740396</v>
      </c>
      <c r="C8" s="14">
        <v>3179065</v>
      </c>
      <c r="D8" s="17">
        <f t="shared" si="0"/>
        <v>0.16007504024965735</v>
      </c>
      <c r="F8" s="2"/>
    </row>
    <row r="9" spans="1:6" x14ac:dyDescent="0.3">
      <c r="A9" s="18" t="s">
        <v>23</v>
      </c>
      <c r="B9" s="14">
        <v>31300</v>
      </c>
      <c r="C9" s="14">
        <v>22582</v>
      </c>
      <c r="D9" s="17">
        <f t="shared" si="0"/>
        <v>-0.27853035143769966</v>
      </c>
    </row>
    <row r="10" spans="1:6" x14ac:dyDescent="0.3">
      <c r="A10" s="18" t="s">
        <v>59</v>
      </c>
      <c r="B10" s="14">
        <v>209</v>
      </c>
      <c r="C10" s="14">
        <f>155+54</f>
        <v>209</v>
      </c>
      <c r="D10" s="17">
        <f t="shared" si="0"/>
        <v>0</v>
      </c>
    </row>
    <row r="11" spans="1:6" x14ac:dyDescent="0.3">
      <c r="A11" s="18" t="s">
        <v>26</v>
      </c>
      <c r="B11" s="14">
        <v>881044</v>
      </c>
      <c r="C11" s="14">
        <v>932765</v>
      </c>
      <c r="D11" s="17">
        <f t="shared" si="0"/>
        <v>5.8704219085539432E-2</v>
      </c>
    </row>
    <row r="12" spans="1:6" ht="15.75" thickBot="1" x14ac:dyDescent="0.35">
      <c r="A12" s="26" t="s">
        <v>27</v>
      </c>
      <c r="B12" s="27">
        <f>SUM(B7:B11)</f>
        <v>3655338</v>
      </c>
      <c r="C12" s="27">
        <f>SUM(C7:C11)</f>
        <v>4135147</v>
      </c>
      <c r="D12" s="46">
        <f t="shared" si="0"/>
        <v>0.1312625535586586</v>
      </c>
    </row>
    <row r="14" spans="1:6" x14ac:dyDescent="0.3">
      <c r="A14" s="6" t="s">
        <v>48</v>
      </c>
      <c r="B14" s="6">
        <v>2008</v>
      </c>
      <c r="C14" s="6">
        <v>2009</v>
      </c>
      <c r="D14" s="7" t="s">
        <v>46</v>
      </c>
    </row>
    <row r="15" spans="1:6" x14ac:dyDescent="0.3">
      <c r="A15" s="18" t="s">
        <v>28</v>
      </c>
      <c r="B15" s="14">
        <v>7163</v>
      </c>
      <c r="C15" s="14">
        <v>7123</v>
      </c>
      <c r="D15" s="17">
        <f t="shared" ref="D15:D23" si="1">IF(B15&lt;&gt;0,(C15-B15)/B15,0)</f>
        <v>-5.5842524082088509E-3</v>
      </c>
    </row>
    <row r="16" spans="1:6" x14ac:dyDescent="0.3">
      <c r="A16" s="18" t="s">
        <v>29</v>
      </c>
      <c r="B16" s="14">
        <v>158269</v>
      </c>
      <c r="C16" s="14">
        <v>176740</v>
      </c>
      <c r="D16" s="17">
        <f t="shared" si="1"/>
        <v>0.11670636700806854</v>
      </c>
    </row>
    <row r="17" spans="1:8" x14ac:dyDescent="0.3">
      <c r="A17" s="18" t="s">
        <v>30</v>
      </c>
      <c r="B17" s="14">
        <v>575</v>
      </c>
      <c r="C17" s="14">
        <v>2026</v>
      </c>
      <c r="D17" s="17">
        <f t="shared" si="1"/>
        <v>2.5234782608695654</v>
      </c>
    </row>
    <row r="18" spans="1:8" x14ac:dyDescent="0.3">
      <c r="A18" s="18" t="s">
        <v>31</v>
      </c>
      <c r="B18" s="14">
        <v>690</v>
      </c>
      <c r="C18" s="14">
        <v>991</v>
      </c>
      <c r="D18" s="17">
        <f t="shared" si="1"/>
        <v>0.43623188405797103</v>
      </c>
    </row>
    <row r="19" spans="1:8" x14ac:dyDescent="0.3">
      <c r="A19" s="18" t="s">
        <v>32</v>
      </c>
      <c r="B19" s="14">
        <v>388</v>
      </c>
      <c r="C19" s="14">
        <v>305</v>
      </c>
      <c r="D19" s="17">
        <f t="shared" si="1"/>
        <v>-0.21391752577319587</v>
      </c>
    </row>
    <row r="20" spans="1:8" x14ac:dyDescent="0.3">
      <c r="A20" s="18" t="s">
        <v>24</v>
      </c>
      <c r="B20" s="14">
        <v>12048</v>
      </c>
      <c r="C20" s="14">
        <v>13225</v>
      </c>
      <c r="D20" s="17">
        <f t="shared" si="1"/>
        <v>9.7692563081009293E-2</v>
      </c>
    </row>
    <row r="21" spans="1:8" s="9" customFormat="1" x14ac:dyDescent="0.3">
      <c r="A21" s="29" t="s">
        <v>33</v>
      </c>
      <c r="B21" s="30">
        <f>SUM(B15:B20)</f>
        <v>179133</v>
      </c>
      <c r="C21" s="30">
        <f>SUM(C15:C20)</f>
        <v>200410</v>
      </c>
      <c r="D21" s="42">
        <f t="shared" si="1"/>
        <v>0.11877766798970597</v>
      </c>
      <c r="G21" s="12"/>
    </row>
    <row r="22" spans="1:8" s="9" customFormat="1" x14ac:dyDescent="0.3">
      <c r="A22" s="31" t="s">
        <v>34</v>
      </c>
      <c r="B22" s="32">
        <v>3476205</v>
      </c>
      <c r="C22" s="32">
        <v>3934737</v>
      </c>
      <c r="D22" s="47">
        <f t="shared" si="1"/>
        <v>0.13190591463967172</v>
      </c>
      <c r="G22" s="12"/>
      <c r="H22" s="12"/>
    </row>
    <row r="23" spans="1:8" s="9" customFormat="1" ht="15.75" thickBot="1" x14ac:dyDescent="0.35">
      <c r="A23" s="26" t="s">
        <v>35</v>
      </c>
      <c r="B23" s="27">
        <f>+B21+B22</f>
        <v>3655338</v>
      </c>
      <c r="C23" s="27">
        <f>+C21+C22</f>
        <v>4135147</v>
      </c>
      <c r="D23" s="45">
        <f t="shared" si="1"/>
        <v>0.1312625535586586</v>
      </c>
      <c r="F23" s="60"/>
      <c r="G23" s="12"/>
      <c r="H23" s="12"/>
    </row>
    <row r="24" spans="1:8" x14ac:dyDescent="0.3">
      <c r="A24" s="18" t="s">
        <v>54</v>
      </c>
      <c r="B24" s="14">
        <v>435123458</v>
      </c>
      <c r="C24" s="14">
        <v>435123458</v>
      </c>
      <c r="D24" s="17"/>
      <c r="H24" s="11"/>
    </row>
    <row r="25" spans="1:8" x14ac:dyDescent="0.3">
      <c r="A25" s="18" t="s">
        <v>71</v>
      </c>
      <c r="B25" s="33">
        <f>+B22/+(B24/1000000)</f>
        <v>7989.008489631924</v>
      </c>
      <c r="C25" s="33">
        <f>+C22/+(C24/1000000)</f>
        <v>9042.805961520924</v>
      </c>
      <c r="D25" s="17"/>
      <c r="H25" s="11"/>
    </row>
    <row r="26" spans="1:8" x14ac:dyDescent="0.3">
      <c r="G26" s="13"/>
      <c r="H26" s="13"/>
    </row>
    <row r="27" spans="1:8" x14ac:dyDescent="0.3">
      <c r="A27" s="6" t="s">
        <v>70</v>
      </c>
      <c r="B27" s="6">
        <v>2008</v>
      </c>
      <c r="C27" s="6">
        <v>2009</v>
      </c>
      <c r="D27" s="6" t="s">
        <v>46</v>
      </c>
      <c r="H27" s="13"/>
    </row>
    <row r="28" spans="1:8" x14ac:dyDescent="0.3">
      <c r="A28" s="19" t="s">
        <v>66</v>
      </c>
      <c r="B28" s="17"/>
      <c r="C28" s="17"/>
      <c r="D28" s="34"/>
    </row>
    <row r="29" spans="1:8" x14ac:dyDescent="0.3">
      <c r="A29" s="19" t="s">
        <v>44</v>
      </c>
      <c r="B29" s="17"/>
      <c r="C29" s="17"/>
      <c r="D29" s="34"/>
    </row>
    <row r="30" spans="1:8" x14ac:dyDescent="0.3">
      <c r="A30" s="19" t="s">
        <v>45</v>
      </c>
      <c r="B30" s="17"/>
      <c r="C30" s="17"/>
      <c r="D30" s="34"/>
    </row>
    <row r="31" spans="1:8" s="9" customFormat="1" x14ac:dyDescent="0.3">
      <c r="A31" s="19" t="s">
        <v>72</v>
      </c>
      <c r="B31" s="30">
        <f>-15295+77743</f>
        <v>62448</v>
      </c>
      <c r="C31" s="30">
        <v>54575</v>
      </c>
      <c r="D31" s="17">
        <f>IF(B31&lt;&gt;0,(C31-B31)/B31,0)</f>
        <v>-0.12607289264668203</v>
      </c>
      <c r="G31" s="12"/>
    </row>
    <row r="32" spans="1:8" x14ac:dyDescent="0.3">
      <c r="A32" s="19" t="s">
        <v>5</v>
      </c>
      <c r="B32" s="14">
        <v>2704</v>
      </c>
      <c r="C32" s="14">
        <v>0</v>
      </c>
      <c r="D32" s="17">
        <f t="shared" ref="D32:D42" si="2">IF(B32&lt;&gt;0,(C32-B32)/B32,0)</f>
        <v>-1</v>
      </c>
    </row>
    <row r="33" spans="1:7" s="9" customFormat="1" x14ac:dyDescent="0.3">
      <c r="A33" s="19" t="s">
        <v>57</v>
      </c>
      <c r="B33" s="14">
        <v>2991</v>
      </c>
      <c r="C33" s="14">
        <v>2934</v>
      </c>
      <c r="D33" s="17">
        <f t="shared" si="2"/>
        <v>-1.9057171514543631E-2</v>
      </c>
      <c r="G33" s="12"/>
    </row>
    <row r="34" spans="1:7" s="9" customFormat="1" x14ac:dyDescent="0.3">
      <c r="A34" s="19" t="s">
        <v>56</v>
      </c>
      <c r="B34" s="14">
        <f>47+1301</f>
        <v>1348</v>
      </c>
      <c r="C34" s="14">
        <f>3+1736</f>
        <v>1739</v>
      </c>
      <c r="D34" s="17">
        <f t="shared" si="2"/>
        <v>0.2900593471810089</v>
      </c>
      <c r="G34" s="12"/>
    </row>
    <row r="35" spans="1:7" s="9" customFormat="1" x14ac:dyDescent="0.3">
      <c r="A35" s="35" t="s">
        <v>4</v>
      </c>
      <c r="B35" s="30">
        <f>SUM(B31:B34)</f>
        <v>69491</v>
      </c>
      <c r="C35" s="30">
        <f>SUM(C31:C34)</f>
        <v>59248</v>
      </c>
      <c r="D35" s="17">
        <f t="shared" si="2"/>
        <v>-0.14740038278338202</v>
      </c>
      <c r="G35" s="12"/>
    </row>
    <row r="36" spans="1:7" x14ac:dyDescent="0.3">
      <c r="A36" s="19" t="s">
        <v>58</v>
      </c>
      <c r="B36" s="14">
        <v>-1634</v>
      </c>
      <c r="C36" s="14">
        <v>-2544</v>
      </c>
      <c r="D36" s="17">
        <f t="shared" si="2"/>
        <v>0.55691554467564264</v>
      </c>
    </row>
    <row r="37" spans="1:7" s="9" customFormat="1" x14ac:dyDescent="0.3">
      <c r="A37" s="35" t="s">
        <v>42</v>
      </c>
      <c r="B37" s="30">
        <f>SUM(B35:B36)</f>
        <v>67857</v>
      </c>
      <c r="C37" s="30">
        <f>SUM(C35:C36)</f>
        <v>56704</v>
      </c>
      <c r="D37" s="17">
        <f t="shared" si="2"/>
        <v>-0.1643603460217811</v>
      </c>
      <c r="G37" s="12"/>
    </row>
    <row r="38" spans="1:7" s="9" customFormat="1" x14ac:dyDescent="0.3">
      <c r="A38" s="19" t="s">
        <v>10</v>
      </c>
      <c r="B38" s="14">
        <v>164</v>
      </c>
      <c r="C38" s="14">
        <v>104</v>
      </c>
      <c r="D38" s="17">
        <f t="shared" si="2"/>
        <v>-0.36585365853658536</v>
      </c>
      <c r="F38" s="60"/>
      <c r="G38" s="12"/>
    </row>
    <row r="39" spans="1:7" x14ac:dyDescent="0.3">
      <c r="A39" s="19" t="s">
        <v>13</v>
      </c>
      <c r="B39" s="14">
        <v>-59</v>
      </c>
      <c r="C39" s="14">
        <v>-30</v>
      </c>
      <c r="D39" s="17">
        <f t="shared" si="2"/>
        <v>-0.49152542372881358</v>
      </c>
    </row>
    <row r="40" spans="1:7" s="9" customFormat="1" x14ac:dyDescent="0.3">
      <c r="A40" s="35" t="s">
        <v>43</v>
      </c>
      <c r="B40" s="30">
        <f>SUM(B37:B39)</f>
        <v>67962</v>
      </c>
      <c r="C40" s="30">
        <f>SUM(C37:C39)</f>
        <v>56778</v>
      </c>
      <c r="D40" s="17">
        <f t="shared" si="2"/>
        <v>-0.16456254966010417</v>
      </c>
      <c r="G40" s="12"/>
    </row>
    <row r="41" spans="1:7" x14ac:dyDescent="0.3">
      <c r="A41" s="19" t="s">
        <v>15</v>
      </c>
      <c r="B41" s="14">
        <v>-48</v>
      </c>
      <c r="C41" s="14">
        <v>-19</v>
      </c>
      <c r="D41" s="17">
        <f t="shared" si="2"/>
        <v>-0.60416666666666663</v>
      </c>
    </row>
    <row r="42" spans="1:7" ht="15.75" thickBot="1" x14ac:dyDescent="0.35">
      <c r="A42" s="36" t="s">
        <v>17</v>
      </c>
      <c r="B42" s="37">
        <f>SUM(B40:B41)</f>
        <v>67914</v>
      </c>
      <c r="C42" s="37">
        <f>SUM(C40:C41)</f>
        <v>56759</v>
      </c>
      <c r="D42" s="45">
        <f t="shared" si="2"/>
        <v>-0.1642518479253173</v>
      </c>
    </row>
    <row r="44" spans="1:7" x14ac:dyDescent="0.3">
      <c r="A44" s="19"/>
      <c r="B44" s="14"/>
      <c r="C44" s="14"/>
      <c r="D44" s="17"/>
    </row>
  </sheetData>
  <phoneticPr fontId="0" type="noConversion"/>
  <pageMargins left="0.70866141732283472" right="0.43307086614173229" top="0.47244094488188981" bottom="0.39370078740157483" header="0.31496062992125984" footer="0.18"/>
  <pageSetup orientation="portrait" r:id="rId1"/>
  <headerFooter>
    <oddFooter>&amp;L&amp;A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8"/>
  <sheetViews>
    <sheetView topLeftCell="A19" workbookViewId="0">
      <selection activeCell="A37" sqref="A37:A55"/>
    </sheetView>
  </sheetViews>
  <sheetFormatPr baseColWidth="10" defaultColWidth="11.42578125" defaultRowHeight="15" x14ac:dyDescent="0.3"/>
  <cols>
    <col min="1" max="1" width="43.42578125" style="5" customWidth="1"/>
    <col min="2" max="3" width="11.7109375" style="2" bestFit="1" customWidth="1"/>
    <col min="4" max="4" width="13.28515625" style="3" bestFit="1" customWidth="1"/>
    <col min="5" max="5" width="11.42578125" style="3"/>
    <col min="6" max="6" width="9.28515625" style="4" bestFit="1" customWidth="1"/>
    <col min="7" max="16384" width="11.42578125" style="5"/>
  </cols>
  <sheetData>
    <row r="1" spans="1:5" x14ac:dyDescent="0.3">
      <c r="A1" s="24" t="s">
        <v>40</v>
      </c>
    </row>
    <row r="2" spans="1:5" x14ac:dyDescent="0.3">
      <c r="A2" s="24" t="s">
        <v>67</v>
      </c>
    </row>
    <row r="3" spans="1:5" x14ac:dyDescent="0.3">
      <c r="A3" s="24" t="s">
        <v>44</v>
      </c>
    </row>
    <row r="4" spans="1:5" x14ac:dyDescent="0.3">
      <c r="A4" s="24" t="s">
        <v>45</v>
      </c>
    </row>
    <row r="6" spans="1:5" x14ac:dyDescent="0.3">
      <c r="A6" s="6" t="s">
        <v>20</v>
      </c>
      <c r="B6" s="6">
        <v>2005</v>
      </c>
      <c r="C6" s="6">
        <v>2006</v>
      </c>
      <c r="D6" s="7" t="s">
        <v>46</v>
      </c>
      <c r="E6" s="16"/>
    </row>
    <row r="7" spans="1:5" x14ac:dyDescent="0.3">
      <c r="A7" s="18" t="s">
        <v>21</v>
      </c>
      <c r="B7" s="14">
        <v>121469</v>
      </c>
      <c r="C7" s="14">
        <v>147021</v>
      </c>
      <c r="D7" s="17">
        <f t="shared" ref="D7:D16" si="0">+(C7-B7)/B7</f>
        <v>0.2103581983880661</v>
      </c>
      <c r="E7" s="17"/>
    </row>
    <row r="8" spans="1:5" x14ac:dyDescent="0.3">
      <c r="A8" s="18" t="s">
        <v>22</v>
      </c>
      <c r="B8" s="14">
        <v>328742</v>
      </c>
      <c r="C8" s="14">
        <v>323226</v>
      </c>
      <c r="D8" s="17">
        <f t="shared" si="0"/>
        <v>-1.6779115537412317E-2</v>
      </c>
      <c r="E8" s="17"/>
    </row>
    <row r="9" spans="1:5" x14ac:dyDescent="0.3">
      <c r="A9" s="18" t="s">
        <v>23</v>
      </c>
      <c r="B9" s="14">
        <v>292269</v>
      </c>
      <c r="C9" s="14">
        <v>381730</v>
      </c>
      <c r="D9" s="17">
        <f t="shared" si="0"/>
        <v>0.30609130629659664</v>
      </c>
      <c r="E9" s="17"/>
    </row>
    <row r="10" spans="1:5" x14ac:dyDescent="0.3">
      <c r="A10" s="18" t="s">
        <v>36</v>
      </c>
      <c r="B10" s="14">
        <v>274553</v>
      </c>
      <c r="C10" s="14">
        <v>371699</v>
      </c>
      <c r="D10" s="17">
        <f t="shared" si="0"/>
        <v>0.353833321799434</v>
      </c>
      <c r="E10" s="17"/>
    </row>
    <row r="11" spans="1:5" x14ac:dyDescent="0.3">
      <c r="A11" s="18" t="s">
        <v>60</v>
      </c>
      <c r="B11" s="14">
        <v>456824</v>
      </c>
      <c r="C11" s="14">
        <v>561031</v>
      </c>
      <c r="D11" s="17">
        <f t="shared" si="0"/>
        <v>0.22811192056459381</v>
      </c>
      <c r="E11" s="17"/>
    </row>
    <row r="12" spans="1:5" x14ac:dyDescent="0.3">
      <c r="A12" s="18" t="s">
        <v>47</v>
      </c>
      <c r="B12" s="14">
        <v>63266</v>
      </c>
      <c r="C12" s="14">
        <v>621440</v>
      </c>
      <c r="D12" s="17">
        <f t="shared" si="0"/>
        <v>8.8226535579932346</v>
      </c>
      <c r="E12" s="17"/>
    </row>
    <row r="13" spans="1:5" x14ac:dyDescent="0.3">
      <c r="A13" s="18" t="s">
        <v>24</v>
      </c>
      <c r="B13" s="14">
        <v>12635</v>
      </c>
      <c r="C13" s="14">
        <v>23420</v>
      </c>
      <c r="D13" s="17">
        <f t="shared" si="0"/>
        <v>0.85358132172536605</v>
      </c>
      <c r="E13" s="17"/>
    </row>
    <row r="14" spans="1:5" x14ac:dyDescent="0.3">
      <c r="A14" s="18" t="s">
        <v>25</v>
      </c>
      <c r="B14" s="14">
        <v>3714</v>
      </c>
      <c r="C14" s="14">
        <v>11893</v>
      </c>
      <c r="D14" s="17">
        <f t="shared" si="0"/>
        <v>2.2022078621432417</v>
      </c>
      <c r="E14" s="17"/>
    </row>
    <row r="15" spans="1:5" x14ac:dyDescent="0.3">
      <c r="A15" s="18" t="s">
        <v>26</v>
      </c>
      <c r="B15" s="14">
        <v>2468685</v>
      </c>
      <c r="C15" s="14">
        <v>2591441</v>
      </c>
      <c r="D15" s="17">
        <f t="shared" si="0"/>
        <v>4.9725258589086906E-2</v>
      </c>
      <c r="E15" s="17"/>
    </row>
    <row r="16" spans="1:5" ht="15.75" thickBot="1" x14ac:dyDescent="0.35">
      <c r="A16" s="26" t="s">
        <v>27</v>
      </c>
      <c r="B16" s="27">
        <f>SUM(B7:B15)</f>
        <v>4022157</v>
      </c>
      <c r="C16" s="27">
        <f>SUM(C7:C15)</f>
        <v>5032901</v>
      </c>
      <c r="D16" s="45">
        <f t="shared" si="0"/>
        <v>0.25129401960192005</v>
      </c>
      <c r="E16" s="17"/>
    </row>
    <row r="17" spans="1:5" x14ac:dyDescent="0.3">
      <c r="A17" s="1"/>
      <c r="D17" s="17"/>
      <c r="E17" s="17"/>
    </row>
    <row r="18" spans="1:5" x14ac:dyDescent="0.3">
      <c r="A18" s="6" t="s">
        <v>48</v>
      </c>
      <c r="B18" s="6">
        <v>2005</v>
      </c>
      <c r="C18" s="6">
        <v>2006</v>
      </c>
      <c r="D18" s="7" t="s">
        <v>46</v>
      </c>
      <c r="E18" s="17"/>
    </row>
    <row r="19" spans="1:5" x14ac:dyDescent="0.3">
      <c r="A19" s="18" t="s">
        <v>28</v>
      </c>
      <c r="B19" s="14">
        <v>41040</v>
      </c>
      <c r="C19" s="14">
        <v>705877</v>
      </c>
      <c r="D19" s="17">
        <f t="shared" ref="D19:D30" si="1">+(C19-B19)/B19</f>
        <v>16.199731968810916</v>
      </c>
      <c r="E19" s="17"/>
    </row>
    <row r="20" spans="1:5" x14ac:dyDescent="0.3">
      <c r="A20" s="18" t="s">
        <v>49</v>
      </c>
      <c r="B20" s="14">
        <v>111023</v>
      </c>
      <c r="C20" s="14">
        <v>146194</v>
      </c>
      <c r="D20" s="17">
        <f t="shared" si="1"/>
        <v>0.31679021464020968</v>
      </c>
      <c r="E20" s="17"/>
    </row>
    <row r="21" spans="1:5" x14ac:dyDescent="0.3">
      <c r="A21" s="18" t="s">
        <v>38</v>
      </c>
      <c r="B21" s="14">
        <v>59396</v>
      </c>
      <c r="C21" s="14">
        <v>108992</v>
      </c>
      <c r="D21" s="17">
        <f t="shared" si="1"/>
        <v>0.83500572429119801</v>
      </c>
      <c r="E21" s="17"/>
    </row>
    <row r="22" spans="1:5" x14ac:dyDescent="0.3">
      <c r="A22" s="18" t="s">
        <v>30</v>
      </c>
      <c r="B22" s="14">
        <v>55165</v>
      </c>
      <c r="C22" s="14">
        <v>54299</v>
      </c>
      <c r="D22" s="17">
        <f t="shared" si="1"/>
        <v>-1.5698359467053384E-2</v>
      </c>
      <c r="E22" s="17"/>
    </row>
    <row r="23" spans="1:5" x14ac:dyDescent="0.3">
      <c r="A23" s="18" t="s">
        <v>31</v>
      </c>
      <c r="B23" s="14">
        <v>34448</v>
      </c>
      <c r="C23" s="14">
        <v>46282</v>
      </c>
      <c r="D23" s="17">
        <f t="shared" si="1"/>
        <v>0.3435322805387831</v>
      </c>
      <c r="E23" s="17"/>
    </row>
    <row r="24" spans="1:5" x14ac:dyDescent="0.3">
      <c r="A24" s="18" t="s">
        <v>32</v>
      </c>
      <c r="B24" s="14">
        <v>33024</v>
      </c>
      <c r="C24" s="14">
        <v>38698</v>
      </c>
      <c r="D24" s="17">
        <f t="shared" si="1"/>
        <v>0.17181443798449614</v>
      </c>
      <c r="E24" s="17"/>
    </row>
    <row r="25" spans="1:5" x14ac:dyDescent="0.3">
      <c r="A25" s="18" t="s">
        <v>24</v>
      </c>
      <c r="B25" s="14">
        <v>12261</v>
      </c>
      <c r="C25" s="14">
        <v>10307</v>
      </c>
      <c r="D25" s="17">
        <f t="shared" si="1"/>
        <v>-0.15936709893157164</v>
      </c>
      <c r="E25" s="17"/>
    </row>
    <row r="26" spans="1:5" x14ac:dyDescent="0.3">
      <c r="A26" s="18" t="s">
        <v>0</v>
      </c>
      <c r="B26" s="14">
        <v>938</v>
      </c>
      <c r="C26" s="14">
        <v>1750</v>
      </c>
      <c r="D26" s="17">
        <f t="shared" si="1"/>
        <v>0.86567164179104472</v>
      </c>
      <c r="E26" s="17"/>
    </row>
    <row r="27" spans="1:5" x14ac:dyDescent="0.3">
      <c r="A27" s="18" t="s">
        <v>33</v>
      </c>
      <c r="B27" s="14">
        <f>SUM(B19:B26)</f>
        <v>347295</v>
      </c>
      <c r="C27" s="14">
        <f>SUM(C19:C26)</f>
        <v>1112399</v>
      </c>
      <c r="D27" s="17">
        <f t="shared" si="1"/>
        <v>2.2030377632848155</v>
      </c>
      <c r="E27" s="17"/>
    </row>
    <row r="28" spans="1:5" x14ac:dyDescent="0.3">
      <c r="A28" s="18" t="s">
        <v>39</v>
      </c>
      <c r="B28" s="14">
        <v>2519</v>
      </c>
      <c r="C28" s="14">
        <v>2618</v>
      </c>
      <c r="D28" s="17">
        <f t="shared" si="1"/>
        <v>3.9301310043668124E-2</v>
      </c>
      <c r="E28" s="17"/>
    </row>
    <row r="29" spans="1:5" x14ac:dyDescent="0.3">
      <c r="A29" s="31" t="s">
        <v>34</v>
      </c>
      <c r="B29" s="32">
        <v>3672343</v>
      </c>
      <c r="C29" s="32">
        <v>3917884</v>
      </c>
      <c r="D29" s="47">
        <f t="shared" si="1"/>
        <v>6.6862218480136529E-2</v>
      </c>
      <c r="E29" s="17"/>
    </row>
    <row r="30" spans="1:5" ht="15.75" thickBot="1" x14ac:dyDescent="0.35">
      <c r="A30" s="39" t="s">
        <v>35</v>
      </c>
      <c r="B30" s="40">
        <f>+B27+B28+B29</f>
        <v>4022157</v>
      </c>
      <c r="C30" s="40">
        <f>+C27+C28+C29</f>
        <v>5032901</v>
      </c>
      <c r="D30" s="49">
        <f t="shared" si="1"/>
        <v>0.25129401960192005</v>
      </c>
      <c r="E30" s="17"/>
    </row>
    <row r="31" spans="1:5" x14ac:dyDescent="0.3">
      <c r="A31" s="19"/>
      <c r="B31" s="14"/>
      <c r="C31" s="14"/>
      <c r="D31" s="17"/>
      <c r="E31" s="17"/>
    </row>
    <row r="32" spans="1:5" x14ac:dyDescent="0.3">
      <c r="A32" s="41" t="s">
        <v>3</v>
      </c>
      <c r="B32" s="14"/>
      <c r="C32" s="14"/>
      <c r="D32" s="17"/>
    </row>
    <row r="33" spans="1:6" x14ac:dyDescent="0.3">
      <c r="A33" s="41" t="s">
        <v>68</v>
      </c>
      <c r="B33" s="14"/>
      <c r="C33" s="14"/>
      <c r="D33" s="17"/>
    </row>
    <row r="34" spans="1:6" x14ac:dyDescent="0.3">
      <c r="A34" s="41" t="s">
        <v>44</v>
      </c>
      <c r="B34" s="14"/>
      <c r="C34" s="14"/>
      <c r="D34" s="17"/>
    </row>
    <row r="35" spans="1:6" x14ac:dyDescent="0.3">
      <c r="A35" s="41" t="s">
        <v>45</v>
      </c>
      <c r="B35" s="14"/>
      <c r="C35" s="14"/>
      <c r="D35" s="17"/>
    </row>
    <row r="36" spans="1:6" x14ac:dyDescent="0.3">
      <c r="A36" s="6"/>
      <c r="B36" s="6">
        <v>2005</v>
      </c>
      <c r="C36" s="6" t="s">
        <v>55</v>
      </c>
      <c r="D36" s="6">
        <v>2006</v>
      </c>
      <c r="E36" s="7" t="s">
        <v>55</v>
      </c>
      <c r="F36" s="7" t="s">
        <v>46</v>
      </c>
    </row>
    <row r="37" spans="1:6" s="9" customFormat="1" x14ac:dyDescent="0.3">
      <c r="A37" s="30" t="s">
        <v>4</v>
      </c>
      <c r="B37" s="30">
        <v>2297199</v>
      </c>
      <c r="C37" s="42">
        <v>1</v>
      </c>
      <c r="D37" s="30">
        <v>2872015</v>
      </c>
      <c r="E37" s="42">
        <v>1</v>
      </c>
      <c r="F37" s="42">
        <f t="shared" ref="F37:F55" si="2">+(D37-B37)/B37</f>
        <v>0.25022473020404412</v>
      </c>
    </row>
    <row r="38" spans="1:6" x14ac:dyDescent="0.3">
      <c r="A38" s="14" t="s">
        <v>50</v>
      </c>
      <c r="B38" s="14">
        <v>-1428204</v>
      </c>
      <c r="C38" s="17">
        <f t="shared" ref="C38:C55" si="3">+B38/$B$37</f>
        <v>-0.62171540210491127</v>
      </c>
      <c r="D38" s="14">
        <v>-1760636</v>
      </c>
      <c r="E38" s="17">
        <f>+D38/$D$37</f>
        <v>-0.61303161717470134</v>
      </c>
      <c r="F38" s="17">
        <f t="shared" si="2"/>
        <v>0.2327622664549322</v>
      </c>
    </row>
    <row r="39" spans="1:6" s="9" customFormat="1" x14ac:dyDescent="0.3">
      <c r="A39" s="30" t="s">
        <v>6</v>
      </c>
      <c r="B39" s="30">
        <f>SUM(B37:B38)</f>
        <v>868995</v>
      </c>
      <c r="C39" s="42">
        <f t="shared" si="3"/>
        <v>0.37828459789508878</v>
      </c>
      <c r="D39" s="30">
        <f>SUM(D37:D38)</f>
        <v>1111379</v>
      </c>
      <c r="E39" s="42">
        <f t="shared" ref="E39:E55" si="4">+D39/$D$37</f>
        <v>0.38696838282529861</v>
      </c>
      <c r="F39" s="42">
        <f t="shared" si="2"/>
        <v>0.27892450474398589</v>
      </c>
    </row>
    <row r="40" spans="1:6" x14ac:dyDescent="0.3">
      <c r="A40" s="14" t="s">
        <v>7</v>
      </c>
      <c r="B40" s="14">
        <v>-95853</v>
      </c>
      <c r="C40" s="17">
        <f t="shared" si="3"/>
        <v>-4.1726032442117554E-2</v>
      </c>
      <c r="D40" s="14">
        <v>-127200</v>
      </c>
      <c r="E40" s="17">
        <f t="shared" si="4"/>
        <v>-4.4289462276485322E-2</v>
      </c>
      <c r="F40" s="17">
        <f t="shared" si="2"/>
        <v>0.32703201777722135</v>
      </c>
    </row>
    <row r="41" spans="1:6" x14ac:dyDescent="0.3">
      <c r="A41" s="14" t="s">
        <v>8</v>
      </c>
      <c r="B41" s="14">
        <v>-509961</v>
      </c>
      <c r="C41" s="17">
        <f t="shared" si="3"/>
        <v>-0.22199252219768509</v>
      </c>
      <c r="D41" s="14">
        <v>-684105</v>
      </c>
      <c r="E41" s="17">
        <f t="shared" si="4"/>
        <v>-0.23819687571269649</v>
      </c>
      <c r="F41" s="17">
        <f t="shared" si="2"/>
        <v>0.34148493708342403</v>
      </c>
    </row>
    <row r="42" spans="1:6" s="9" customFormat="1" x14ac:dyDescent="0.3">
      <c r="A42" s="30" t="s">
        <v>9</v>
      </c>
      <c r="B42" s="30">
        <f>SUM(B40:B41)</f>
        <v>-605814</v>
      </c>
      <c r="C42" s="42">
        <f t="shared" si="3"/>
        <v>-0.26371855463980265</v>
      </c>
      <c r="D42" s="30">
        <f>SUM(D40:D41)</f>
        <v>-811305</v>
      </c>
      <c r="E42" s="42">
        <f t="shared" si="4"/>
        <v>-0.28248633798918182</v>
      </c>
      <c r="F42" s="42">
        <f t="shared" si="2"/>
        <v>0.33919816973526529</v>
      </c>
    </row>
    <row r="43" spans="1:6" s="9" customFormat="1" x14ac:dyDescent="0.3">
      <c r="A43" s="30" t="s">
        <v>1</v>
      </c>
      <c r="B43" s="30">
        <f>+B39+B42</f>
        <v>263181</v>
      </c>
      <c r="C43" s="42">
        <f t="shared" si="3"/>
        <v>0.11456604325528612</v>
      </c>
      <c r="D43" s="30">
        <f>+D39+D42</f>
        <v>300074</v>
      </c>
      <c r="E43" s="42">
        <f t="shared" si="4"/>
        <v>0.1044820448361168</v>
      </c>
      <c r="F43" s="42">
        <f t="shared" si="2"/>
        <v>0.14018109210011362</v>
      </c>
    </row>
    <row r="44" spans="1:6" x14ac:dyDescent="0.3">
      <c r="A44" s="14" t="s">
        <v>51</v>
      </c>
      <c r="B44" s="30">
        <v>14213</v>
      </c>
      <c r="C44" s="17">
        <f t="shared" si="3"/>
        <v>6.1871000292094847E-3</v>
      </c>
      <c r="D44" s="14">
        <v>13821</v>
      </c>
      <c r="E44" s="17">
        <f t="shared" si="4"/>
        <v>4.8123007714096205E-3</v>
      </c>
      <c r="F44" s="17">
        <f t="shared" si="2"/>
        <v>-2.7580384155350735E-2</v>
      </c>
    </row>
    <row r="45" spans="1:6" x14ac:dyDescent="0.3">
      <c r="A45" s="14" t="s">
        <v>11</v>
      </c>
      <c r="B45" s="30">
        <v>-25197</v>
      </c>
      <c r="C45" s="17">
        <f t="shared" si="3"/>
        <v>-1.0968575208329796E-2</v>
      </c>
      <c r="D45" s="14">
        <v>-64413</v>
      </c>
      <c r="E45" s="17">
        <f t="shared" si="4"/>
        <v>-2.2427807654207935E-2</v>
      </c>
      <c r="F45" s="17">
        <f t="shared" si="2"/>
        <v>1.5563757590189309</v>
      </c>
    </row>
    <row r="46" spans="1:6" x14ac:dyDescent="0.3">
      <c r="A46" s="14" t="s">
        <v>12</v>
      </c>
      <c r="B46" s="30">
        <v>-24458</v>
      </c>
      <c r="C46" s="17">
        <f t="shared" si="3"/>
        <v>-1.0646879090579441E-2</v>
      </c>
      <c r="D46" s="14">
        <v>-32576</v>
      </c>
      <c r="E46" s="17">
        <f t="shared" si="4"/>
        <v>-1.1342559144015612E-2</v>
      </c>
      <c r="F46" s="17">
        <f t="shared" si="2"/>
        <v>0.33191593752555398</v>
      </c>
    </row>
    <row r="47" spans="1:6" x14ac:dyDescent="0.3">
      <c r="A47" s="14" t="s">
        <v>52</v>
      </c>
      <c r="B47" s="30">
        <v>-1493</v>
      </c>
      <c r="C47" s="17">
        <f t="shared" si="3"/>
        <v>-6.4992192665937957E-4</v>
      </c>
      <c r="D47" s="14">
        <v>-70809</v>
      </c>
      <c r="E47" s="17">
        <f t="shared" si="4"/>
        <v>-2.4654815521506678E-2</v>
      </c>
      <c r="F47" s="17">
        <f t="shared" si="2"/>
        <v>46.427327528466172</v>
      </c>
    </row>
    <row r="48" spans="1:6" x14ac:dyDescent="0.3">
      <c r="A48" s="14" t="s">
        <v>14</v>
      </c>
      <c r="B48" s="30">
        <v>22218</v>
      </c>
      <c r="C48" s="17">
        <f t="shared" si="3"/>
        <v>9.6717785442184158E-3</v>
      </c>
      <c r="D48" s="14">
        <v>29348</v>
      </c>
      <c r="E48" s="17">
        <f t="shared" si="4"/>
        <v>1.0218609582470844E-2</v>
      </c>
      <c r="F48" s="17">
        <f t="shared" si="2"/>
        <v>0.32091097308488614</v>
      </c>
    </row>
    <row r="49" spans="1:6" x14ac:dyDescent="0.3">
      <c r="A49" s="14" t="s">
        <v>16</v>
      </c>
      <c r="B49" s="30">
        <v>18955</v>
      </c>
      <c r="C49" s="17">
        <f t="shared" si="3"/>
        <v>8.2513530608362626E-3</v>
      </c>
      <c r="D49" s="14">
        <v>71319</v>
      </c>
      <c r="E49" s="17">
        <f t="shared" si="4"/>
        <v>2.4832391195728436E-2</v>
      </c>
      <c r="F49" s="17">
        <f t="shared" si="2"/>
        <v>2.7625428646795043</v>
      </c>
    </row>
    <row r="50" spans="1:6" s="9" customFormat="1" x14ac:dyDescent="0.3">
      <c r="A50" s="30" t="s">
        <v>2</v>
      </c>
      <c r="B50" s="30">
        <f>SUM(B44:B49)</f>
        <v>4238</v>
      </c>
      <c r="C50" s="42">
        <f t="shared" si="3"/>
        <v>1.8448554086955462E-3</v>
      </c>
      <c r="D50" s="30">
        <f>SUM(D44:D49)</f>
        <v>-53310</v>
      </c>
      <c r="E50" s="42">
        <f t="shared" si="4"/>
        <v>-1.8561880770121327E-2</v>
      </c>
      <c r="F50" s="42">
        <f t="shared" si="2"/>
        <v>-13.579046720151014</v>
      </c>
    </row>
    <row r="51" spans="1:6" s="9" customFormat="1" x14ac:dyDescent="0.3">
      <c r="A51" s="30" t="s">
        <v>41</v>
      </c>
      <c r="B51" s="30">
        <f>+B43+B50</f>
        <v>267419</v>
      </c>
      <c r="C51" s="42">
        <f t="shared" si="3"/>
        <v>0.11641089866398166</v>
      </c>
      <c r="D51" s="30">
        <f>+D43+D50</f>
        <v>246764</v>
      </c>
      <c r="E51" s="42">
        <f t="shared" si="4"/>
        <v>8.592016406599548E-2</v>
      </c>
      <c r="F51" s="42">
        <f t="shared" si="2"/>
        <v>-7.7238341329524077E-2</v>
      </c>
    </row>
    <row r="52" spans="1:6" x14ac:dyDescent="0.3">
      <c r="A52" s="14" t="s">
        <v>15</v>
      </c>
      <c r="B52" s="30">
        <v>-84076</v>
      </c>
      <c r="C52" s="17">
        <f t="shared" si="3"/>
        <v>-3.6599354257075681E-2</v>
      </c>
      <c r="D52" s="14">
        <v>-70246</v>
      </c>
      <c r="E52" s="17">
        <f t="shared" si="4"/>
        <v>-2.4458785904669718E-2</v>
      </c>
      <c r="F52" s="17">
        <f t="shared" si="2"/>
        <v>-0.16449402921166564</v>
      </c>
    </row>
    <row r="53" spans="1:6" x14ac:dyDescent="0.3">
      <c r="A53" s="14" t="s">
        <v>18</v>
      </c>
      <c r="B53" s="30">
        <v>-23</v>
      </c>
      <c r="C53" s="17">
        <f t="shared" si="3"/>
        <v>-1.0012193109956951E-5</v>
      </c>
      <c r="D53" s="14">
        <v>17</v>
      </c>
      <c r="E53" s="17">
        <f t="shared" si="4"/>
        <v>5.9191891407252398E-6</v>
      </c>
      <c r="F53" s="17">
        <f t="shared" si="2"/>
        <v>-1.7391304347826086</v>
      </c>
    </row>
    <row r="54" spans="1:6" s="9" customFormat="1" x14ac:dyDescent="0.3">
      <c r="A54" s="43" t="s">
        <v>17</v>
      </c>
      <c r="B54" s="43">
        <f>+B51+B52+B53</f>
        <v>183320</v>
      </c>
      <c r="C54" s="44">
        <f t="shared" si="3"/>
        <v>7.9801532213796017E-2</v>
      </c>
      <c r="D54" s="43">
        <f>+D51+D52+D53</f>
        <v>176535</v>
      </c>
      <c r="E54" s="44">
        <f t="shared" si="4"/>
        <v>6.1467297350466486E-2</v>
      </c>
      <c r="F54" s="44">
        <f t="shared" si="2"/>
        <v>-3.7011782675103647E-2</v>
      </c>
    </row>
    <row r="55" spans="1:6" s="9" customFormat="1" ht="15.75" thickBot="1" x14ac:dyDescent="0.35">
      <c r="A55" s="27" t="s">
        <v>19</v>
      </c>
      <c r="B55" s="27">
        <f>326457*0+317502</f>
        <v>317502</v>
      </c>
      <c r="C55" s="45">
        <f t="shared" si="3"/>
        <v>0.13821266681728486</v>
      </c>
      <c r="D55" s="27">
        <v>382594</v>
      </c>
      <c r="E55" s="45">
        <f t="shared" si="4"/>
        <v>0.13321448530039015</v>
      </c>
      <c r="F55" s="45">
        <f t="shared" si="2"/>
        <v>0.20501288180861854</v>
      </c>
    </row>
    <row r="56" spans="1:6" x14ac:dyDescent="0.3">
      <c r="A56" s="2"/>
      <c r="C56" s="3"/>
      <c r="D56" s="10"/>
    </row>
    <row r="57" spans="1:6" x14ac:dyDescent="0.3">
      <c r="A57" s="19"/>
      <c r="C57" s="3"/>
      <c r="D57" s="10"/>
    </row>
    <row r="58" spans="1:6" x14ac:dyDescent="0.3">
      <c r="D58" s="10"/>
    </row>
  </sheetData>
  <phoneticPr fontId="0" type="noConversion"/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58"/>
  <sheetViews>
    <sheetView zoomScale="87" zoomScaleNormal="87" workbookViewId="0">
      <selection activeCell="D31" sqref="D31"/>
    </sheetView>
  </sheetViews>
  <sheetFormatPr baseColWidth="10" defaultColWidth="11.42578125" defaultRowHeight="15" x14ac:dyDescent="0.3"/>
  <cols>
    <col min="1" max="1" width="43.42578125" style="5" customWidth="1"/>
    <col min="2" max="2" width="11.7109375" style="2" bestFit="1" customWidth="1"/>
    <col min="3" max="3" width="14.7109375" style="2" bestFit="1" customWidth="1"/>
    <col min="4" max="4" width="13.28515625" style="3" bestFit="1" customWidth="1"/>
    <col min="5" max="5" width="11.42578125" style="3"/>
    <col min="6" max="6" width="11.5703125" style="4" customWidth="1"/>
    <col min="7" max="7" width="3.42578125" style="4" customWidth="1"/>
    <col min="8" max="16384" width="11.42578125" style="5"/>
  </cols>
  <sheetData>
    <row r="1" spans="1:6" x14ac:dyDescent="0.3">
      <c r="A1" s="38" t="s">
        <v>40</v>
      </c>
    </row>
    <row r="2" spans="1:6" x14ac:dyDescent="0.3">
      <c r="A2" s="38" t="s">
        <v>65</v>
      </c>
    </row>
    <row r="3" spans="1:6" x14ac:dyDescent="0.3">
      <c r="A3" s="24" t="s">
        <v>44</v>
      </c>
    </row>
    <row r="4" spans="1:6" x14ac:dyDescent="0.3">
      <c r="A4" s="24" t="s">
        <v>45</v>
      </c>
    </row>
    <row r="6" spans="1:6" x14ac:dyDescent="0.3">
      <c r="A6" s="6" t="s">
        <v>20</v>
      </c>
      <c r="B6" s="6">
        <v>2008</v>
      </c>
      <c r="C6" s="6">
        <v>2009</v>
      </c>
      <c r="D6" s="7" t="s">
        <v>46</v>
      </c>
      <c r="E6" s="20"/>
      <c r="F6" s="23"/>
    </row>
    <row r="7" spans="1:6" x14ac:dyDescent="0.3">
      <c r="A7" s="18" t="s">
        <v>21</v>
      </c>
      <c r="B7" s="14">
        <v>206388</v>
      </c>
      <c r="C7" s="14">
        <v>134696</v>
      </c>
      <c r="D7" s="17">
        <f>+(C7-B7)/B7</f>
        <v>-0.34736515688896641</v>
      </c>
      <c r="E7" s="21"/>
      <c r="F7" s="23"/>
    </row>
    <row r="8" spans="1:6" x14ac:dyDescent="0.3">
      <c r="A8" s="18" t="s">
        <v>22</v>
      </c>
      <c r="B8" s="14">
        <v>272899</v>
      </c>
      <c r="C8" s="14">
        <v>546601</v>
      </c>
      <c r="D8" s="17">
        <f t="shared" ref="D8:D16" si="0">+(C8-B8)/B8</f>
        <v>1.0029424805514129</v>
      </c>
      <c r="E8" s="21"/>
      <c r="F8" s="23"/>
    </row>
    <row r="9" spans="1:6" x14ac:dyDescent="0.3">
      <c r="A9" s="18" t="s">
        <v>23</v>
      </c>
      <c r="B9" s="14">
        <v>462799</v>
      </c>
      <c r="C9" s="14">
        <v>662827</v>
      </c>
      <c r="D9" s="17">
        <f t="shared" si="0"/>
        <v>0.43221355275184259</v>
      </c>
      <c r="E9" s="21"/>
      <c r="F9" s="23"/>
    </row>
    <row r="10" spans="1:6" x14ac:dyDescent="0.3">
      <c r="A10" s="18" t="s">
        <v>36</v>
      </c>
      <c r="B10" s="14">
        <v>441512</v>
      </c>
      <c r="C10" s="14">
        <v>568768</v>
      </c>
      <c r="D10" s="17">
        <f t="shared" si="0"/>
        <v>0.28822772653970902</v>
      </c>
      <c r="E10" s="21"/>
      <c r="F10" s="23"/>
    </row>
    <row r="11" spans="1:6" x14ac:dyDescent="0.3">
      <c r="A11" s="18" t="s">
        <v>60</v>
      </c>
      <c r="B11" s="14">
        <v>683972</v>
      </c>
      <c r="C11" s="14">
        <v>835217</v>
      </c>
      <c r="D11" s="17">
        <f t="shared" si="0"/>
        <v>0.22112747305445252</v>
      </c>
      <c r="E11" s="21"/>
      <c r="F11" s="23"/>
    </row>
    <row r="12" spans="1:6" x14ac:dyDescent="0.3">
      <c r="A12" s="18" t="s">
        <v>47</v>
      </c>
      <c r="B12" s="14">
        <v>545371</v>
      </c>
      <c r="C12" s="14">
        <v>570566</v>
      </c>
      <c r="D12" s="17">
        <f t="shared" si="0"/>
        <v>4.619790931310979E-2</v>
      </c>
      <c r="E12" s="21"/>
      <c r="F12" s="23"/>
    </row>
    <row r="13" spans="1:6" x14ac:dyDescent="0.3">
      <c r="A13" s="18" t="s">
        <v>24</v>
      </c>
      <c r="B13" s="14">
        <v>74187</v>
      </c>
      <c r="C13" s="14">
        <v>46578</v>
      </c>
      <c r="D13" s="17">
        <f t="shared" si="0"/>
        <v>-0.37215415099680538</v>
      </c>
      <c r="E13" s="21"/>
      <c r="F13" s="23"/>
    </row>
    <row r="14" spans="1:6" x14ac:dyDescent="0.3">
      <c r="A14" s="18" t="s">
        <v>25</v>
      </c>
      <c r="B14" s="14">
        <v>12730</v>
      </c>
      <c r="C14" s="14">
        <v>36178</v>
      </c>
      <c r="D14" s="17">
        <f t="shared" si="0"/>
        <v>1.8419481539670071</v>
      </c>
      <c r="E14" s="21"/>
      <c r="F14" s="23"/>
    </row>
    <row r="15" spans="1:6" x14ac:dyDescent="0.3">
      <c r="A15" s="18" t="s">
        <v>26</v>
      </c>
      <c r="B15" s="14">
        <v>2088372</v>
      </c>
      <c r="C15" s="14">
        <v>2339489</v>
      </c>
      <c r="D15" s="17">
        <f t="shared" si="0"/>
        <v>0.12024533943186368</v>
      </c>
      <c r="E15" s="21"/>
      <c r="F15" s="23"/>
    </row>
    <row r="16" spans="1:6" ht="15.75" thickBot="1" x14ac:dyDescent="0.35">
      <c r="A16" s="26" t="s">
        <v>27</v>
      </c>
      <c r="B16" s="27">
        <f>SUM(B7:B15)</f>
        <v>4788230</v>
      </c>
      <c r="C16" s="27">
        <f>SUM(C7:C15)</f>
        <v>5740920</v>
      </c>
      <c r="D16" s="45">
        <f t="shared" si="0"/>
        <v>0.19896496200057223</v>
      </c>
      <c r="E16" s="22"/>
      <c r="F16" s="23"/>
    </row>
    <row r="17" spans="1:6" x14ac:dyDescent="0.3">
      <c r="A17" s="1"/>
      <c r="E17" s="21"/>
      <c r="F17" s="23"/>
    </row>
    <row r="18" spans="1:6" x14ac:dyDescent="0.3">
      <c r="A18" s="6" t="s">
        <v>48</v>
      </c>
      <c r="B18" s="6">
        <v>2008</v>
      </c>
      <c r="C18" s="6">
        <v>2009</v>
      </c>
      <c r="D18" s="7" t="s">
        <v>46</v>
      </c>
      <c r="E18" s="20"/>
      <c r="F18" s="23"/>
    </row>
    <row r="19" spans="1:6" x14ac:dyDescent="0.3">
      <c r="A19" s="18" t="s">
        <v>28</v>
      </c>
      <c r="B19" s="14">
        <v>667919</v>
      </c>
      <c r="C19" s="14">
        <v>1052994</v>
      </c>
      <c r="D19" s="17">
        <f t="shared" ref="D19:D30" si="1">+(C19-B19)/B19</f>
        <v>0.57652948935424808</v>
      </c>
      <c r="E19" s="21"/>
      <c r="F19" s="23"/>
    </row>
    <row r="20" spans="1:6" x14ac:dyDescent="0.3">
      <c r="A20" s="18" t="s">
        <v>49</v>
      </c>
      <c r="B20" s="14">
        <v>145266</v>
      </c>
      <c r="C20" s="14">
        <v>119465</v>
      </c>
      <c r="D20" s="17">
        <f t="shared" si="1"/>
        <v>-0.17761210469070532</v>
      </c>
      <c r="E20" s="21"/>
      <c r="F20" s="23"/>
    </row>
    <row r="21" spans="1:6" x14ac:dyDescent="0.3">
      <c r="A21" s="18" t="s">
        <v>38</v>
      </c>
      <c r="B21" s="14">
        <v>217624</v>
      </c>
      <c r="C21" s="14">
        <v>311187</v>
      </c>
      <c r="D21" s="17">
        <f t="shared" si="1"/>
        <v>0.42992960335257141</v>
      </c>
      <c r="E21" s="21"/>
      <c r="F21" s="23"/>
    </row>
    <row r="22" spans="1:6" x14ac:dyDescent="0.3">
      <c r="A22" s="18" t="s">
        <v>30</v>
      </c>
      <c r="B22" s="14">
        <v>43411</v>
      </c>
      <c r="C22" s="14">
        <v>77747</v>
      </c>
      <c r="D22" s="17">
        <f t="shared" si="1"/>
        <v>0.7909516021284928</v>
      </c>
      <c r="E22" s="21"/>
      <c r="F22" s="23"/>
    </row>
    <row r="23" spans="1:6" x14ac:dyDescent="0.3">
      <c r="A23" s="18" t="s">
        <v>31</v>
      </c>
      <c r="B23" s="14">
        <v>43752</v>
      </c>
      <c r="C23" s="14">
        <v>61327</v>
      </c>
      <c r="D23" s="17">
        <f t="shared" si="1"/>
        <v>0.40169592247211555</v>
      </c>
      <c r="E23" s="21"/>
      <c r="F23" s="23"/>
    </row>
    <row r="24" spans="1:6" x14ac:dyDescent="0.3">
      <c r="A24" s="18" t="s">
        <v>32</v>
      </c>
      <c r="B24" s="14">
        <v>136815</v>
      </c>
      <c r="C24" s="14">
        <v>171393</v>
      </c>
      <c r="D24" s="17">
        <f t="shared" si="1"/>
        <v>0.25273544567481637</v>
      </c>
      <c r="E24" s="21"/>
      <c r="F24" s="23"/>
    </row>
    <row r="25" spans="1:6" x14ac:dyDescent="0.3">
      <c r="A25" s="18" t="s">
        <v>24</v>
      </c>
      <c r="B25" s="14">
        <v>77290</v>
      </c>
      <c r="C25" s="14">
        <v>35162</v>
      </c>
      <c r="D25" s="17">
        <f t="shared" si="1"/>
        <v>-0.5450640445076983</v>
      </c>
      <c r="E25" s="21"/>
      <c r="F25" s="23"/>
    </row>
    <row r="26" spans="1:6" x14ac:dyDescent="0.3">
      <c r="A26" s="18" t="s">
        <v>0</v>
      </c>
      <c r="B26" s="14">
        <v>1048</v>
      </c>
      <c r="C26" s="14">
        <v>2843</v>
      </c>
      <c r="D26" s="17">
        <f t="shared" si="1"/>
        <v>1.7127862595419847</v>
      </c>
      <c r="E26" s="21"/>
      <c r="F26" s="23"/>
    </row>
    <row r="27" spans="1:6" x14ac:dyDescent="0.3">
      <c r="A27" s="18" t="s">
        <v>33</v>
      </c>
      <c r="B27" s="14">
        <f>SUM(B19:B26)</f>
        <v>1333125</v>
      </c>
      <c r="C27" s="14">
        <f>SUM(C19:C26)</f>
        <v>1832118</v>
      </c>
      <c r="D27" s="17">
        <f t="shared" si="1"/>
        <v>0.37430323488045009</v>
      </c>
      <c r="E27" s="21"/>
      <c r="F27" s="23"/>
    </row>
    <row r="28" spans="1:6" x14ac:dyDescent="0.3">
      <c r="A28" s="18" t="s">
        <v>39</v>
      </c>
      <c r="B28" s="14">
        <v>2970</v>
      </c>
      <c r="C28" s="14">
        <v>2719</v>
      </c>
      <c r="D28" s="17">
        <f t="shared" si="1"/>
        <v>-8.451178451178451E-2</v>
      </c>
      <c r="E28" s="21"/>
      <c r="F28" s="23"/>
    </row>
    <row r="29" spans="1:6" x14ac:dyDescent="0.3">
      <c r="A29" s="32" t="s">
        <v>34</v>
      </c>
      <c r="B29" s="32">
        <v>3452135</v>
      </c>
      <c r="C29" s="32">
        <v>3906083</v>
      </c>
      <c r="D29" s="47">
        <f t="shared" si="1"/>
        <v>0.13149775428828825</v>
      </c>
      <c r="E29" s="22"/>
      <c r="F29" s="22"/>
    </row>
    <row r="30" spans="1:6" ht="15.75" thickBot="1" x14ac:dyDescent="0.35">
      <c r="A30" s="27" t="s">
        <v>35</v>
      </c>
      <c r="B30" s="27">
        <f>+B27+B28+B29</f>
        <v>4788230</v>
      </c>
      <c r="C30" s="27">
        <f>+C27+C28+C29</f>
        <v>5740920</v>
      </c>
      <c r="D30" s="45">
        <f t="shared" si="1"/>
        <v>0.19896496200057223</v>
      </c>
      <c r="E30" s="22"/>
      <c r="F30" s="22"/>
    </row>
    <row r="31" spans="1:6" x14ac:dyDescent="0.3">
      <c r="A31" s="19"/>
      <c r="B31" s="14"/>
      <c r="C31" s="14"/>
      <c r="D31" s="17"/>
      <c r="E31" s="21"/>
      <c r="F31" s="23"/>
    </row>
    <row r="32" spans="1:6" x14ac:dyDescent="0.3">
      <c r="A32" s="41" t="s">
        <v>3</v>
      </c>
      <c r="B32" s="14"/>
      <c r="C32" s="14"/>
      <c r="D32" s="17"/>
      <c r="E32" s="21"/>
      <c r="F32" s="23"/>
    </row>
    <row r="33" spans="1:7" x14ac:dyDescent="0.3">
      <c r="A33" s="41" t="s">
        <v>66</v>
      </c>
      <c r="B33" s="14"/>
      <c r="C33" s="14"/>
      <c r="D33" s="17"/>
    </row>
    <row r="34" spans="1:7" x14ac:dyDescent="0.3">
      <c r="A34" s="41" t="s">
        <v>44</v>
      </c>
      <c r="B34" s="14"/>
      <c r="C34" s="14"/>
      <c r="D34" s="17"/>
    </row>
    <row r="35" spans="1:7" x14ac:dyDescent="0.3">
      <c r="A35" s="41" t="s">
        <v>45</v>
      </c>
      <c r="B35" s="14"/>
      <c r="C35" s="14"/>
      <c r="D35" s="17"/>
    </row>
    <row r="36" spans="1:7" x14ac:dyDescent="0.3">
      <c r="A36" s="6"/>
      <c r="B36" s="6">
        <v>2008</v>
      </c>
      <c r="C36" s="6" t="s">
        <v>55</v>
      </c>
      <c r="D36" s="6">
        <v>2009</v>
      </c>
      <c r="E36" s="6" t="s">
        <v>55</v>
      </c>
      <c r="F36" s="7" t="s">
        <v>46</v>
      </c>
    </row>
    <row r="37" spans="1:7" s="9" customFormat="1" x14ac:dyDescent="0.3">
      <c r="A37" s="30" t="s">
        <v>4</v>
      </c>
      <c r="B37" s="50">
        <v>876511</v>
      </c>
      <c r="C37" s="42">
        <v>1</v>
      </c>
      <c r="D37" s="50">
        <v>1043130</v>
      </c>
      <c r="E37" s="42">
        <v>1</v>
      </c>
      <c r="F37" s="17">
        <f>IF(B37&lt;&gt;0,(D37-B37)/B37,0)</f>
        <v>0.19009345005367873</v>
      </c>
      <c r="G37" s="8"/>
    </row>
    <row r="38" spans="1:7" x14ac:dyDescent="0.3">
      <c r="A38" s="14" t="s">
        <v>50</v>
      </c>
      <c r="B38" s="51">
        <v>-508099</v>
      </c>
      <c r="C38" s="17">
        <f t="shared" ref="C38:C55" si="2">+B38/$B$37</f>
        <v>-0.57968354076560358</v>
      </c>
      <c r="D38" s="51">
        <v>-640419</v>
      </c>
      <c r="E38" s="17">
        <f>+D38/$D$37</f>
        <v>-0.61393977740070749</v>
      </c>
      <c r="F38" s="17">
        <f t="shared" ref="F38:F53" si="3">IF(B38&lt;&gt;0,(D38-B38)/B38,0)</f>
        <v>0.26042168947390176</v>
      </c>
    </row>
    <row r="39" spans="1:7" s="9" customFormat="1" x14ac:dyDescent="0.3">
      <c r="A39" s="30" t="s">
        <v>6</v>
      </c>
      <c r="B39" s="30">
        <f>SUM(B37:B38)</f>
        <v>368412</v>
      </c>
      <c r="C39" s="42">
        <f t="shared" si="2"/>
        <v>0.42031645923439637</v>
      </c>
      <c r="D39" s="30">
        <f>SUM(D37:D38)</f>
        <v>402711</v>
      </c>
      <c r="E39" s="42">
        <f t="shared" ref="E39:E55" si="4">+D39/$D$37</f>
        <v>0.38606022259929251</v>
      </c>
      <c r="F39" s="17">
        <f t="shared" si="3"/>
        <v>9.3099573303801184E-2</v>
      </c>
      <c r="G39" s="8"/>
    </row>
    <row r="40" spans="1:7" x14ac:dyDescent="0.3">
      <c r="A40" s="14" t="s">
        <v>7</v>
      </c>
      <c r="B40" s="14">
        <v>-40216</v>
      </c>
      <c r="C40" s="17">
        <f t="shared" si="2"/>
        <v>-4.588191135079879E-2</v>
      </c>
      <c r="D40" s="14">
        <v>-50616</v>
      </c>
      <c r="E40" s="17">
        <f t="shared" si="4"/>
        <v>-4.8523194616203157E-2</v>
      </c>
      <c r="F40" s="17">
        <f t="shared" si="3"/>
        <v>0.25860354087925203</v>
      </c>
    </row>
    <row r="41" spans="1:7" x14ac:dyDescent="0.3">
      <c r="A41" s="14" t="s">
        <v>8</v>
      </c>
      <c r="B41" s="14">
        <v>-217362</v>
      </c>
      <c r="C41" s="17">
        <f t="shared" si="2"/>
        <v>-0.24798547879034033</v>
      </c>
      <c r="D41" s="14">
        <v>-250667</v>
      </c>
      <c r="E41" s="17">
        <f t="shared" si="4"/>
        <v>-0.24030274270704513</v>
      </c>
      <c r="F41" s="17">
        <f t="shared" si="3"/>
        <v>0.15322365454863315</v>
      </c>
    </row>
    <row r="42" spans="1:7" s="9" customFormat="1" x14ac:dyDescent="0.3">
      <c r="A42" s="30" t="s">
        <v>9</v>
      </c>
      <c r="B42" s="30">
        <f>SUM(B40:B41)</f>
        <v>-257578</v>
      </c>
      <c r="C42" s="42">
        <f t="shared" si="2"/>
        <v>-0.29386739014113911</v>
      </c>
      <c r="D42" s="30">
        <f>SUM(D40:D41)</f>
        <v>-301283</v>
      </c>
      <c r="E42" s="42">
        <f t="shared" si="4"/>
        <v>-0.28882593732324829</v>
      </c>
      <c r="F42" s="17">
        <f t="shared" si="3"/>
        <v>0.16967675810822352</v>
      </c>
      <c r="G42" s="8"/>
    </row>
    <row r="43" spans="1:7" s="9" customFormat="1" x14ac:dyDescent="0.3">
      <c r="A43" s="30" t="s">
        <v>1</v>
      </c>
      <c r="B43" s="30">
        <f>+B39+B42</f>
        <v>110834</v>
      </c>
      <c r="C43" s="42">
        <f t="shared" si="2"/>
        <v>0.12644906909325723</v>
      </c>
      <c r="D43" s="30">
        <f>+D39+D42</f>
        <v>101428</v>
      </c>
      <c r="E43" s="42">
        <f t="shared" si="4"/>
        <v>9.7234285276044219E-2</v>
      </c>
      <c r="F43" s="17">
        <f t="shared" si="3"/>
        <v>-8.4865654943428917E-2</v>
      </c>
      <c r="G43" s="8"/>
    </row>
    <row r="44" spans="1:7" x14ac:dyDescent="0.3">
      <c r="A44" s="14" t="s">
        <v>51</v>
      </c>
      <c r="B44" s="14">
        <v>3285</v>
      </c>
      <c r="C44" s="17">
        <f t="shared" si="2"/>
        <v>3.7478137752977431E-3</v>
      </c>
      <c r="D44" s="14">
        <v>3136</v>
      </c>
      <c r="E44" s="17">
        <f t="shared" si="4"/>
        <v>3.0063366982063596E-3</v>
      </c>
      <c r="F44" s="17">
        <f t="shared" si="3"/>
        <v>-4.5357686453576865E-2</v>
      </c>
    </row>
    <row r="45" spans="1:7" x14ac:dyDescent="0.3">
      <c r="A45" s="14" t="s">
        <v>11</v>
      </c>
      <c r="B45" s="14">
        <f>-11529-7724</f>
        <v>-19253</v>
      </c>
      <c r="C45" s="17">
        <f t="shared" si="2"/>
        <v>-2.1965497295527381E-2</v>
      </c>
      <c r="D45" s="14">
        <f>-24890-6385</f>
        <v>-31275</v>
      </c>
      <c r="E45" s="17">
        <f t="shared" si="4"/>
        <v>-2.9981881452934917E-2</v>
      </c>
      <c r="F45" s="17">
        <f t="shared" si="3"/>
        <v>0.62442216797382222</v>
      </c>
    </row>
    <row r="46" spans="1:7" x14ac:dyDescent="0.3">
      <c r="A46" s="14" t="s">
        <v>12</v>
      </c>
      <c r="B46" s="14">
        <v>6516</v>
      </c>
      <c r="C46" s="17">
        <f t="shared" si="2"/>
        <v>7.4340196529193584E-3</v>
      </c>
      <c r="D46" s="14">
        <v>5091</v>
      </c>
      <c r="E46" s="17">
        <f t="shared" si="4"/>
        <v>4.8805038681660005E-3</v>
      </c>
      <c r="F46" s="17">
        <f t="shared" si="3"/>
        <v>-0.21869244935543278</v>
      </c>
    </row>
    <row r="47" spans="1:7" x14ac:dyDescent="0.3">
      <c r="A47" s="14" t="s">
        <v>52</v>
      </c>
      <c r="B47" s="14">
        <f>-24535-54983-8944-796</f>
        <v>-89258</v>
      </c>
      <c r="C47" s="17">
        <f t="shared" si="2"/>
        <v>-0.10183329131066239</v>
      </c>
      <c r="D47" s="14">
        <f>-575-28102+10198</f>
        <v>-18479</v>
      </c>
      <c r="E47" s="17">
        <f t="shared" si="4"/>
        <v>-1.7714954032575038E-2</v>
      </c>
      <c r="F47" s="17">
        <f t="shared" si="3"/>
        <v>-0.79297093817921083</v>
      </c>
    </row>
    <row r="48" spans="1:7" x14ac:dyDescent="0.3">
      <c r="A48" s="14" t="s">
        <v>14</v>
      </c>
      <c r="B48" s="14">
        <v>6007</v>
      </c>
      <c r="C48" s="17">
        <f t="shared" si="2"/>
        <v>6.853308172972159E-3</v>
      </c>
      <c r="D48" s="14">
        <v>6237</v>
      </c>
      <c r="E48" s="17">
        <f t="shared" si="4"/>
        <v>5.9791205314773804E-3</v>
      </c>
      <c r="F48" s="17">
        <f t="shared" si="3"/>
        <v>3.8288663226236058E-2</v>
      </c>
    </row>
    <row r="49" spans="1:7" x14ac:dyDescent="0.3">
      <c r="A49" s="14" t="s">
        <v>16</v>
      </c>
      <c r="B49" s="14">
        <v>80487</v>
      </c>
      <c r="C49" s="17">
        <f t="shared" si="2"/>
        <v>9.1826571486267716E-2</v>
      </c>
      <c r="D49" s="14">
        <v>0</v>
      </c>
      <c r="E49" s="17">
        <f t="shared" si="4"/>
        <v>0</v>
      </c>
      <c r="F49" s="17">
        <f t="shared" si="3"/>
        <v>-1</v>
      </c>
    </row>
    <row r="50" spans="1:7" s="9" customFormat="1" x14ac:dyDescent="0.3">
      <c r="A50" s="30" t="s">
        <v>2</v>
      </c>
      <c r="B50" s="30">
        <f>SUM(B44:B49)</f>
        <v>-12216</v>
      </c>
      <c r="C50" s="42">
        <f t="shared" si="2"/>
        <v>-1.3937075518732795E-2</v>
      </c>
      <c r="D50" s="30">
        <f>SUM(D44:D49)</f>
        <v>-35290</v>
      </c>
      <c r="E50" s="42">
        <f t="shared" si="4"/>
        <v>-3.3830874387660213E-2</v>
      </c>
      <c r="F50" s="17">
        <f t="shared" si="3"/>
        <v>1.8888343156516045</v>
      </c>
      <c r="G50" s="8"/>
    </row>
    <row r="51" spans="1:7" s="9" customFormat="1" x14ac:dyDescent="0.3">
      <c r="A51" s="30" t="s">
        <v>41</v>
      </c>
      <c r="B51" s="30">
        <f>+B43+B50</f>
        <v>98618</v>
      </c>
      <c r="C51" s="42">
        <f t="shared" si="2"/>
        <v>0.11251199357452445</v>
      </c>
      <c r="D51" s="30">
        <f>+D43+D50</f>
        <v>66138</v>
      </c>
      <c r="E51" s="42">
        <f t="shared" si="4"/>
        <v>6.3403410888383999E-2</v>
      </c>
      <c r="F51" s="17">
        <f t="shared" si="3"/>
        <v>-0.32935163966010261</v>
      </c>
      <c r="G51" s="8"/>
    </row>
    <row r="52" spans="1:7" x14ac:dyDescent="0.3">
      <c r="A52" s="14" t="s">
        <v>15</v>
      </c>
      <c r="B52" s="14">
        <v>-34040</v>
      </c>
      <c r="C52" s="17">
        <f t="shared" si="2"/>
        <v>-3.8835793275840233E-2</v>
      </c>
      <c r="D52" s="14">
        <v>-21803</v>
      </c>
      <c r="E52" s="17">
        <f t="shared" si="4"/>
        <v>-2.0901517548148361E-2</v>
      </c>
      <c r="F52" s="17">
        <f t="shared" si="3"/>
        <v>-0.35948883666274972</v>
      </c>
    </row>
    <row r="53" spans="1:7" x14ac:dyDescent="0.3">
      <c r="A53" s="14" t="s">
        <v>18</v>
      </c>
      <c r="B53" s="14">
        <v>-94</v>
      </c>
      <c r="C53" s="17">
        <f t="shared" si="2"/>
        <v>-1.0724337743622156E-4</v>
      </c>
      <c r="D53" s="14">
        <v>-79</v>
      </c>
      <c r="E53" s="17">
        <f t="shared" si="4"/>
        <v>-7.573360942547909E-5</v>
      </c>
      <c r="F53" s="17">
        <f t="shared" si="3"/>
        <v>-0.15957446808510639</v>
      </c>
    </row>
    <row r="54" spans="1:7" s="9" customFormat="1" x14ac:dyDescent="0.3">
      <c r="A54" s="43" t="s">
        <v>17</v>
      </c>
      <c r="B54" s="43">
        <f>+B51+B52+B53</f>
        <v>64484</v>
      </c>
      <c r="C54" s="44">
        <f t="shared" si="2"/>
        <v>7.3568956921247999E-2</v>
      </c>
      <c r="D54" s="43">
        <f>+D51+D52+D53</f>
        <v>44256</v>
      </c>
      <c r="E54" s="44">
        <f t="shared" si="4"/>
        <v>4.242615973081016E-2</v>
      </c>
      <c r="F54" s="44">
        <f>+(D54-B54)/B54</f>
        <v>-0.31369021772842876</v>
      </c>
      <c r="G54" s="8"/>
    </row>
    <row r="55" spans="1:7" s="9" customFormat="1" ht="15.75" thickBot="1" x14ac:dyDescent="0.35">
      <c r="A55" s="27" t="s">
        <v>19</v>
      </c>
      <c r="B55" s="27">
        <v>134654</v>
      </c>
      <c r="C55" s="45">
        <f t="shared" si="2"/>
        <v>0.15362499729039339</v>
      </c>
      <c r="D55" s="27">
        <v>123893</v>
      </c>
      <c r="E55" s="45">
        <f t="shared" si="4"/>
        <v>0.11877043129811241</v>
      </c>
      <c r="F55" s="45">
        <f>+(D55-B55)/B55</f>
        <v>-7.9915932686737856E-2</v>
      </c>
      <c r="G55" s="8"/>
    </row>
    <row r="56" spans="1:7" x14ac:dyDescent="0.3">
      <c r="A56" s="2"/>
      <c r="C56" s="3"/>
      <c r="D56" s="10"/>
    </row>
    <row r="57" spans="1:7" x14ac:dyDescent="0.3">
      <c r="A57" s="19" t="s">
        <v>53</v>
      </c>
      <c r="B57" s="14"/>
      <c r="C57" s="14"/>
      <c r="D57" s="17"/>
    </row>
    <row r="58" spans="1:7" x14ac:dyDescent="0.3">
      <c r="D58" s="10"/>
    </row>
  </sheetData>
  <phoneticPr fontId="0" type="noConversion"/>
  <pageMargins left="0.70866141732283472" right="0.43307086614173229" top="0.43307086614173229" bottom="0.51181102362204722" header="0.31496062992125984" footer="0.31496062992125984"/>
  <pageSetup scale="87" orientation="portrait" r:id="rId1"/>
  <headerFooter>
    <oddFooter>&amp;C&amp;A</oddFooter>
  </headerFooter>
  <customProperties>
    <customPr name="_pios_id" r:id="rId2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5"/>
  <sheetViews>
    <sheetView topLeftCell="A4" zoomScale="86" zoomScaleNormal="86" workbookViewId="0">
      <selection activeCell="F19" sqref="F19"/>
    </sheetView>
  </sheetViews>
  <sheetFormatPr baseColWidth="10" defaultColWidth="11.42578125" defaultRowHeight="15" x14ac:dyDescent="0.3"/>
  <cols>
    <col min="1" max="1" width="43.7109375" style="5" customWidth="1"/>
    <col min="2" max="3" width="11.7109375" style="2" bestFit="1" customWidth="1"/>
    <col min="4" max="4" width="13.28515625" style="3" bestFit="1" customWidth="1"/>
    <col min="5" max="6" width="11.42578125" style="5"/>
    <col min="7" max="7" width="28.5703125" style="11" bestFit="1" customWidth="1"/>
    <col min="8" max="8" width="11.5703125" style="5" bestFit="1" customWidth="1"/>
    <col min="9" max="16384" width="11.42578125" style="5"/>
  </cols>
  <sheetData>
    <row r="1" spans="1:11" x14ac:dyDescent="0.3">
      <c r="A1" s="24" t="s">
        <v>69</v>
      </c>
    </row>
    <row r="2" spans="1:11" x14ac:dyDescent="0.3">
      <c r="A2" s="24" t="s">
        <v>77</v>
      </c>
    </row>
    <row r="3" spans="1:11" x14ac:dyDescent="0.3">
      <c r="A3" s="24" t="s">
        <v>44</v>
      </c>
    </row>
    <row r="4" spans="1:11" x14ac:dyDescent="0.3">
      <c r="A4" s="24" t="s">
        <v>45</v>
      </c>
    </row>
    <row r="5" spans="1:11" ht="12" customHeight="1" x14ac:dyDescent="0.3">
      <c r="G5" s="5"/>
    </row>
    <row r="6" spans="1:11" x14ac:dyDescent="0.3">
      <c r="A6" s="6" t="s">
        <v>20</v>
      </c>
      <c r="B6" s="6">
        <v>2008</v>
      </c>
      <c r="C6" s="6">
        <v>2009</v>
      </c>
      <c r="D6" s="7" t="s">
        <v>46</v>
      </c>
      <c r="G6" s="5"/>
    </row>
    <row r="7" spans="1:11" x14ac:dyDescent="0.3">
      <c r="A7" s="18" t="s">
        <v>21</v>
      </c>
      <c r="B7" s="14">
        <v>225</v>
      </c>
      <c r="C7" s="14">
        <v>218</v>
      </c>
      <c r="D7" s="17">
        <f t="shared" ref="D7:D13" si="0">IF(B7&lt;&gt;0,(C7-B7)/B7,0)</f>
        <v>-3.111111111111111E-2</v>
      </c>
      <c r="G7" s="5"/>
    </row>
    <row r="8" spans="1:11" x14ac:dyDescent="0.3">
      <c r="A8" s="18" t="s">
        <v>22</v>
      </c>
      <c r="B8" s="14">
        <v>2777079.4338039998</v>
      </c>
      <c r="C8" s="14">
        <v>3356934</v>
      </c>
      <c r="D8" s="17">
        <f t="shared" si="0"/>
        <v>0.20880013698481953</v>
      </c>
      <c r="G8" s="5"/>
    </row>
    <row r="9" spans="1:11" s="11" customFormat="1" x14ac:dyDescent="0.3">
      <c r="A9" s="18" t="s">
        <v>23</v>
      </c>
      <c r="B9" s="14">
        <v>56394</v>
      </c>
      <c r="C9" s="14">
        <v>42902</v>
      </c>
      <c r="D9" s="17">
        <f t="shared" si="0"/>
        <v>-0.23924530978472888</v>
      </c>
      <c r="E9" s="5"/>
      <c r="F9" s="5"/>
      <c r="G9" s="5"/>
      <c r="H9" s="5"/>
      <c r="I9" s="5"/>
      <c r="J9" s="5"/>
      <c r="K9" s="5"/>
    </row>
    <row r="10" spans="1:11" s="11" customFormat="1" x14ac:dyDescent="0.3">
      <c r="A10" s="18" t="s">
        <v>37</v>
      </c>
      <c r="B10" s="14">
        <v>19</v>
      </c>
      <c r="C10" s="14">
        <v>0</v>
      </c>
      <c r="D10" s="17">
        <f t="shared" si="0"/>
        <v>-1</v>
      </c>
      <c r="E10" s="5"/>
      <c r="F10" s="5"/>
      <c r="G10" s="5"/>
      <c r="H10" s="5"/>
      <c r="I10" s="5"/>
      <c r="J10" s="5"/>
      <c r="K10" s="5"/>
    </row>
    <row r="11" spans="1:11" s="11" customFormat="1" x14ac:dyDescent="0.3">
      <c r="A11" s="18" t="s">
        <v>59</v>
      </c>
      <c r="B11" s="14">
        <v>209</v>
      </c>
      <c r="C11" s="14">
        <f>155+54</f>
        <v>209</v>
      </c>
      <c r="D11" s="17">
        <f t="shared" si="0"/>
        <v>0</v>
      </c>
      <c r="E11" s="5"/>
      <c r="F11" s="5"/>
      <c r="G11" s="5"/>
      <c r="H11" s="5"/>
      <c r="I11" s="5"/>
      <c r="J11" s="5"/>
      <c r="K11" s="5"/>
    </row>
    <row r="12" spans="1:11" s="11" customFormat="1" x14ac:dyDescent="0.3">
      <c r="A12" s="18" t="s">
        <v>26</v>
      </c>
      <c r="B12" s="14">
        <v>937125</v>
      </c>
      <c r="C12" s="14">
        <v>1132757</v>
      </c>
      <c r="D12" s="17">
        <f t="shared" si="0"/>
        <v>0.2087576363878885</v>
      </c>
      <c r="E12" s="5"/>
      <c r="F12" s="5"/>
      <c r="G12" s="5"/>
      <c r="H12" s="5"/>
      <c r="I12" s="5"/>
      <c r="J12" s="5"/>
      <c r="K12" s="5"/>
    </row>
    <row r="13" spans="1:11" s="11" customFormat="1" ht="15.75" thickBot="1" x14ac:dyDescent="0.35">
      <c r="A13" s="26" t="s">
        <v>27</v>
      </c>
      <c r="B13" s="27">
        <f>SUM(B7:B12)</f>
        <v>3771051.4338039998</v>
      </c>
      <c r="C13" s="27">
        <f>SUM(C7:C12)</f>
        <v>4533020</v>
      </c>
      <c r="D13" s="46">
        <f t="shared" si="0"/>
        <v>0.2020573252768855</v>
      </c>
      <c r="E13" s="5"/>
      <c r="F13" s="5"/>
      <c r="G13" s="5"/>
      <c r="H13" s="5"/>
      <c r="I13" s="5"/>
      <c r="J13" s="5"/>
      <c r="K13" s="5"/>
    </row>
    <row r="14" spans="1:11" x14ac:dyDescent="0.3">
      <c r="G14" s="5"/>
    </row>
    <row r="15" spans="1:11" s="11" customFormat="1" x14ac:dyDescent="0.3">
      <c r="A15" s="6" t="s">
        <v>48</v>
      </c>
      <c r="B15" s="6">
        <v>2008</v>
      </c>
      <c r="C15" s="6">
        <v>2009</v>
      </c>
      <c r="D15" s="7" t="s">
        <v>46</v>
      </c>
      <c r="E15" s="5"/>
      <c r="F15" s="5"/>
      <c r="G15" s="5"/>
      <c r="H15" s="5"/>
      <c r="I15" s="5"/>
      <c r="J15" s="5"/>
      <c r="K15" s="5"/>
    </row>
    <row r="16" spans="1:11" s="11" customFormat="1" x14ac:dyDescent="0.3">
      <c r="A16" s="18" t="s">
        <v>28</v>
      </c>
      <c r="B16" s="14">
        <v>7016</v>
      </c>
      <c r="C16" s="14">
        <v>38</v>
      </c>
      <c r="D16" s="17">
        <f t="shared" ref="D16:D24" si="1">IF(B16&lt;&gt;0,(C16-B16)/B16,0)</f>
        <v>-0.99458380843785632</v>
      </c>
      <c r="E16" s="5"/>
      <c r="F16" s="5"/>
      <c r="G16" s="5"/>
      <c r="H16" s="5"/>
      <c r="I16" s="5"/>
      <c r="J16" s="5"/>
      <c r="K16" s="5"/>
    </row>
    <row r="17" spans="1:11" s="11" customFormat="1" x14ac:dyDescent="0.3">
      <c r="A17" s="18" t="s">
        <v>29</v>
      </c>
      <c r="B17" s="14">
        <v>131788</v>
      </c>
      <c r="C17" s="14">
        <v>171516</v>
      </c>
      <c r="D17" s="17">
        <f t="shared" si="1"/>
        <v>0.30145385012292469</v>
      </c>
      <c r="E17" s="5"/>
      <c r="F17" s="5"/>
      <c r="G17" s="5"/>
      <c r="H17" s="5"/>
      <c r="I17" s="5"/>
      <c r="J17" s="5"/>
      <c r="K17" s="5"/>
    </row>
    <row r="18" spans="1:11" x14ac:dyDescent="0.3">
      <c r="A18" s="18" t="s">
        <v>30</v>
      </c>
      <c r="B18" s="14">
        <v>739</v>
      </c>
      <c r="C18" s="14">
        <v>2009</v>
      </c>
      <c r="D18" s="17">
        <f t="shared" si="1"/>
        <v>1.7185385656292287</v>
      </c>
      <c r="G18" s="5"/>
    </row>
    <row r="19" spans="1:11" x14ac:dyDescent="0.3">
      <c r="A19" s="18" t="s">
        <v>31</v>
      </c>
      <c r="B19" s="14">
        <v>111</v>
      </c>
      <c r="C19" s="14">
        <v>176</v>
      </c>
      <c r="D19" s="17">
        <f t="shared" si="1"/>
        <v>0.5855855855855856</v>
      </c>
      <c r="G19" s="5"/>
    </row>
    <row r="20" spans="1:11" x14ac:dyDescent="0.3">
      <c r="A20" s="18" t="s">
        <v>32</v>
      </c>
      <c r="B20" s="14">
        <v>876</v>
      </c>
      <c r="C20" s="14">
        <v>939</v>
      </c>
      <c r="D20" s="17">
        <f t="shared" si="1"/>
        <v>7.1917808219178078E-2</v>
      </c>
      <c r="G20" s="5"/>
    </row>
    <row r="21" spans="1:11" x14ac:dyDescent="0.3">
      <c r="A21" s="18" t="s">
        <v>24</v>
      </c>
      <c r="B21" s="14">
        <v>8802</v>
      </c>
      <c r="C21" s="14">
        <v>9538</v>
      </c>
      <c r="D21" s="17">
        <f t="shared" si="1"/>
        <v>8.3617359690979318E-2</v>
      </c>
      <c r="G21" s="5"/>
    </row>
    <row r="22" spans="1:11" s="9" customFormat="1" x14ac:dyDescent="0.3">
      <c r="A22" s="29" t="s">
        <v>33</v>
      </c>
      <c r="B22" s="30">
        <f>SUM(B16:B21)</f>
        <v>149332</v>
      </c>
      <c r="C22" s="30">
        <f>SUM(C16:C21)</f>
        <v>184216</v>
      </c>
      <c r="D22" s="42">
        <f t="shared" si="1"/>
        <v>0.23360030000267859</v>
      </c>
      <c r="F22" s="5"/>
      <c r="G22" s="5"/>
      <c r="H22" s="5"/>
      <c r="I22" s="5"/>
      <c r="J22" s="5"/>
      <c r="K22" s="5"/>
    </row>
    <row r="23" spans="1:11" s="9" customFormat="1" x14ac:dyDescent="0.3">
      <c r="A23" s="31" t="s">
        <v>34</v>
      </c>
      <c r="B23" s="32">
        <v>3621719.4338039998</v>
      </c>
      <c r="C23" s="32">
        <v>4348804</v>
      </c>
      <c r="D23" s="47">
        <f t="shared" si="1"/>
        <v>0.20075673433166014</v>
      </c>
      <c r="F23" s="5"/>
      <c r="G23" s="5"/>
      <c r="H23" s="5"/>
      <c r="I23" s="5"/>
      <c r="J23" s="5"/>
      <c r="K23" s="5"/>
    </row>
    <row r="24" spans="1:11" s="9" customFormat="1" ht="15.75" thickBot="1" x14ac:dyDescent="0.35">
      <c r="A24" s="26" t="s">
        <v>35</v>
      </c>
      <c r="B24" s="27">
        <f>+B22+B23</f>
        <v>3771051.4338039998</v>
      </c>
      <c r="C24" s="27">
        <f>+C22+C23</f>
        <v>4533020</v>
      </c>
      <c r="D24" s="45">
        <f t="shared" si="1"/>
        <v>0.2020573252768855</v>
      </c>
      <c r="F24" s="5"/>
      <c r="G24" s="5"/>
      <c r="H24" s="5"/>
      <c r="I24" s="5"/>
      <c r="J24" s="5"/>
      <c r="K24" s="5"/>
    </row>
    <row r="25" spans="1:11" x14ac:dyDescent="0.3">
      <c r="A25" s="18" t="s">
        <v>54</v>
      </c>
      <c r="B25" s="14">
        <v>435123458</v>
      </c>
      <c r="C25" s="14">
        <v>435123458</v>
      </c>
      <c r="D25" s="17"/>
      <c r="G25" s="5"/>
    </row>
    <row r="26" spans="1:11" x14ac:dyDescent="0.3">
      <c r="A26" s="18" t="s">
        <v>71</v>
      </c>
      <c r="B26" s="33">
        <f>+B23/+(B25/1000000)</f>
        <v>8323.4295168797798</v>
      </c>
      <c r="C26" s="33">
        <f>+C23/+(C25/1000000)</f>
        <v>9994.4140451283129</v>
      </c>
      <c r="D26" s="17"/>
      <c r="G26" s="5"/>
    </row>
    <row r="27" spans="1:11" x14ac:dyDescent="0.3">
      <c r="G27" s="5"/>
    </row>
    <row r="28" spans="1:11" x14ac:dyDescent="0.3">
      <c r="A28" s="6" t="s">
        <v>70</v>
      </c>
      <c r="B28" s="6">
        <v>2008</v>
      </c>
      <c r="C28" s="6">
        <v>2009</v>
      </c>
      <c r="D28" s="6" t="s">
        <v>46</v>
      </c>
      <c r="G28" s="5"/>
    </row>
    <row r="29" spans="1:11" x14ac:dyDescent="0.3">
      <c r="A29" s="19" t="s">
        <v>64</v>
      </c>
      <c r="B29" s="17"/>
      <c r="C29" s="17"/>
      <c r="D29" s="34"/>
      <c r="G29" s="5"/>
    </row>
    <row r="30" spans="1:11" x14ac:dyDescent="0.3">
      <c r="A30" s="19" t="s">
        <v>44</v>
      </c>
      <c r="B30" s="17"/>
      <c r="C30" s="17"/>
      <c r="D30" s="34"/>
      <c r="G30" s="5"/>
    </row>
    <row r="31" spans="1:11" x14ac:dyDescent="0.3">
      <c r="A31" s="19" t="s">
        <v>45</v>
      </c>
      <c r="B31" s="17"/>
      <c r="C31" s="17"/>
      <c r="D31" s="34"/>
      <c r="G31" s="5"/>
    </row>
    <row r="32" spans="1:11" s="9" customFormat="1" x14ac:dyDescent="0.3">
      <c r="A32" s="19" t="s">
        <v>72</v>
      </c>
      <c r="B32" s="30">
        <v>128668</v>
      </c>
      <c r="C32" s="30">
        <v>95622</v>
      </c>
      <c r="D32" s="17">
        <f>IF(B32&lt;&gt;0,(C32-B32)/B32,0)</f>
        <v>-0.25683153542450338</v>
      </c>
      <c r="F32" s="5"/>
      <c r="G32" s="5"/>
      <c r="H32" s="5"/>
      <c r="I32" s="5"/>
      <c r="J32" s="5"/>
      <c r="K32" s="5"/>
    </row>
    <row r="33" spans="1:11" x14ac:dyDescent="0.3">
      <c r="A33" s="19" t="s">
        <v>5</v>
      </c>
      <c r="B33" s="14">
        <v>2704</v>
      </c>
      <c r="C33" s="14">
        <v>0</v>
      </c>
      <c r="D33" s="17">
        <f t="shared" ref="D33:D43" si="2">IF(B33&lt;&gt;0,(C33-B33)/B33,0)</f>
        <v>-1</v>
      </c>
      <c r="G33" s="5"/>
    </row>
    <row r="34" spans="1:11" s="9" customFormat="1" x14ac:dyDescent="0.3">
      <c r="A34" s="19" t="s">
        <v>57</v>
      </c>
      <c r="B34" s="14">
        <v>8877</v>
      </c>
      <c r="C34" s="14">
        <v>6621</v>
      </c>
      <c r="D34" s="17">
        <f t="shared" si="2"/>
        <v>-0.25413991213247716</v>
      </c>
      <c r="F34" s="5"/>
      <c r="G34" s="5"/>
      <c r="H34" s="5"/>
      <c r="I34" s="5"/>
      <c r="J34" s="5"/>
      <c r="K34" s="5"/>
    </row>
    <row r="35" spans="1:11" s="9" customFormat="1" x14ac:dyDescent="0.3">
      <c r="A35" s="19" t="s">
        <v>56</v>
      </c>
      <c r="B35" s="14">
        <v>2674</v>
      </c>
      <c r="C35" s="14">
        <v>3478</v>
      </c>
      <c r="D35" s="17">
        <f t="shared" si="2"/>
        <v>0.30067314884068813</v>
      </c>
      <c r="F35" s="5"/>
      <c r="G35" s="5"/>
      <c r="H35" s="5"/>
      <c r="I35" s="5"/>
      <c r="J35" s="5"/>
      <c r="K35" s="5"/>
    </row>
    <row r="36" spans="1:11" s="9" customFormat="1" x14ac:dyDescent="0.3">
      <c r="A36" s="35" t="s">
        <v>4</v>
      </c>
      <c r="B36" s="30">
        <f>SUM(B32:B35)</f>
        <v>142923</v>
      </c>
      <c r="C36" s="30">
        <f>SUM(C32:C35)</f>
        <v>105721</v>
      </c>
      <c r="D36" s="17">
        <f t="shared" si="2"/>
        <v>-0.26029400446394213</v>
      </c>
      <c r="F36" s="5"/>
      <c r="G36" s="5"/>
      <c r="H36" s="5"/>
      <c r="I36" s="5"/>
      <c r="J36" s="5"/>
      <c r="K36" s="5"/>
    </row>
    <row r="37" spans="1:11" x14ac:dyDescent="0.3">
      <c r="A37" s="19" t="s">
        <v>58</v>
      </c>
      <c r="B37" s="14">
        <v>-3759</v>
      </c>
      <c r="C37" s="14">
        <v>-4731</v>
      </c>
      <c r="D37" s="17">
        <f t="shared" si="2"/>
        <v>0.25857940941739826</v>
      </c>
      <c r="G37" s="5"/>
    </row>
    <row r="38" spans="1:11" s="9" customFormat="1" x14ac:dyDescent="0.3">
      <c r="A38" s="35" t="s">
        <v>42</v>
      </c>
      <c r="B38" s="30">
        <f>SUM(B36:B37)</f>
        <v>139164</v>
      </c>
      <c r="C38" s="30">
        <f>SUM(C36:C37)</f>
        <v>100990</v>
      </c>
      <c r="D38" s="17">
        <f t="shared" si="2"/>
        <v>-0.27430944784570721</v>
      </c>
      <c r="F38" s="5"/>
      <c r="G38" s="5"/>
      <c r="H38" s="5"/>
      <c r="I38" s="5"/>
      <c r="J38" s="5"/>
      <c r="K38" s="5"/>
    </row>
    <row r="39" spans="1:11" s="9" customFormat="1" x14ac:dyDescent="0.3">
      <c r="A39" s="19" t="s">
        <v>10</v>
      </c>
      <c r="B39" s="14">
        <v>437</v>
      </c>
      <c r="C39" s="14">
        <v>141</v>
      </c>
      <c r="D39" s="17">
        <f t="shared" si="2"/>
        <v>-0.67734553775743711</v>
      </c>
      <c r="F39" s="5"/>
      <c r="G39" s="5"/>
      <c r="H39" s="5"/>
      <c r="I39" s="5"/>
      <c r="J39" s="5"/>
      <c r="K39" s="5"/>
    </row>
    <row r="40" spans="1:11" x14ac:dyDescent="0.3">
      <c r="A40" s="19" t="s">
        <v>13</v>
      </c>
      <c r="B40" s="14">
        <v>-597</v>
      </c>
      <c r="C40" s="14">
        <v>-96</v>
      </c>
      <c r="D40" s="17">
        <f t="shared" si="2"/>
        <v>-0.83919597989949746</v>
      </c>
      <c r="G40" s="5"/>
    </row>
    <row r="41" spans="1:11" s="9" customFormat="1" x14ac:dyDescent="0.3">
      <c r="A41" s="35" t="s">
        <v>43</v>
      </c>
      <c r="B41" s="30">
        <f>SUM(B38:B40)</f>
        <v>139004</v>
      </c>
      <c r="C41" s="30">
        <f>SUM(C38:C40)</f>
        <v>101035</v>
      </c>
      <c r="D41" s="17">
        <f t="shared" si="2"/>
        <v>-0.27315041293775721</v>
      </c>
      <c r="F41" s="5"/>
      <c r="G41" s="5"/>
      <c r="H41" s="5"/>
      <c r="I41" s="5"/>
      <c r="J41" s="5"/>
      <c r="K41" s="5"/>
    </row>
    <row r="42" spans="1:11" x14ac:dyDescent="0.3">
      <c r="A42" s="19" t="s">
        <v>15</v>
      </c>
      <c r="B42" s="14">
        <v>-96</v>
      </c>
      <c r="C42" s="14">
        <v>-103</v>
      </c>
      <c r="D42" s="17">
        <f t="shared" si="2"/>
        <v>7.2916666666666671E-2</v>
      </c>
      <c r="G42" s="5"/>
    </row>
    <row r="43" spans="1:11" ht="15.75" thickBot="1" x14ac:dyDescent="0.35">
      <c r="A43" s="36" t="s">
        <v>17</v>
      </c>
      <c r="B43" s="37">
        <f>SUM(B41:B42)</f>
        <v>138908</v>
      </c>
      <c r="C43" s="37">
        <f>SUM(C41:C42)</f>
        <v>100932</v>
      </c>
      <c r="D43" s="45">
        <f t="shared" si="2"/>
        <v>-0.27338958159357274</v>
      </c>
      <c r="G43" s="5"/>
    </row>
    <row r="44" spans="1:11" x14ac:dyDescent="0.3">
      <c r="G44" s="5"/>
    </row>
    <row r="45" spans="1:11" x14ac:dyDescent="0.3">
      <c r="A45" s="19" t="s">
        <v>79</v>
      </c>
      <c r="B45" s="14"/>
      <c r="C45" s="14"/>
      <c r="D45" s="17"/>
      <c r="G45" s="5"/>
    </row>
  </sheetData>
  <phoneticPr fontId="0" type="noConversion"/>
  <pageMargins left="0.70866141732283472" right="0.43307086614173229" top="0.47244094488188981" bottom="0.39370078740157483" header="0.31496062992125984" footer="0.18"/>
  <pageSetup orientation="portrait" r:id="rId1"/>
  <headerFooter>
    <oddFooter>&amp;L&amp;A</oddFooter>
  </headerFooter>
  <customProperties>
    <customPr name="_pios_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8"/>
  <sheetViews>
    <sheetView zoomScale="87" zoomScaleNormal="87" workbookViewId="0">
      <selection activeCell="F19" sqref="F19"/>
    </sheetView>
  </sheetViews>
  <sheetFormatPr baseColWidth="10" defaultColWidth="11.42578125" defaultRowHeight="15" x14ac:dyDescent="0.3"/>
  <cols>
    <col min="1" max="1" width="43.42578125" style="5" customWidth="1"/>
    <col min="2" max="2" width="11.7109375" style="2" bestFit="1" customWidth="1"/>
    <col min="3" max="3" width="14.7109375" style="2" bestFit="1" customWidth="1"/>
    <col min="4" max="4" width="13.28515625" style="3" bestFit="1" customWidth="1"/>
    <col min="5" max="5" width="11.42578125" style="3"/>
    <col min="6" max="6" width="11.5703125" style="4" customWidth="1"/>
    <col min="7" max="7" width="3.42578125" style="4" customWidth="1"/>
    <col min="8" max="16384" width="11.42578125" style="5"/>
  </cols>
  <sheetData>
    <row r="1" spans="1:14" x14ac:dyDescent="0.3">
      <c r="A1" s="38" t="s">
        <v>40</v>
      </c>
      <c r="I1" s="61"/>
      <c r="J1" s="61"/>
      <c r="K1" s="61"/>
      <c r="L1" s="61"/>
      <c r="M1" s="61"/>
      <c r="N1" s="61"/>
    </row>
    <row r="2" spans="1:14" x14ac:dyDescent="0.3">
      <c r="A2" s="38" t="s">
        <v>63</v>
      </c>
      <c r="I2" s="61"/>
      <c r="J2" s="61"/>
      <c r="K2" s="61"/>
      <c r="L2" s="61"/>
      <c r="M2" s="61"/>
      <c r="N2" s="61"/>
    </row>
    <row r="3" spans="1:14" x14ac:dyDescent="0.3">
      <c r="A3" s="24" t="s">
        <v>44</v>
      </c>
    </row>
    <row r="4" spans="1:14" x14ac:dyDescent="0.3">
      <c r="A4" s="24" t="s">
        <v>45</v>
      </c>
    </row>
    <row r="6" spans="1:14" x14ac:dyDescent="0.3">
      <c r="A6" s="6" t="s">
        <v>20</v>
      </c>
      <c r="B6" s="6">
        <v>2008</v>
      </c>
      <c r="C6" s="6">
        <v>2009</v>
      </c>
      <c r="D6" s="7" t="s">
        <v>46</v>
      </c>
      <c r="E6" s="20"/>
      <c r="F6" s="23"/>
    </row>
    <row r="7" spans="1:14" x14ac:dyDescent="0.3">
      <c r="A7" s="18" t="s">
        <v>21</v>
      </c>
      <c r="B7" s="14">
        <v>153862</v>
      </c>
      <c r="C7" s="14">
        <v>116344</v>
      </c>
      <c r="D7" s="17">
        <f>+(C7-B7)/B7</f>
        <v>-0.24384188428591855</v>
      </c>
      <c r="E7" s="21"/>
      <c r="F7" s="23"/>
    </row>
    <row r="8" spans="1:14" x14ac:dyDescent="0.3">
      <c r="A8" s="18" t="s">
        <v>22</v>
      </c>
      <c r="B8" s="14">
        <v>303270</v>
      </c>
      <c r="C8" s="14">
        <v>352257</v>
      </c>
      <c r="D8" s="17">
        <f t="shared" ref="D8:D16" si="0">+(C8-B8)/B8</f>
        <v>0.1615293302997329</v>
      </c>
      <c r="E8" s="21"/>
      <c r="F8" s="23"/>
    </row>
    <row r="9" spans="1:14" x14ac:dyDescent="0.3">
      <c r="A9" s="18" t="s">
        <v>23</v>
      </c>
      <c r="B9" s="14">
        <v>521798</v>
      </c>
      <c r="C9" s="14">
        <v>638715</v>
      </c>
      <c r="D9" s="17">
        <f t="shared" si="0"/>
        <v>0.22406563459422996</v>
      </c>
      <c r="E9" s="21"/>
      <c r="F9" s="23"/>
    </row>
    <row r="10" spans="1:14" x14ac:dyDescent="0.3">
      <c r="A10" s="18" t="s">
        <v>36</v>
      </c>
      <c r="B10" s="14">
        <v>464860</v>
      </c>
      <c r="C10" s="14">
        <v>591574</v>
      </c>
      <c r="D10" s="17">
        <f t="shared" si="0"/>
        <v>0.27258529449726798</v>
      </c>
      <c r="E10" s="21"/>
      <c r="F10" s="23"/>
    </row>
    <row r="11" spans="1:14" x14ac:dyDescent="0.3">
      <c r="A11" s="18" t="s">
        <v>60</v>
      </c>
      <c r="B11" s="14">
        <v>684779</v>
      </c>
      <c r="C11" s="14">
        <v>841176</v>
      </c>
      <c r="D11" s="17">
        <f t="shared" si="0"/>
        <v>0.22839047342281232</v>
      </c>
      <c r="E11" s="21"/>
      <c r="F11" s="23"/>
    </row>
    <row r="12" spans="1:14" x14ac:dyDescent="0.3">
      <c r="A12" s="18" t="s">
        <v>47</v>
      </c>
      <c r="B12" s="14">
        <v>510911</v>
      </c>
      <c r="C12" s="14">
        <v>734690</v>
      </c>
      <c r="D12" s="17">
        <f t="shared" si="0"/>
        <v>0.43799996476881492</v>
      </c>
      <c r="E12" s="21"/>
      <c r="F12" s="23"/>
    </row>
    <row r="13" spans="1:14" x14ac:dyDescent="0.3">
      <c r="A13" s="18" t="s">
        <v>24</v>
      </c>
      <c r="B13" s="14">
        <v>73369</v>
      </c>
      <c r="C13" s="14">
        <v>44021</v>
      </c>
      <c r="D13" s="17">
        <f t="shared" si="0"/>
        <v>-0.40000545189385162</v>
      </c>
      <c r="E13" s="21"/>
      <c r="F13" s="23"/>
    </row>
    <row r="14" spans="1:14" x14ac:dyDescent="0.3">
      <c r="A14" s="18" t="s">
        <v>25</v>
      </c>
      <c r="B14" s="14">
        <v>12432</v>
      </c>
      <c r="C14" s="14">
        <v>2859</v>
      </c>
      <c r="D14" s="17">
        <f t="shared" si="0"/>
        <v>-0.7700289575289575</v>
      </c>
      <c r="E14" s="21"/>
      <c r="F14" s="23"/>
    </row>
    <row r="15" spans="1:14" x14ac:dyDescent="0.3">
      <c r="A15" s="18" t="s">
        <v>26</v>
      </c>
      <c r="B15" s="14">
        <v>2204864</v>
      </c>
      <c r="C15" s="14">
        <v>2729212</v>
      </c>
      <c r="D15" s="17">
        <f t="shared" si="0"/>
        <v>0.23781421439145453</v>
      </c>
      <c r="E15" s="21"/>
      <c r="F15" s="23"/>
    </row>
    <row r="16" spans="1:14" ht="15.75" thickBot="1" x14ac:dyDescent="0.35">
      <c r="A16" s="26" t="s">
        <v>27</v>
      </c>
      <c r="B16" s="27">
        <f>SUM(B7:B15)</f>
        <v>4930145</v>
      </c>
      <c r="C16" s="27">
        <f>SUM(C7:C15)</f>
        <v>6050848</v>
      </c>
      <c r="D16" s="45">
        <f t="shared" si="0"/>
        <v>0.22731643795466461</v>
      </c>
      <c r="E16" s="22"/>
      <c r="F16" s="23"/>
    </row>
    <row r="17" spans="1:6" x14ac:dyDescent="0.3">
      <c r="A17" s="1"/>
      <c r="C17" s="14"/>
      <c r="E17" s="21"/>
      <c r="F17" s="23"/>
    </row>
    <row r="18" spans="1:6" x14ac:dyDescent="0.3">
      <c r="A18" s="6" t="s">
        <v>48</v>
      </c>
      <c r="B18" s="6">
        <v>2008</v>
      </c>
      <c r="C18" s="6">
        <v>2009</v>
      </c>
      <c r="D18" s="7" t="s">
        <v>46</v>
      </c>
      <c r="E18" s="20"/>
      <c r="F18" s="23"/>
    </row>
    <row r="19" spans="1:6" x14ac:dyDescent="0.3">
      <c r="A19" s="18" t="s">
        <v>28</v>
      </c>
      <c r="B19" s="14">
        <v>686806</v>
      </c>
      <c r="C19" s="14">
        <v>1057684</v>
      </c>
      <c r="D19" s="17">
        <f t="shared" ref="D19:D30" si="1">+(C19-B19)/B19</f>
        <v>0.54000401860205061</v>
      </c>
      <c r="E19" s="21"/>
      <c r="F19" s="23"/>
    </row>
    <row r="20" spans="1:6" x14ac:dyDescent="0.3">
      <c r="A20" s="18" t="s">
        <v>49</v>
      </c>
      <c r="B20" s="14">
        <v>146733</v>
      </c>
      <c r="C20" s="14">
        <v>82294</v>
      </c>
      <c r="D20" s="17">
        <f t="shared" si="1"/>
        <v>-0.43915819890549501</v>
      </c>
      <c r="E20" s="21"/>
      <c r="F20" s="23"/>
    </row>
    <row r="21" spans="1:6" x14ac:dyDescent="0.3">
      <c r="A21" s="18" t="s">
        <v>38</v>
      </c>
      <c r="B21" s="14">
        <v>186290</v>
      </c>
      <c r="C21" s="14">
        <v>254732</v>
      </c>
      <c r="D21" s="17">
        <f t="shared" si="1"/>
        <v>0.36739492189596867</v>
      </c>
      <c r="E21" s="21"/>
      <c r="F21" s="23"/>
    </row>
    <row r="22" spans="1:6" x14ac:dyDescent="0.3">
      <c r="A22" s="18" t="s">
        <v>30</v>
      </c>
      <c r="B22" s="14">
        <v>53902</v>
      </c>
      <c r="C22" s="14">
        <v>88871</v>
      </c>
      <c r="D22" s="17">
        <f t="shared" si="1"/>
        <v>0.64875143779451594</v>
      </c>
      <c r="E22" s="21"/>
      <c r="F22" s="23"/>
    </row>
    <row r="23" spans="1:6" x14ac:dyDescent="0.3">
      <c r="A23" s="18" t="s">
        <v>31</v>
      </c>
      <c r="B23" s="14">
        <v>36264</v>
      </c>
      <c r="C23" s="14">
        <v>47073</v>
      </c>
      <c r="D23" s="17">
        <f t="shared" si="1"/>
        <v>0.29806419589675709</v>
      </c>
      <c r="E23" s="21"/>
      <c r="F23" s="23"/>
    </row>
    <row r="24" spans="1:6" x14ac:dyDescent="0.3">
      <c r="A24" s="18" t="s">
        <v>32</v>
      </c>
      <c r="B24" s="14">
        <v>159959</v>
      </c>
      <c r="C24" s="14">
        <v>171964</v>
      </c>
      <c r="D24" s="17">
        <f t="shared" si="1"/>
        <v>7.5050481685932022E-2</v>
      </c>
      <c r="E24" s="21"/>
      <c r="F24" s="23"/>
    </row>
    <row r="25" spans="1:6" x14ac:dyDescent="0.3">
      <c r="A25" s="18" t="s">
        <v>24</v>
      </c>
      <c r="B25" s="14">
        <v>57796</v>
      </c>
      <c r="C25" s="14">
        <v>41880</v>
      </c>
      <c r="D25" s="17">
        <f t="shared" si="1"/>
        <v>-0.27538237940341892</v>
      </c>
      <c r="E25" s="21"/>
      <c r="F25" s="23"/>
    </row>
    <row r="26" spans="1:6" x14ac:dyDescent="0.3">
      <c r="A26" s="18" t="s">
        <v>0</v>
      </c>
      <c r="B26" s="14">
        <v>1833</v>
      </c>
      <c r="C26" s="14">
        <v>1430</v>
      </c>
      <c r="D26" s="17">
        <f t="shared" si="1"/>
        <v>-0.21985815602836881</v>
      </c>
      <c r="E26" s="21"/>
      <c r="F26" s="23"/>
    </row>
    <row r="27" spans="1:6" x14ac:dyDescent="0.3">
      <c r="A27" s="18" t="s">
        <v>33</v>
      </c>
      <c r="B27" s="30">
        <f>SUM(B19:B26)</f>
        <v>1329583</v>
      </c>
      <c r="C27" s="30">
        <f>SUM(C19:C26)</f>
        <v>1745928</v>
      </c>
      <c r="D27" s="17">
        <f t="shared" si="1"/>
        <v>0.31313953322207039</v>
      </c>
      <c r="E27" s="21"/>
      <c r="F27" s="23"/>
    </row>
    <row r="28" spans="1:6" x14ac:dyDescent="0.3">
      <c r="A28" s="18" t="s">
        <v>39</v>
      </c>
      <c r="B28" s="14">
        <v>2937</v>
      </c>
      <c r="C28" s="14">
        <v>3040</v>
      </c>
      <c r="D28" s="17">
        <f t="shared" si="1"/>
        <v>3.5069799114742936E-2</v>
      </c>
      <c r="E28" s="21"/>
      <c r="F28" s="23"/>
    </row>
    <row r="29" spans="1:6" x14ac:dyDescent="0.3">
      <c r="A29" s="32" t="s">
        <v>34</v>
      </c>
      <c r="B29" s="32">
        <v>3597625</v>
      </c>
      <c r="C29" s="32">
        <v>4301880</v>
      </c>
      <c r="D29" s="47">
        <f t="shared" si="1"/>
        <v>0.1957555331642403</v>
      </c>
      <c r="E29" s="22"/>
      <c r="F29" s="22"/>
    </row>
    <row r="30" spans="1:6" ht="15.75" thickBot="1" x14ac:dyDescent="0.35">
      <c r="A30" s="27" t="s">
        <v>35</v>
      </c>
      <c r="B30" s="27">
        <f>+B27+B28+B29</f>
        <v>4930145</v>
      </c>
      <c r="C30" s="27">
        <f>+C27+C28+C29</f>
        <v>6050848</v>
      </c>
      <c r="D30" s="45">
        <f t="shared" si="1"/>
        <v>0.22731643795466461</v>
      </c>
      <c r="E30" s="22"/>
      <c r="F30" s="22"/>
    </row>
    <row r="31" spans="1:6" x14ac:dyDescent="0.3">
      <c r="A31" s="19"/>
      <c r="B31" s="14"/>
      <c r="C31" s="14"/>
      <c r="D31" s="17"/>
      <c r="E31" s="21"/>
      <c r="F31" s="23"/>
    </row>
    <row r="32" spans="1:6" x14ac:dyDescent="0.3">
      <c r="A32" s="41" t="s">
        <v>3</v>
      </c>
      <c r="B32" s="14"/>
      <c r="C32" s="14"/>
      <c r="D32" s="17"/>
      <c r="E32" s="21"/>
      <c r="F32" s="23"/>
    </row>
    <row r="33" spans="1:21" x14ac:dyDescent="0.3">
      <c r="A33" s="41" t="s">
        <v>64</v>
      </c>
      <c r="B33" s="14"/>
      <c r="C33" s="14"/>
      <c r="D33" s="17"/>
    </row>
    <row r="34" spans="1:21" x14ac:dyDescent="0.3">
      <c r="A34" s="41" t="s">
        <v>44</v>
      </c>
      <c r="B34" s="14"/>
      <c r="C34" s="14"/>
      <c r="D34" s="17"/>
    </row>
    <row r="35" spans="1:21" x14ac:dyDescent="0.3">
      <c r="A35" s="41" t="s">
        <v>45</v>
      </c>
      <c r="B35" s="14"/>
      <c r="C35" s="14"/>
      <c r="D35" s="17"/>
    </row>
    <row r="36" spans="1:21" x14ac:dyDescent="0.3">
      <c r="A36" s="6"/>
      <c r="B36" s="6">
        <v>2008</v>
      </c>
      <c r="C36" s="6" t="s">
        <v>55</v>
      </c>
      <c r="D36" s="6">
        <v>2009</v>
      </c>
      <c r="E36" s="6" t="s">
        <v>55</v>
      </c>
      <c r="F36" s="7" t="s">
        <v>46</v>
      </c>
    </row>
    <row r="37" spans="1:21" s="9" customFormat="1" x14ac:dyDescent="0.3">
      <c r="A37" s="30" t="s">
        <v>4</v>
      </c>
      <c r="B37" s="50">
        <v>1801423</v>
      </c>
      <c r="C37" s="42">
        <v>1</v>
      </c>
      <c r="D37" s="50">
        <v>2138848</v>
      </c>
      <c r="E37" s="42">
        <v>1</v>
      </c>
      <c r="F37" s="17">
        <f>IF(B37&lt;&gt;0,(D37-B37)/B37,0)</f>
        <v>0.18731025417128569</v>
      </c>
      <c r="G37" s="8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</row>
    <row r="38" spans="1:21" x14ac:dyDescent="0.3">
      <c r="A38" s="14" t="s">
        <v>50</v>
      </c>
      <c r="B38" s="51">
        <v>-1055915</v>
      </c>
      <c r="C38" s="17">
        <f t="shared" ref="C38:C55" si="2">+B38/$B$37</f>
        <v>-0.58615605551833194</v>
      </c>
      <c r="D38" s="51">
        <v>-1324263</v>
      </c>
      <c r="E38" s="17">
        <f>+D38/$D$37</f>
        <v>-0.61914778422777117</v>
      </c>
      <c r="F38" s="17">
        <f t="shared" ref="F38:F53" si="3">IF(B38&lt;&gt;0,(D38-B38)/B38,0)</f>
        <v>0.25413788041651081</v>
      </c>
    </row>
    <row r="39" spans="1:21" s="9" customFormat="1" x14ac:dyDescent="0.3">
      <c r="A39" s="30" t="s">
        <v>6</v>
      </c>
      <c r="B39" s="30">
        <f>SUM(B37:B38)</f>
        <v>745508</v>
      </c>
      <c r="C39" s="42">
        <f t="shared" si="2"/>
        <v>0.41384394448166811</v>
      </c>
      <c r="D39" s="30">
        <f>SUM(D37:D38)</f>
        <v>814585</v>
      </c>
      <c r="E39" s="42">
        <f t="shared" ref="E39:E55" si="4">+D39/$D$37</f>
        <v>0.38085221577222877</v>
      </c>
      <c r="F39" s="17">
        <f t="shared" si="3"/>
        <v>9.2657624063054986E-2</v>
      </c>
      <c r="G39" s="8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</row>
    <row r="40" spans="1:21" x14ac:dyDescent="0.3">
      <c r="A40" s="14" t="s">
        <v>7</v>
      </c>
      <c r="B40" s="14">
        <v>-83321</v>
      </c>
      <c r="C40" s="17">
        <f t="shared" si="2"/>
        <v>-4.6252878974011098E-2</v>
      </c>
      <c r="D40" s="14">
        <v>-108855</v>
      </c>
      <c r="E40" s="17">
        <f t="shared" si="4"/>
        <v>-5.0894219692095934E-2</v>
      </c>
      <c r="F40" s="17">
        <f t="shared" si="3"/>
        <v>0.3064533550965543</v>
      </c>
    </row>
    <row r="41" spans="1:21" x14ac:dyDescent="0.3">
      <c r="A41" s="14" t="s">
        <v>8</v>
      </c>
      <c r="B41" s="14">
        <v>-449058</v>
      </c>
      <c r="C41" s="17">
        <f t="shared" si="2"/>
        <v>-0.24927959729613755</v>
      </c>
      <c r="D41" s="14">
        <v>-496637</v>
      </c>
      <c r="E41" s="17">
        <f t="shared" si="4"/>
        <v>-0.23219836098684898</v>
      </c>
      <c r="F41" s="17">
        <f t="shared" si="3"/>
        <v>0.10595290586071288</v>
      </c>
    </row>
    <row r="42" spans="1:21" s="9" customFormat="1" x14ac:dyDescent="0.3">
      <c r="A42" s="30" t="s">
        <v>9</v>
      </c>
      <c r="B42" s="30">
        <f>SUM(B40:B41)</f>
        <v>-532379</v>
      </c>
      <c r="C42" s="42">
        <f t="shared" si="2"/>
        <v>-0.29553247627014867</v>
      </c>
      <c r="D42" s="30">
        <f>SUM(D40:D41)</f>
        <v>-605492</v>
      </c>
      <c r="E42" s="42">
        <f t="shared" si="4"/>
        <v>-0.28309258067894494</v>
      </c>
      <c r="F42" s="17">
        <f t="shared" si="3"/>
        <v>0.13733261454715531</v>
      </c>
      <c r="G42" s="8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</row>
    <row r="43" spans="1:21" s="9" customFormat="1" x14ac:dyDescent="0.3">
      <c r="A43" s="30" t="s">
        <v>1</v>
      </c>
      <c r="B43" s="30">
        <f>+B39+B42</f>
        <v>213129</v>
      </c>
      <c r="C43" s="42">
        <f t="shared" si="2"/>
        <v>0.11831146821151944</v>
      </c>
      <c r="D43" s="30">
        <f>+D39+D42</f>
        <v>209093</v>
      </c>
      <c r="E43" s="42">
        <f t="shared" si="4"/>
        <v>9.7759635093283864E-2</v>
      </c>
      <c r="F43" s="17">
        <f t="shared" si="3"/>
        <v>-1.8936887988026032E-2</v>
      </c>
      <c r="G43" s="8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</row>
    <row r="44" spans="1:21" x14ac:dyDescent="0.3">
      <c r="A44" s="14" t="s">
        <v>51</v>
      </c>
      <c r="B44" s="14">
        <v>6605</v>
      </c>
      <c r="C44" s="17">
        <f t="shared" si="2"/>
        <v>3.6665458362638869E-3</v>
      </c>
      <c r="D44" s="14">
        <v>5680</v>
      </c>
      <c r="E44" s="17">
        <f t="shared" si="4"/>
        <v>2.6556351830518111E-3</v>
      </c>
      <c r="F44" s="17">
        <f t="shared" si="3"/>
        <v>-0.1400454201362604</v>
      </c>
    </row>
    <row r="45" spans="1:21" x14ac:dyDescent="0.3">
      <c r="A45" s="14" t="s">
        <v>11</v>
      </c>
      <c r="B45" s="14">
        <v>-38878</v>
      </c>
      <c r="C45" s="17">
        <f t="shared" si="2"/>
        <v>-2.1581827255453049E-2</v>
      </c>
      <c r="D45" s="14">
        <v>-58582</v>
      </c>
      <c r="E45" s="17">
        <f t="shared" si="4"/>
        <v>-2.7389510615060071E-2</v>
      </c>
      <c r="F45" s="17">
        <f t="shared" si="3"/>
        <v>0.5068161942486753</v>
      </c>
    </row>
    <row r="46" spans="1:21" x14ac:dyDescent="0.3">
      <c r="A46" s="14" t="s">
        <v>12</v>
      </c>
      <c r="B46" s="14">
        <v>1565</v>
      </c>
      <c r="C46" s="17">
        <f t="shared" si="2"/>
        <v>8.687576432631314E-4</v>
      </c>
      <c r="D46" s="14">
        <v>11039</v>
      </c>
      <c r="E46" s="17">
        <f t="shared" si="4"/>
        <v>5.1611895749487571E-3</v>
      </c>
      <c r="F46" s="17">
        <f t="shared" si="3"/>
        <v>6.0536741214057512</v>
      </c>
    </row>
    <row r="47" spans="1:21" x14ac:dyDescent="0.3">
      <c r="A47" s="14" t="s">
        <v>52</v>
      </c>
      <c r="B47" s="14">
        <v>-94129</v>
      </c>
      <c r="C47" s="17">
        <f t="shared" si="2"/>
        <v>-5.2252580321223832E-2</v>
      </c>
      <c r="D47" s="14">
        <v>-61542</v>
      </c>
      <c r="E47" s="17">
        <f t="shared" si="4"/>
        <v>-2.8773433175241999E-2</v>
      </c>
      <c r="F47" s="17">
        <f t="shared" si="3"/>
        <v>-0.3461951152142273</v>
      </c>
    </row>
    <row r="48" spans="1:21" x14ac:dyDescent="0.3">
      <c r="A48" s="14" t="s">
        <v>14</v>
      </c>
      <c r="B48" s="14">
        <v>15276</v>
      </c>
      <c r="C48" s="17">
        <f t="shared" si="2"/>
        <v>8.4799627849760986E-3</v>
      </c>
      <c r="D48" s="14">
        <v>14391</v>
      </c>
      <c r="E48" s="17">
        <f t="shared" si="4"/>
        <v>6.7283883660736992E-3</v>
      </c>
      <c r="F48" s="17">
        <f t="shared" si="3"/>
        <v>-5.7934014139827177E-2</v>
      </c>
    </row>
    <row r="49" spans="1:21" x14ac:dyDescent="0.3">
      <c r="A49" s="14" t="s">
        <v>16</v>
      </c>
      <c r="B49" s="14">
        <v>80487</v>
      </c>
      <c r="C49" s="17">
        <f t="shared" si="2"/>
        <v>4.4679678232153137E-2</v>
      </c>
      <c r="D49" s="14">
        <v>0</v>
      </c>
      <c r="E49" s="17">
        <f t="shared" si="4"/>
        <v>0</v>
      </c>
      <c r="F49" s="17">
        <f t="shared" si="3"/>
        <v>-1</v>
      </c>
    </row>
    <row r="50" spans="1:21" s="9" customFormat="1" x14ac:dyDescent="0.3">
      <c r="A50" s="30" t="s">
        <v>2</v>
      </c>
      <c r="B50" s="30">
        <f>SUM(B44:B49)</f>
        <v>-29074</v>
      </c>
      <c r="C50" s="42">
        <f t="shared" si="2"/>
        <v>-1.6139463080020629E-2</v>
      </c>
      <c r="D50" s="30">
        <f>SUM(D44:D49)</f>
        <v>-89014</v>
      </c>
      <c r="E50" s="42">
        <f t="shared" si="4"/>
        <v>-4.1617730666227801E-2</v>
      </c>
      <c r="F50" s="17">
        <f t="shared" si="3"/>
        <v>2.0616358258237599</v>
      </c>
      <c r="G50" s="8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</row>
    <row r="51" spans="1:21" s="9" customFormat="1" x14ac:dyDescent="0.3">
      <c r="A51" s="30" t="s">
        <v>41</v>
      </c>
      <c r="B51" s="30">
        <f>+B43+B50</f>
        <v>184055</v>
      </c>
      <c r="C51" s="42">
        <f t="shared" si="2"/>
        <v>0.10217200513149882</v>
      </c>
      <c r="D51" s="30">
        <f>+D43+D50</f>
        <v>120079</v>
      </c>
      <c r="E51" s="42">
        <f t="shared" si="4"/>
        <v>5.6141904427056064E-2</v>
      </c>
      <c r="F51" s="17">
        <f t="shared" si="3"/>
        <v>-0.34759175246529572</v>
      </c>
      <c r="G51" s="8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</row>
    <row r="52" spans="1:21" x14ac:dyDescent="0.3">
      <c r="A52" s="14" t="s">
        <v>15</v>
      </c>
      <c r="B52" s="14">
        <v>-61357</v>
      </c>
      <c r="C52" s="17">
        <f t="shared" si="2"/>
        <v>-3.4060295666259399E-2</v>
      </c>
      <c r="D52" s="14">
        <v>-41797</v>
      </c>
      <c r="E52" s="17">
        <f t="shared" si="4"/>
        <v>-1.9541828124298687E-2</v>
      </c>
      <c r="F52" s="17">
        <f t="shared" si="3"/>
        <v>-0.31879003210717605</v>
      </c>
    </row>
    <row r="53" spans="1:21" x14ac:dyDescent="0.3">
      <c r="A53" s="14" t="s">
        <v>18</v>
      </c>
      <c r="B53" s="14">
        <v>-111</v>
      </c>
      <c r="C53" s="17">
        <f t="shared" si="2"/>
        <v>-6.1617954250611881E-5</v>
      </c>
      <c r="D53" s="14">
        <v>34</v>
      </c>
      <c r="E53" s="17">
        <f t="shared" si="4"/>
        <v>1.5896407785873518E-5</v>
      </c>
      <c r="F53" s="17">
        <f t="shared" si="3"/>
        <v>-1.3063063063063063</v>
      </c>
    </row>
    <row r="54" spans="1:21" s="9" customFormat="1" x14ac:dyDescent="0.3">
      <c r="A54" s="43" t="s">
        <v>17</v>
      </c>
      <c r="B54" s="43">
        <f>+B51+B52+B53</f>
        <v>122587</v>
      </c>
      <c r="C54" s="44">
        <f t="shared" si="2"/>
        <v>6.8050091510988814E-2</v>
      </c>
      <c r="D54" s="43">
        <f>+D51+D52+D53</f>
        <v>78316</v>
      </c>
      <c r="E54" s="44">
        <f t="shared" si="4"/>
        <v>3.6615972710543246E-2</v>
      </c>
      <c r="F54" s="44">
        <f>+(D54-B54)/B54</f>
        <v>-0.36113943566609835</v>
      </c>
      <c r="G54" s="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</row>
    <row r="55" spans="1:21" s="9" customFormat="1" ht="15.75" thickBot="1" x14ac:dyDescent="0.35">
      <c r="A55" s="27" t="s">
        <v>19</v>
      </c>
      <c r="B55" s="27">
        <v>260911</v>
      </c>
      <c r="C55" s="45">
        <f t="shared" si="2"/>
        <v>0.1448360546079405</v>
      </c>
      <c r="D55" s="27">
        <v>253766</v>
      </c>
      <c r="E55" s="45">
        <f t="shared" si="4"/>
        <v>0.11864611229970526</v>
      </c>
      <c r="F55" s="45">
        <f>+(D55-B55)/B55</f>
        <v>-2.7384817044892703E-2</v>
      </c>
      <c r="G55" s="8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</row>
    <row r="56" spans="1:21" x14ac:dyDescent="0.3">
      <c r="A56" s="2"/>
      <c r="C56" s="3"/>
      <c r="D56" s="10"/>
    </row>
    <row r="57" spans="1:21" x14ac:dyDescent="0.3">
      <c r="A57" s="19" t="s">
        <v>53</v>
      </c>
      <c r="B57" s="14"/>
      <c r="C57" s="14"/>
      <c r="D57" s="17"/>
    </row>
    <row r="58" spans="1:21" x14ac:dyDescent="0.3">
      <c r="D58" s="10"/>
    </row>
  </sheetData>
  <phoneticPr fontId="0" type="noConversion"/>
  <pageMargins left="0.70866141732283472" right="0.43307086614173229" top="0.43307086614173229" bottom="0.51181102362204722" header="0.31496062992125984" footer="0.31496062992125984"/>
  <pageSetup scale="87" orientation="portrait" r:id="rId1"/>
  <headerFooter>
    <oddFooter>&amp;C&amp;A</oddFooter>
  </headerFooter>
  <customProperties>
    <customPr name="_pios_id" r:id="rId2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6"/>
  <sheetViews>
    <sheetView topLeftCell="A18" zoomScale="86" zoomScaleNormal="86" workbookViewId="0">
      <selection activeCell="C48" sqref="C48"/>
    </sheetView>
  </sheetViews>
  <sheetFormatPr baseColWidth="10" defaultColWidth="11.42578125" defaultRowHeight="15" x14ac:dyDescent="0.3"/>
  <cols>
    <col min="1" max="1" width="43.7109375" style="5" customWidth="1"/>
    <col min="2" max="3" width="11.7109375" style="2" bestFit="1" customWidth="1"/>
    <col min="4" max="4" width="13.28515625" style="3" bestFit="1" customWidth="1"/>
    <col min="5" max="6" width="11.42578125" style="5"/>
    <col min="7" max="7" width="28.5703125" style="11" bestFit="1" customWidth="1"/>
    <col min="8" max="8" width="11.5703125" style="5" bestFit="1" customWidth="1"/>
    <col min="9" max="16384" width="11.42578125" style="5"/>
  </cols>
  <sheetData>
    <row r="1" spans="1:11" x14ac:dyDescent="0.3">
      <c r="A1" s="24" t="s">
        <v>69</v>
      </c>
    </row>
    <row r="2" spans="1:11" x14ac:dyDescent="0.3">
      <c r="A2" s="24" t="s">
        <v>78</v>
      </c>
    </row>
    <row r="3" spans="1:11" x14ac:dyDescent="0.3">
      <c r="A3" s="24" t="s">
        <v>44</v>
      </c>
    </row>
    <row r="4" spans="1:11" x14ac:dyDescent="0.3">
      <c r="A4" s="24" t="s">
        <v>45</v>
      </c>
    </row>
    <row r="5" spans="1:11" ht="12" customHeight="1" x14ac:dyDescent="0.3">
      <c r="G5" s="5"/>
    </row>
    <row r="6" spans="1:11" x14ac:dyDescent="0.3">
      <c r="A6" s="6" t="s">
        <v>20</v>
      </c>
      <c r="B6" s="6">
        <v>2008</v>
      </c>
      <c r="C6" s="6">
        <v>2009</v>
      </c>
      <c r="D6" s="7" t="s">
        <v>46</v>
      </c>
      <c r="G6" s="5"/>
    </row>
    <row r="7" spans="1:11" x14ac:dyDescent="0.3">
      <c r="A7" s="18" t="s">
        <v>21</v>
      </c>
      <c r="B7" s="14">
        <v>1510</v>
      </c>
      <c r="C7" s="14">
        <v>351.04640899999998</v>
      </c>
      <c r="D7" s="17">
        <f t="shared" ref="D7:D14" si="0">IF(B7&lt;&gt;0,(C7-B7)/B7,0)</f>
        <v>-0.76751893443708608</v>
      </c>
      <c r="G7" s="5"/>
    </row>
    <row r="8" spans="1:11" x14ac:dyDescent="0.3">
      <c r="A8" s="18" t="s">
        <v>22</v>
      </c>
      <c r="B8" s="14">
        <v>2916380</v>
      </c>
      <c r="C8" s="14">
        <v>3674469</v>
      </c>
      <c r="D8" s="17">
        <f t="shared" si="0"/>
        <v>0.25994177713466693</v>
      </c>
      <c r="G8" s="5"/>
    </row>
    <row r="9" spans="1:11" s="11" customFormat="1" x14ac:dyDescent="0.3">
      <c r="A9" s="18" t="s">
        <v>23</v>
      </c>
      <c r="B9" s="14">
        <v>27949.618029000001</v>
      </c>
      <c r="C9" s="14">
        <v>42390.248979000004</v>
      </c>
      <c r="D9" s="17">
        <f t="shared" si="0"/>
        <v>0.51666648664095061</v>
      </c>
      <c r="E9" s="5"/>
      <c r="F9" s="5"/>
      <c r="G9" s="5"/>
      <c r="H9" s="5"/>
      <c r="I9" s="5"/>
      <c r="J9" s="5"/>
      <c r="K9" s="5"/>
    </row>
    <row r="10" spans="1:11" s="11" customFormat="1" x14ac:dyDescent="0.3">
      <c r="A10" s="18" t="s">
        <v>37</v>
      </c>
      <c r="B10" s="14">
        <v>49.019278</v>
      </c>
      <c r="C10" s="14">
        <v>0</v>
      </c>
      <c r="D10" s="17">
        <f t="shared" si="0"/>
        <v>-1</v>
      </c>
      <c r="E10" s="5"/>
      <c r="F10" s="5"/>
      <c r="G10" s="5"/>
      <c r="H10" s="5"/>
      <c r="I10" s="5"/>
      <c r="J10" s="5"/>
      <c r="K10" s="5"/>
    </row>
    <row r="11" spans="1:11" s="11" customFormat="1" x14ac:dyDescent="0.3">
      <c r="A11" s="18" t="s">
        <v>24</v>
      </c>
      <c r="B11" s="14"/>
      <c r="C11" s="14">
        <v>491.85170699999998</v>
      </c>
      <c r="D11" s="17">
        <f t="shared" si="0"/>
        <v>0</v>
      </c>
      <c r="E11" s="5"/>
      <c r="F11" s="5"/>
      <c r="G11" s="5"/>
      <c r="H11" s="5"/>
      <c r="I11" s="5"/>
      <c r="J11" s="5"/>
      <c r="K11" s="5"/>
    </row>
    <row r="12" spans="1:11" s="11" customFormat="1" x14ac:dyDescent="0.3">
      <c r="A12" s="18" t="s">
        <v>59</v>
      </c>
      <c r="B12" s="14">
        <v>209</v>
      </c>
      <c r="C12" s="14">
        <f>155+54</f>
        <v>209</v>
      </c>
      <c r="D12" s="17">
        <f t="shared" si="0"/>
        <v>0</v>
      </c>
      <c r="E12" s="5"/>
      <c r="F12" s="5"/>
      <c r="G12" s="5"/>
      <c r="H12" s="5"/>
      <c r="I12" s="5"/>
      <c r="J12" s="5"/>
      <c r="K12" s="5"/>
    </row>
    <row r="13" spans="1:11" s="11" customFormat="1" x14ac:dyDescent="0.3">
      <c r="A13" s="18" t="s">
        <v>26</v>
      </c>
      <c r="B13" s="14">
        <v>997550.44343600003</v>
      </c>
      <c r="C13" s="14">
        <v>1378868.0053719999</v>
      </c>
      <c r="D13" s="17">
        <f t="shared" si="0"/>
        <v>0.38225391452143054</v>
      </c>
      <c r="E13" s="5"/>
      <c r="F13" s="5"/>
      <c r="G13" s="5"/>
      <c r="H13" s="5"/>
      <c r="I13" s="5"/>
      <c r="J13" s="5"/>
      <c r="K13" s="5"/>
    </row>
    <row r="14" spans="1:11" s="11" customFormat="1" ht="15.75" thickBot="1" x14ac:dyDescent="0.35">
      <c r="A14" s="26" t="s">
        <v>27</v>
      </c>
      <c r="B14" s="27">
        <f>SUM(B7:B13)</f>
        <v>3943648.0807429999</v>
      </c>
      <c r="C14" s="27">
        <f>SUM(C7:C13)</f>
        <v>5096779.1524669994</v>
      </c>
      <c r="D14" s="46">
        <f t="shared" si="0"/>
        <v>0.29240212313943204</v>
      </c>
      <c r="E14" s="5"/>
      <c r="F14" s="5"/>
      <c r="G14" s="5"/>
      <c r="H14" s="5"/>
      <c r="I14" s="5"/>
      <c r="J14" s="5"/>
      <c r="K14" s="5"/>
    </row>
    <row r="15" spans="1:11" x14ac:dyDescent="0.3">
      <c r="G15" s="5"/>
    </row>
    <row r="16" spans="1:11" s="11" customFormat="1" x14ac:dyDescent="0.3">
      <c r="A16" s="6" t="s">
        <v>48</v>
      </c>
      <c r="B16" s="6">
        <v>2008</v>
      </c>
      <c r="C16" s="6">
        <v>2009</v>
      </c>
      <c r="D16" s="7" t="s">
        <v>46</v>
      </c>
      <c r="E16" s="5"/>
      <c r="F16" s="5"/>
      <c r="G16" s="5"/>
      <c r="H16" s="5"/>
      <c r="I16" s="5"/>
      <c r="J16" s="5"/>
      <c r="K16" s="5"/>
    </row>
    <row r="17" spans="1:11" s="11" customFormat="1" x14ac:dyDescent="0.3">
      <c r="A17" s="18" t="s">
        <v>28</v>
      </c>
      <c r="B17" s="14">
        <v>7142.725461</v>
      </c>
      <c r="C17" s="14">
        <v>115.76253199999999</v>
      </c>
      <c r="D17" s="17">
        <f t="shared" ref="D17:D25" si="1">IF(B17&lt;&gt;0,(C17-B17)/B17,0)</f>
        <v>-0.98379294673551787</v>
      </c>
      <c r="E17" s="5"/>
      <c r="F17" s="5"/>
      <c r="G17" s="5"/>
      <c r="H17" s="5"/>
      <c r="I17" s="5"/>
      <c r="J17" s="5"/>
      <c r="K17" s="5"/>
    </row>
    <row r="18" spans="1:11" s="11" customFormat="1" x14ac:dyDescent="0.3">
      <c r="A18" s="18" t="s">
        <v>29</v>
      </c>
      <c r="B18" s="14">
        <v>104450.431241</v>
      </c>
      <c r="C18" s="14">
        <v>141644.109547</v>
      </c>
      <c r="D18" s="17">
        <f t="shared" si="1"/>
        <v>0.35608927473149909</v>
      </c>
      <c r="E18" s="5"/>
      <c r="F18" s="5"/>
      <c r="G18" s="5"/>
      <c r="H18" s="5"/>
      <c r="I18" s="5"/>
      <c r="J18" s="5"/>
      <c r="K18" s="5"/>
    </row>
    <row r="19" spans="1:11" x14ac:dyDescent="0.3">
      <c r="A19" s="18" t="s">
        <v>30</v>
      </c>
      <c r="B19" s="14">
        <v>295.03023300000001</v>
      </c>
      <c r="C19" s="14">
        <v>1914.8314620000001</v>
      </c>
      <c r="D19" s="17">
        <f t="shared" si="1"/>
        <v>5.4902889528613157</v>
      </c>
      <c r="G19" s="5"/>
    </row>
    <row r="20" spans="1:11" x14ac:dyDescent="0.3">
      <c r="A20" s="18" t="s">
        <v>31</v>
      </c>
      <c r="B20" s="14">
        <v>93.912424000000001</v>
      </c>
      <c r="C20" s="14">
        <v>159.08754500000001</v>
      </c>
      <c r="D20" s="17">
        <f t="shared" si="1"/>
        <v>0.69399892180399902</v>
      </c>
      <c r="G20" s="5"/>
    </row>
    <row r="21" spans="1:11" x14ac:dyDescent="0.3">
      <c r="A21" s="18" t="s">
        <v>32</v>
      </c>
      <c r="B21" s="14">
        <v>1316.4207690000001</v>
      </c>
      <c r="C21" s="14">
        <v>1177.3063010000001</v>
      </c>
      <c r="D21" s="17">
        <f t="shared" si="1"/>
        <v>-0.10567629383853938</v>
      </c>
      <c r="G21" s="5"/>
    </row>
    <row r="22" spans="1:11" x14ac:dyDescent="0.3">
      <c r="A22" s="18" t="s">
        <v>24</v>
      </c>
      <c r="B22" s="14">
        <v>5868.0603709999996</v>
      </c>
      <c r="C22" s="14">
        <v>6358.6844350000001</v>
      </c>
      <c r="D22" s="17">
        <f t="shared" si="1"/>
        <v>8.3609239336505214E-2</v>
      </c>
      <c r="G22" s="5"/>
    </row>
    <row r="23" spans="1:11" s="9" customFormat="1" x14ac:dyDescent="0.3">
      <c r="A23" s="29" t="s">
        <v>33</v>
      </c>
      <c r="B23" s="30">
        <f>SUM(B17:B22)</f>
        <v>119166.58049899999</v>
      </c>
      <c r="C23" s="30">
        <f>SUM(C17:C22)</f>
        <v>151369.78182199999</v>
      </c>
      <c r="D23" s="42">
        <f t="shared" si="1"/>
        <v>0.27023684986303892</v>
      </c>
      <c r="F23" s="5"/>
      <c r="G23" s="5"/>
      <c r="H23" s="5"/>
      <c r="I23" s="5"/>
      <c r="J23" s="5"/>
      <c r="K23" s="5"/>
    </row>
    <row r="24" spans="1:11" s="9" customFormat="1" x14ac:dyDescent="0.3">
      <c r="A24" s="31" t="s">
        <v>34</v>
      </c>
      <c r="B24" s="32">
        <f>+B14-B23</f>
        <v>3824481.500244</v>
      </c>
      <c r="C24" s="32">
        <f>+C14-C23</f>
        <v>4945409.3706449997</v>
      </c>
      <c r="D24" s="47">
        <f t="shared" si="1"/>
        <v>0.29309276834767928</v>
      </c>
      <c r="E24" s="60"/>
      <c r="F24" s="5"/>
      <c r="G24" s="5"/>
      <c r="H24" s="5"/>
      <c r="I24" s="5"/>
      <c r="J24" s="5"/>
      <c r="K24" s="5"/>
    </row>
    <row r="25" spans="1:11" s="9" customFormat="1" ht="15.75" thickBot="1" x14ac:dyDescent="0.35">
      <c r="A25" s="26" t="s">
        <v>35</v>
      </c>
      <c r="B25" s="27">
        <f>+B23+B24</f>
        <v>3943648.0807429999</v>
      </c>
      <c r="C25" s="27">
        <f>+C23+C24</f>
        <v>5096779.1524669994</v>
      </c>
      <c r="D25" s="45">
        <f t="shared" si="1"/>
        <v>0.29240212313943204</v>
      </c>
      <c r="F25" s="5"/>
      <c r="G25" s="5"/>
      <c r="H25" s="5"/>
      <c r="I25" s="5"/>
      <c r="J25" s="5"/>
      <c r="K25" s="5"/>
    </row>
    <row r="26" spans="1:11" x14ac:dyDescent="0.3">
      <c r="A26" s="18" t="s">
        <v>54</v>
      </c>
      <c r="B26" s="14">
        <v>435123458</v>
      </c>
      <c r="C26" s="14">
        <v>435123458</v>
      </c>
      <c r="D26" s="17"/>
      <c r="G26" s="5"/>
    </row>
    <row r="27" spans="1:11" x14ac:dyDescent="0.3">
      <c r="A27" s="18" t="s">
        <v>71</v>
      </c>
      <c r="B27" s="33">
        <f>+B24/+(B26/1000000)</f>
        <v>8789.4169572535429</v>
      </c>
      <c r="C27" s="33">
        <f>+C24/+(C26/1000000)</f>
        <v>11365.531505417021</v>
      </c>
      <c r="D27" s="17"/>
      <c r="G27" s="5"/>
    </row>
    <row r="28" spans="1:11" x14ac:dyDescent="0.3">
      <c r="G28" s="5"/>
    </row>
    <row r="29" spans="1:11" x14ac:dyDescent="0.3">
      <c r="A29" s="6" t="s">
        <v>70</v>
      </c>
      <c r="B29" s="6">
        <v>2008</v>
      </c>
      <c r="C29" s="6">
        <v>2009</v>
      </c>
      <c r="D29" s="6" t="s">
        <v>46</v>
      </c>
      <c r="G29" s="5"/>
    </row>
    <row r="30" spans="1:11" x14ac:dyDescent="0.3">
      <c r="A30" s="19" t="s">
        <v>62</v>
      </c>
      <c r="B30" s="17"/>
      <c r="C30" s="17"/>
      <c r="D30" s="34"/>
      <c r="G30" s="5"/>
    </row>
    <row r="31" spans="1:11" x14ac:dyDescent="0.3">
      <c r="A31" s="19" t="s">
        <v>44</v>
      </c>
      <c r="B31" s="17"/>
      <c r="C31" s="17"/>
      <c r="D31" s="34"/>
      <c r="G31" s="5"/>
    </row>
    <row r="32" spans="1:11" x14ac:dyDescent="0.3">
      <c r="A32" s="19" t="s">
        <v>45</v>
      </c>
      <c r="B32" s="17"/>
      <c r="C32" s="17"/>
      <c r="D32" s="34"/>
      <c r="G32" s="5"/>
    </row>
    <row r="33" spans="1:11" s="9" customFormat="1" x14ac:dyDescent="0.3">
      <c r="A33" s="19" t="s">
        <v>72</v>
      </c>
      <c r="B33" s="30">
        <v>187371</v>
      </c>
      <c r="C33" s="30">
        <v>129491</v>
      </c>
      <c r="D33" s="17">
        <f>IF(B33&lt;&gt;0,(C33-B33)/B33,0)</f>
        <v>-0.30890586056540231</v>
      </c>
      <c r="F33" s="5"/>
      <c r="G33" s="5"/>
      <c r="H33" s="5"/>
      <c r="I33" s="5"/>
      <c r="J33" s="5"/>
      <c r="K33" s="5"/>
    </row>
    <row r="34" spans="1:11" x14ac:dyDescent="0.3">
      <c r="A34" s="19" t="s">
        <v>5</v>
      </c>
      <c r="B34" s="14">
        <v>2573</v>
      </c>
      <c r="C34" s="14">
        <v>0</v>
      </c>
      <c r="D34" s="17">
        <f t="shared" ref="D34:D44" si="2">IF(B34&lt;&gt;0,(C34-B34)/B34,0)</f>
        <v>-1</v>
      </c>
      <c r="G34" s="5"/>
    </row>
    <row r="35" spans="1:11" s="9" customFormat="1" x14ac:dyDescent="0.3">
      <c r="A35" s="19" t="s">
        <v>57</v>
      </c>
      <c r="B35" s="14">
        <v>11812</v>
      </c>
      <c r="C35" s="14">
        <v>9800.1143919999995</v>
      </c>
      <c r="D35" s="17">
        <f t="shared" si="2"/>
        <v>-0.17032556789705389</v>
      </c>
      <c r="F35" s="5"/>
      <c r="G35" s="5"/>
      <c r="H35" s="5"/>
      <c r="I35" s="5"/>
      <c r="J35" s="5"/>
      <c r="K35" s="5"/>
    </row>
    <row r="36" spans="1:11" s="9" customFormat="1" x14ac:dyDescent="0.3">
      <c r="A36" s="19" t="s">
        <v>56</v>
      </c>
      <c r="B36" s="14">
        <v>4011</v>
      </c>
      <c r="C36" s="14">
        <v>5677</v>
      </c>
      <c r="D36" s="17">
        <f t="shared" si="2"/>
        <v>0.41535776614310643</v>
      </c>
      <c r="F36" s="5"/>
      <c r="G36" s="5"/>
      <c r="H36" s="5"/>
      <c r="I36" s="5"/>
      <c r="J36" s="5"/>
      <c r="K36" s="5"/>
    </row>
    <row r="37" spans="1:11" s="9" customFormat="1" x14ac:dyDescent="0.3">
      <c r="A37" s="35" t="s">
        <v>4</v>
      </c>
      <c r="B37" s="30">
        <f>SUM(B33:B36)</f>
        <v>205767</v>
      </c>
      <c r="C37" s="30">
        <f>SUM(C33:C36)</f>
        <v>144968.11439199999</v>
      </c>
      <c r="D37" s="17">
        <f t="shared" si="2"/>
        <v>-0.29547442305131538</v>
      </c>
      <c r="F37" s="5"/>
      <c r="G37" s="5"/>
      <c r="H37" s="5"/>
      <c r="I37" s="5"/>
      <c r="J37" s="5"/>
      <c r="K37" s="5"/>
    </row>
    <row r="38" spans="1:11" x14ac:dyDescent="0.3">
      <c r="A38" s="19" t="s">
        <v>58</v>
      </c>
      <c r="B38" s="14">
        <v>-6038</v>
      </c>
      <c r="C38" s="14">
        <v>-6753.4162860000006</v>
      </c>
      <c r="D38" s="17">
        <f t="shared" si="2"/>
        <v>0.11848563862206038</v>
      </c>
      <c r="G38" s="5"/>
    </row>
    <row r="39" spans="1:11" s="9" customFormat="1" x14ac:dyDescent="0.3">
      <c r="A39" s="35" t="s">
        <v>42</v>
      </c>
      <c r="B39" s="30">
        <f>SUM(B37:B38)</f>
        <v>199729</v>
      </c>
      <c r="C39" s="30">
        <f>SUM(C37:C38)</f>
        <v>138214.698106</v>
      </c>
      <c r="D39" s="17">
        <f t="shared" si="2"/>
        <v>-0.30798883434053143</v>
      </c>
      <c r="F39" s="5"/>
      <c r="G39" s="5"/>
      <c r="H39" s="5"/>
      <c r="I39" s="5"/>
      <c r="J39" s="5"/>
      <c r="K39" s="5"/>
    </row>
    <row r="40" spans="1:11" s="9" customFormat="1" x14ac:dyDescent="0.3">
      <c r="A40" s="19" t="s">
        <v>10</v>
      </c>
      <c r="B40" s="14">
        <v>704</v>
      </c>
      <c r="C40" s="14">
        <v>157.40784700000003</v>
      </c>
      <c r="D40" s="17">
        <f t="shared" si="2"/>
        <v>-0.7764093082386363</v>
      </c>
      <c r="F40" s="5"/>
      <c r="G40" s="5"/>
      <c r="H40" s="5"/>
      <c r="I40" s="5"/>
      <c r="J40" s="5"/>
      <c r="K40" s="5"/>
    </row>
    <row r="41" spans="1:11" x14ac:dyDescent="0.3">
      <c r="A41" s="19" t="s">
        <v>13</v>
      </c>
      <c r="B41" s="14">
        <v>-614</v>
      </c>
      <c r="C41" s="14">
        <v>-528.18213100000003</v>
      </c>
      <c r="D41" s="17">
        <f t="shared" si="2"/>
        <v>-0.13976851628664491</v>
      </c>
      <c r="G41" s="5"/>
    </row>
    <row r="42" spans="1:11" s="9" customFormat="1" x14ac:dyDescent="0.3">
      <c r="A42" s="35" t="s">
        <v>43</v>
      </c>
      <c r="B42" s="30">
        <f>SUM(B39:B41)</f>
        <v>199819</v>
      </c>
      <c r="C42" s="30">
        <f>SUM(C39:C41)</f>
        <v>137843.92382199998</v>
      </c>
      <c r="D42" s="17">
        <f t="shared" si="2"/>
        <v>-0.31015607213528251</v>
      </c>
      <c r="F42" s="5"/>
      <c r="G42" s="5"/>
      <c r="H42" s="5"/>
      <c r="I42" s="5"/>
      <c r="J42" s="5"/>
      <c r="K42" s="5"/>
    </row>
    <row r="43" spans="1:11" x14ac:dyDescent="0.3">
      <c r="A43" s="19" t="s">
        <v>15</v>
      </c>
      <c r="B43" s="14">
        <v>-142</v>
      </c>
      <c r="C43" s="14">
        <v>-153.98000000000005</v>
      </c>
      <c r="D43" s="17">
        <f t="shared" si="2"/>
        <v>8.4366197183098915E-2</v>
      </c>
      <c r="G43" s="5"/>
    </row>
    <row r="44" spans="1:11" ht="15.75" thickBot="1" x14ac:dyDescent="0.35">
      <c r="A44" s="36" t="s">
        <v>17</v>
      </c>
      <c r="B44" s="37">
        <f>SUM(B42:B43)</f>
        <v>199677</v>
      </c>
      <c r="C44" s="37">
        <f>SUM(C42:C43)</f>
        <v>137689.94382199997</v>
      </c>
      <c r="D44" s="45">
        <f t="shared" si="2"/>
        <v>-0.3104366360572326</v>
      </c>
      <c r="G44" s="5"/>
    </row>
    <row r="45" spans="1:11" x14ac:dyDescent="0.3">
      <c r="G45" s="5"/>
    </row>
    <row r="46" spans="1:11" x14ac:dyDescent="0.3">
      <c r="A46" s="19"/>
      <c r="B46" s="14"/>
      <c r="C46" s="14"/>
      <c r="D46" s="17"/>
      <c r="G46" s="5"/>
    </row>
  </sheetData>
  <phoneticPr fontId="0" type="noConversion"/>
  <pageMargins left="0.70866141732283472" right="0.43307086614173229" top="0.47244094488188981" bottom="0.39370078740157483" header="0.31496062992125984" footer="0.18"/>
  <pageSetup orientation="portrait" r:id="rId1"/>
  <headerFooter>
    <oddFooter>&amp;L&amp;A</oddFooter>
  </headerFooter>
  <customProperties>
    <customPr name="_pios_id" r:id="rId2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8"/>
  <sheetViews>
    <sheetView topLeftCell="A17" zoomScale="87" zoomScaleNormal="87" workbookViewId="0">
      <selection activeCell="F48" sqref="F48"/>
    </sheetView>
  </sheetViews>
  <sheetFormatPr baseColWidth="10" defaultColWidth="11.42578125" defaultRowHeight="15" x14ac:dyDescent="0.3"/>
  <cols>
    <col min="1" max="1" width="43.42578125" style="5" customWidth="1"/>
    <col min="2" max="2" width="11.7109375" style="2" bestFit="1" customWidth="1"/>
    <col min="3" max="3" width="14.7109375" style="2" bestFit="1" customWidth="1"/>
    <col min="4" max="4" width="13.28515625" style="3" bestFit="1" customWidth="1"/>
    <col min="5" max="5" width="11.42578125" style="3"/>
    <col min="6" max="6" width="11.5703125" style="4" customWidth="1"/>
    <col min="7" max="7" width="3.42578125" style="4" customWidth="1"/>
    <col min="8" max="8" width="11.42578125" style="5"/>
    <col min="9" max="9" width="18.28515625" style="5" customWidth="1"/>
    <col min="10" max="16384" width="11.42578125" style="5"/>
  </cols>
  <sheetData>
    <row r="1" spans="1:14" x14ac:dyDescent="0.3">
      <c r="A1" s="38" t="s">
        <v>40</v>
      </c>
      <c r="I1" s="4"/>
      <c r="J1" s="2"/>
      <c r="K1" s="2"/>
      <c r="L1" s="3"/>
      <c r="M1" s="21"/>
      <c r="N1" s="4"/>
    </row>
    <row r="2" spans="1:14" x14ac:dyDescent="0.3">
      <c r="A2" s="38" t="s">
        <v>61</v>
      </c>
      <c r="H2" s="4"/>
      <c r="I2" s="4"/>
      <c r="J2" s="4"/>
      <c r="K2" s="4"/>
      <c r="L2" s="4"/>
      <c r="M2" s="4"/>
      <c r="N2" s="4"/>
    </row>
    <row r="3" spans="1:14" x14ac:dyDescent="0.3">
      <c r="A3" s="24" t="s">
        <v>44</v>
      </c>
      <c r="H3" s="4"/>
      <c r="I3" s="4"/>
      <c r="J3" s="4"/>
      <c r="K3" s="4"/>
      <c r="L3" s="4"/>
      <c r="M3" s="4"/>
      <c r="N3" s="4"/>
    </row>
    <row r="4" spans="1:14" x14ac:dyDescent="0.3">
      <c r="A4" s="24" t="s">
        <v>45</v>
      </c>
      <c r="H4" s="4"/>
      <c r="I4" s="4"/>
      <c r="J4" s="4"/>
      <c r="K4" s="4"/>
      <c r="L4" s="4"/>
      <c r="M4" s="4"/>
      <c r="N4" s="4"/>
    </row>
    <row r="5" spans="1:14" x14ac:dyDescent="0.3">
      <c r="H5" s="4"/>
      <c r="I5" s="4"/>
      <c r="J5" s="4"/>
      <c r="K5" s="4"/>
      <c r="L5" s="4"/>
      <c r="M5" s="4"/>
      <c r="N5" s="4"/>
    </row>
    <row r="6" spans="1:14" x14ac:dyDescent="0.3">
      <c r="A6" s="6" t="s">
        <v>20</v>
      </c>
      <c r="B6" s="6">
        <v>2008</v>
      </c>
      <c r="C6" s="6">
        <v>2009</v>
      </c>
      <c r="D6" s="7" t="s">
        <v>46</v>
      </c>
      <c r="H6" s="4"/>
      <c r="I6" s="4"/>
      <c r="J6" s="4"/>
      <c r="K6" s="4"/>
      <c r="L6" s="4"/>
      <c r="M6" s="4"/>
      <c r="N6" s="4"/>
    </row>
    <row r="7" spans="1:14" x14ac:dyDescent="0.3">
      <c r="A7" s="18" t="s">
        <v>21</v>
      </c>
      <c r="B7" s="14">
        <v>214086</v>
      </c>
      <c r="C7" s="2">
        <v>135155</v>
      </c>
      <c r="D7" s="17">
        <f>+(C7-B7)/B7</f>
        <v>-0.36868828414749211</v>
      </c>
      <c r="H7" s="4"/>
      <c r="I7" s="4"/>
      <c r="J7" s="4"/>
      <c r="K7" s="4"/>
      <c r="L7" s="4"/>
      <c r="M7" s="4"/>
      <c r="N7" s="4"/>
    </row>
    <row r="8" spans="1:14" x14ac:dyDescent="0.3">
      <c r="A8" s="18" t="s">
        <v>22</v>
      </c>
      <c r="B8" s="14">
        <v>320988</v>
      </c>
      <c r="C8" s="2">
        <v>339888</v>
      </c>
      <c r="D8" s="17">
        <f t="shared" ref="D8:D16" si="0">+(C8-B8)/B8</f>
        <v>5.8880705820778347E-2</v>
      </c>
      <c r="H8" s="4"/>
      <c r="I8" s="4"/>
      <c r="J8" s="4"/>
      <c r="K8" s="4"/>
      <c r="L8" s="4"/>
      <c r="M8" s="4"/>
      <c r="N8" s="4"/>
    </row>
    <row r="9" spans="1:14" x14ac:dyDescent="0.3">
      <c r="A9" s="18" t="s">
        <v>23</v>
      </c>
      <c r="B9" s="14">
        <v>612909</v>
      </c>
      <c r="C9" s="2">
        <v>570273</v>
      </c>
      <c r="D9" s="17">
        <f t="shared" si="0"/>
        <v>-6.9563344640068914E-2</v>
      </c>
      <c r="H9" s="4"/>
      <c r="I9" s="4"/>
      <c r="J9" s="4"/>
      <c r="K9" s="4"/>
      <c r="L9" s="4"/>
      <c r="M9" s="4"/>
      <c r="N9" s="4"/>
    </row>
    <row r="10" spans="1:14" x14ac:dyDescent="0.3">
      <c r="A10" s="18" t="s">
        <v>36</v>
      </c>
      <c r="B10" s="14">
        <v>512928</v>
      </c>
      <c r="C10" s="2">
        <v>568119</v>
      </c>
      <c r="D10" s="17">
        <f t="shared" si="0"/>
        <v>0.1075998970615759</v>
      </c>
      <c r="H10" s="4"/>
      <c r="I10" s="4"/>
      <c r="J10" s="4"/>
      <c r="K10" s="4"/>
      <c r="L10" s="4"/>
      <c r="M10" s="4"/>
      <c r="N10" s="4"/>
    </row>
    <row r="11" spans="1:14" x14ac:dyDescent="0.3">
      <c r="A11" s="18" t="s">
        <v>60</v>
      </c>
      <c r="B11" s="14">
        <v>719980</v>
      </c>
      <c r="C11" s="2">
        <v>886647</v>
      </c>
      <c r="D11" s="17">
        <f t="shared" si="0"/>
        <v>0.23148837467707437</v>
      </c>
      <c r="H11" s="4"/>
      <c r="I11" s="4"/>
      <c r="J11" s="4"/>
      <c r="K11" s="4"/>
      <c r="L11" s="4"/>
      <c r="M11" s="4"/>
      <c r="N11" s="4"/>
    </row>
    <row r="12" spans="1:14" x14ac:dyDescent="0.3">
      <c r="A12" s="18" t="s">
        <v>47</v>
      </c>
      <c r="B12" s="14">
        <v>519323</v>
      </c>
      <c r="C12" s="2">
        <v>711221</v>
      </c>
      <c r="D12" s="17">
        <f t="shared" si="0"/>
        <v>0.36951569639704002</v>
      </c>
      <c r="H12" s="4"/>
      <c r="I12" s="4"/>
      <c r="J12" s="4"/>
      <c r="K12" s="4"/>
      <c r="L12" s="4"/>
      <c r="M12" s="4"/>
      <c r="N12" s="4"/>
    </row>
    <row r="13" spans="1:14" x14ac:dyDescent="0.3">
      <c r="A13" s="18" t="s">
        <v>24</v>
      </c>
      <c r="B13" s="14">
        <v>71593</v>
      </c>
      <c r="C13" s="2">
        <v>52847</v>
      </c>
      <c r="D13" s="17">
        <f t="shared" si="0"/>
        <v>-0.2618412414621541</v>
      </c>
      <c r="H13" s="4"/>
      <c r="I13" s="4"/>
      <c r="J13" s="4"/>
      <c r="K13" s="4"/>
      <c r="L13" s="4"/>
      <c r="M13" s="4"/>
      <c r="N13" s="4"/>
    </row>
    <row r="14" spans="1:14" x14ac:dyDescent="0.3">
      <c r="A14" s="18" t="s">
        <v>25</v>
      </c>
      <c r="B14" s="14">
        <v>12506</v>
      </c>
      <c r="C14" s="2">
        <v>1207</v>
      </c>
      <c r="D14" s="17">
        <f t="shared" si="0"/>
        <v>-0.90348632656324968</v>
      </c>
      <c r="H14" s="4"/>
      <c r="I14" s="4"/>
      <c r="J14" s="4"/>
      <c r="K14" s="4"/>
      <c r="L14" s="4"/>
      <c r="M14" s="4"/>
      <c r="N14" s="4"/>
    </row>
    <row r="15" spans="1:14" x14ac:dyDescent="0.3">
      <c r="A15" s="18" t="s">
        <v>26</v>
      </c>
      <c r="B15" s="14">
        <v>2360009</v>
      </c>
      <c r="C15" s="2">
        <v>3343736</v>
      </c>
      <c r="D15" s="17">
        <f t="shared" si="0"/>
        <v>0.41683188496315055</v>
      </c>
      <c r="H15" s="4"/>
      <c r="I15" s="4"/>
      <c r="J15" s="4"/>
      <c r="K15" s="4"/>
      <c r="L15" s="4"/>
      <c r="M15" s="4"/>
      <c r="N15" s="4"/>
    </row>
    <row r="16" spans="1:14" ht="15.75" thickBot="1" x14ac:dyDescent="0.35">
      <c r="A16" s="26" t="s">
        <v>27</v>
      </c>
      <c r="B16" s="27">
        <f>SUM(B7:B15)</f>
        <v>5344322</v>
      </c>
      <c r="C16" s="64">
        <f>SUM(C7:C15)</f>
        <v>6609093</v>
      </c>
      <c r="D16" s="45">
        <f t="shared" si="0"/>
        <v>0.23665696041518455</v>
      </c>
      <c r="H16" s="4"/>
      <c r="I16" s="4"/>
      <c r="J16" s="4"/>
      <c r="K16" s="4"/>
      <c r="L16" s="4"/>
      <c r="M16" s="4"/>
      <c r="N16" s="4"/>
    </row>
    <row r="17" spans="1:14" x14ac:dyDescent="0.3">
      <c r="A17" s="1"/>
      <c r="H17" s="4"/>
      <c r="I17" s="4"/>
      <c r="J17" s="4"/>
      <c r="K17" s="4"/>
      <c r="L17" s="4"/>
      <c r="M17" s="4"/>
      <c r="N17" s="4"/>
    </row>
    <row r="18" spans="1:14" x14ac:dyDescent="0.3">
      <c r="A18" s="6" t="s">
        <v>48</v>
      </c>
      <c r="B18" s="6">
        <v>2008</v>
      </c>
      <c r="C18" s="6">
        <v>2009</v>
      </c>
      <c r="D18" s="7" t="s">
        <v>46</v>
      </c>
      <c r="H18" s="4"/>
      <c r="I18" s="4"/>
      <c r="J18" s="4"/>
      <c r="K18" s="4"/>
      <c r="L18" s="4"/>
      <c r="M18" s="4"/>
      <c r="N18" s="4"/>
    </row>
    <row r="19" spans="1:14" x14ac:dyDescent="0.3">
      <c r="A19" s="18" t="s">
        <v>28</v>
      </c>
      <c r="B19" s="14">
        <v>796807</v>
      </c>
      <c r="C19" s="2">
        <v>1054632.5706948291</v>
      </c>
      <c r="D19" s="17">
        <f t="shared" ref="D19:D30" si="1">+(C19-B19)/B19</f>
        <v>0.32357342580427773</v>
      </c>
      <c r="H19" s="4"/>
      <c r="I19" s="4"/>
      <c r="J19" s="4"/>
      <c r="K19" s="4"/>
      <c r="L19" s="4"/>
      <c r="M19" s="4"/>
      <c r="N19" s="4"/>
    </row>
    <row r="20" spans="1:14" x14ac:dyDescent="0.3">
      <c r="A20" s="18" t="s">
        <v>49</v>
      </c>
      <c r="B20" s="14">
        <v>186788</v>
      </c>
      <c r="C20" s="2">
        <f>81765</f>
        <v>81765</v>
      </c>
      <c r="D20" s="17">
        <f t="shared" si="1"/>
        <v>-0.56225774675032658</v>
      </c>
      <c r="H20" s="4"/>
      <c r="I20" s="4"/>
      <c r="J20" s="4"/>
      <c r="K20" s="4"/>
      <c r="L20" s="4"/>
      <c r="M20" s="4"/>
      <c r="N20" s="4"/>
    </row>
    <row r="21" spans="1:14" x14ac:dyDescent="0.3">
      <c r="A21" s="18" t="s">
        <v>38</v>
      </c>
      <c r="B21" s="14">
        <v>127818</v>
      </c>
      <c r="C21" s="2">
        <f>217636-1905.6</f>
        <v>215730.4</v>
      </c>
      <c r="D21" s="17">
        <f t="shared" si="1"/>
        <v>0.68779358149869341</v>
      </c>
      <c r="H21" s="4"/>
      <c r="I21" s="4"/>
      <c r="J21" s="4"/>
      <c r="K21" s="4"/>
      <c r="L21" s="4"/>
      <c r="M21" s="4"/>
      <c r="N21" s="4"/>
    </row>
    <row r="22" spans="1:14" x14ac:dyDescent="0.3">
      <c r="A22" s="18" t="s">
        <v>30</v>
      </c>
      <c r="B22" s="14">
        <v>38488</v>
      </c>
      <c r="C22" s="2">
        <v>37357</v>
      </c>
      <c r="D22" s="17">
        <f t="shared" si="1"/>
        <v>-2.9385782581583871E-2</v>
      </c>
      <c r="H22" s="4"/>
      <c r="I22" s="4"/>
      <c r="J22" s="4"/>
      <c r="K22" s="4"/>
      <c r="L22" s="4"/>
      <c r="M22" s="4"/>
      <c r="N22" s="4"/>
    </row>
    <row r="23" spans="1:14" x14ac:dyDescent="0.3">
      <c r="A23" s="18" t="s">
        <v>31</v>
      </c>
      <c r="B23" s="14">
        <v>40209</v>
      </c>
      <c r="C23" s="2">
        <v>45206</v>
      </c>
      <c r="D23" s="17">
        <f t="shared" si="1"/>
        <v>0.12427565967818151</v>
      </c>
      <c r="H23" s="4"/>
      <c r="I23" s="4"/>
      <c r="J23" s="4"/>
      <c r="K23" s="4"/>
      <c r="L23" s="4"/>
      <c r="M23" s="4"/>
      <c r="N23" s="4"/>
    </row>
    <row r="24" spans="1:14" x14ac:dyDescent="0.3">
      <c r="A24" s="18" t="s">
        <v>32</v>
      </c>
      <c r="B24" s="14">
        <v>226589</v>
      </c>
      <c r="C24" s="2">
        <v>209845</v>
      </c>
      <c r="D24" s="17">
        <f t="shared" si="1"/>
        <v>-7.3895908450983941E-2</v>
      </c>
      <c r="H24" s="4"/>
      <c r="I24" s="4"/>
      <c r="J24" s="4"/>
      <c r="K24" s="4"/>
      <c r="L24" s="4"/>
      <c r="M24" s="4"/>
      <c r="N24" s="4"/>
    </row>
    <row r="25" spans="1:14" x14ac:dyDescent="0.3">
      <c r="A25" s="18" t="s">
        <v>24</v>
      </c>
      <c r="B25" s="14">
        <v>45256</v>
      </c>
      <c r="C25" s="2">
        <v>52938</v>
      </c>
      <c r="D25" s="17">
        <f t="shared" si="1"/>
        <v>0.16974544811737671</v>
      </c>
      <c r="H25" s="4"/>
      <c r="I25" s="4"/>
      <c r="J25" s="4"/>
      <c r="K25" s="4"/>
      <c r="L25" s="4"/>
      <c r="M25" s="4"/>
      <c r="N25" s="4"/>
    </row>
    <row r="26" spans="1:14" x14ac:dyDescent="0.3">
      <c r="A26" s="18" t="s">
        <v>0</v>
      </c>
      <c r="B26" s="14">
        <v>3964</v>
      </c>
      <c r="C26" s="2">
        <v>470</v>
      </c>
      <c r="D26" s="17">
        <f t="shared" si="1"/>
        <v>-0.8814328960645812</v>
      </c>
      <c r="H26" s="4"/>
      <c r="I26" s="4"/>
      <c r="J26" s="4"/>
      <c r="K26" s="4"/>
      <c r="L26" s="4"/>
      <c r="M26" s="4"/>
      <c r="N26" s="4"/>
    </row>
    <row r="27" spans="1:14" x14ac:dyDescent="0.3">
      <c r="A27" s="18" t="s">
        <v>33</v>
      </c>
      <c r="B27" s="30">
        <f>SUM(B19:B26)</f>
        <v>1465919</v>
      </c>
      <c r="C27" s="60">
        <f>SUM(C19:C26)</f>
        <v>1697943.970694829</v>
      </c>
      <c r="D27" s="17">
        <f t="shared" si="1"/>
        <v>0.15827953024336885</v>
      </c>
      <c r="H27" s="4"/>
      <c r="I27" s="4"/>
      <c r="J27" s="4"/>
      <c r="K27" s="4"/>
      <c r="L27" s="4"/>
      <c r="M27" s="4"/>
      <c r="N27" s="4"/>
    </row>
    <row r="28" spans="1:14" x14ac:dyDescent="0.3">
      <c r="A28" s="18" t="s">
        <v>39</v>
      </c>
      <c r="B28" s="14">
        <v>2365</v>
      </c>
      <c r="C28" s="2">
        <v>3220</v>
      </c>
      <c r="D28" s="17">
        <f t="shared" si="1"/>
        <v>0.36152219873150104</v>
      </c>
      <c r="H28" s="4"/>
      <c r="I28" s="4"/>
      <c r="J28" s="4"/>
      <c r="K28" s="4"/>
      <c r="L28" s="4"/>
      <c r="M28" s="4"/>
      <c r="N28" s="4"/>
    </row>
    <row r="29" spans="1:14" x14ac:dyDescent="0.3">
      <c r="A29" s="32" t="s">
        <v>34</v>
      </c>
      <c r="B29" s="32">
        <v>3876038</v>
      </c>
      <c r="C29" s="65">
        <v>4907929</v>
      </c>
      <c r="D29" s="47">
        <f t="shared" si="1"/>
        <v>0.26622313816324816</v>
      </c>
      <c r="H29" s="4"/>
      <c r="I29" s="4"/>
      <c r="J29" s="4"/>
      <c r="K29" s="4"/>
      <c r="L29" s="4"/>
      <c r="M29" s="4"/>
      <c r="N29" s="4"/>
    </row>
    <row r="30" spans="1:14" ht="15.75" thickBot="1" x14ac:dyDescent="0.35">
      <c r="A30" s="27" t="s">
        <v>35</v>
      </c>
      <c r="B30" s="27">
        <f>+B27+B28+B29</f>
        <v>5344322</v>
      </c>
      <c r="C30" s="64">
        <f>+C27+C28+C29</f>
        <v>6609092.9706948288</v>
      </c>
      <c r="D30" s="45">
        <f t="shared" si="1"/>
        <v>0.23665695493176286</v>
      </c>
      <c r="H30" s="4"/>
      <c r="I30" s="4"/>
      <c r="J30" s="4"/>
      <c r="K30" s="4"/>
      <c r="L30" s="4"/>
      <c r="M30" s="4"/>
      <c r="N30" s="4"/>
    </row>
    <row r="31" spans="1:14" x14ac:dyDescent="0.3">
      <c r="A31" s="19"/>
      <c r="B31" s="14"/>
      <c r="C31" s="14"/>
      <c r="D31" s="17"/>
      <c r="H31" s="4"/>
      <c r="I31" s="4"/>
      <c r="J31" s="4"/>
      <c r="K31" s="4"/>
      <c r="L31" s="4"/>
      <c r="M31" s="4"/>
      <c r="N31" s="4"/>
    </row>
    <row r="32" spans="1:14" x14ac:dyDescent="0.3">
      <c r="A32" s="41" t="s">
        <v>3</v>
      </c>
      <c r="B32" s="4"/>
      <c r="C32" s="4"/>
      <c r="D32" s="4"/>
      <c r="E32" s="4"/>
      <c r="I32" s="4"/>
      <c r="J32" s="4"/>
      <c r="K32" s="4"/>
      <c r="L32" s="4"/>
      <c r="M32" s="4"/>
      <c r="N32" s="4"/>
    </row>
    <row r="33" spans="1:21" x14ac:dyDescent="0.3">
      <c r="A33" s="41" t="s">
        <v>62</v>
      </c>
      <c r="B33" s="4"/>
      <c r="C33" s="4"/>
      <c r="D33" s="4"/>
      <c r="E33" s="4"/>
      <c r="I33" s="4"/>
      <c r="J33" s="4"/>
      <c r="K33" s="4"/>
      <c r="L33" s="4"/>
      <c r="M33" s="4"/>
      <c r="N33" s="4"/>
    </row>
    <row r="34" spans="1:21" x14ac:dyDescent="0.3">
      <c r="A34" s="41" t="s">
        <v>44</v>
      </c>
      <c r="B34" s="4"/>
      <c r="C34" s="4"/>
      <c r="D34" s="4"/>
      <c r="E34" s="4"/>
      <c r="I34" s="4"/>
      <c r="J34" s="4"/>
      <c r="K34" s="4"/>
      <c r="L34" s="4"/>
      <c r="M34" s="4"/>
      <c r="N34" s="4"/>
    </row>
    <row r="35" spans="1:21" x14ac:dyDescent="0.3">
      <c r="A35" s="41" t="s">
        <v>45</v>
      </c>
      <c r="B35" s="4"/>
      <c r="C35" s="4"/>
      <c r="D35" s="4"/>
      <c r="E35" s="4"/>
      <c r="I35" s="4"/>
      <c r="J35" s="4"/>
      <c r="K35" s="4"/>
      <c r="L35" s="4"/>
      <c r="M35" s="4"/>
      <c r="N35" s="4"/>
    </row>
    <row r="36" spans="1:21" x14ac:dyDescent="0.3">
      <c r="A36" s="6"/>
      <c r="B36" s="6">
        <v>2008</v>
      </c>
      <c r="C36" s="6" t="s">
        <v>55</v>
      </c>
      <c r="D36" s="6">
        <v>2009</v>
      </c>
      <c r="E36" s="6" t="s">
        <v>55</v>
      </c>
      <c r="F36" s="7" t="s">
        <v>46</v>
      </c>
      <c r="I36" s="4"/>
      <c r="J36" s="4"/>
      <c r="K36" s="4"/>
      <c r="L36" s="4"/>
      <c r="M36" s="4"/>
      <c r="N36" s="4"/>
    </row>
    <row r="37" spans="1:21" s="9" customFormat="1" x14ac:dyDescent="0.3">
      <c r="A37" s="30" t="s">
        <v>4</v>
      </c>
      <c r="B37" s="50">
        <v>2831071</v>
      </c>
      <c r="C37" s="42">
        <v>1</v>
      </c>
      <c r="D37" s="62">
        <v>3294452</v>
      </c>
      <c r="E37" s="42">
        <v>1</v>
      </c>
      <c r="F37" s="17">
        <f>IF(B37&lt;&gt;0,(D37-B37)/B37,0)</f>
        <v>0.16367692650590537</v>
      </c>
      <c r="G37" s="8"/>
      <c r="H37" s="5"/>
      <c r="I37" s="4"/>
      <c r="J37" s="4"/>
      <c r="K37" s="4"/>
      <c r="L37" s="4"/>
      <c r="M37" s="4"/>
      <c r="N37" s="4"/>
      <c r="O37" s="5"/>
      <c r="P37" s="5"/>
      <c r="Q37" s="5"/>
      <c r="R37" s="5"/>
      <c r="S37" s="5"/>
      <c r="T37" s="5"/>
      <c r="U37" s="5"/>
    </row>
    <row r="38" spans="1:21" x14ac:dyDescent="0.3">
      <c r="A38" s="14" t="s">
        <v>50</v>
      </c>
      <c r="B38" s="51">
        <v>-1665171</v>
      </c>
      <c r="C38" s="17">
        <f t="shared" ref="C38:C55" si="2">+B38/$B$37</f>
        <v>-0.58817705384287433</v>
      </c>
      <c r="D38" s="10">
        <v>-2044306</v>
      </c>
      <c r="E38" s="17">
        <f>+D38/$D$37</f>
        <v>-0.62052990907137207</v>
      </c>
      <c r="F38" s="17">
        <f t="shared" ref="F38:F53" si="3">IF(B38&lt;&gt;0,(D38-B38)/B38,0)</f>
        <v>0.22768532481048492</v>
      </c>
      <c r="I38" s="4"/>
      <c r="J38" s="4"/>
      <c r="K38" s="4"/>
      <c r="L38" s="4"/>
      <c r="M38" s="4"/>
      <c r="N38" s="4"/>
    </row>
    <row r="39" spans="1:21" s="9" customFormat="1" x14ac:dyDescent="0.3">
      <c r="A39" s="30" t="s">
        <v>6</v>
      </c>
      <c r="B39" s="30">
        <f>SUM(B37:B38)</f>
        <v>1165900</v>
      </c>
      <c r="C39" s="42">
        <f t="shared" si="2"/>
        <v>0.41182294615712567</v>
      </c>
      <c r="D39" s="60">
        <f>SUM(D37:D38)</f>
        <v>1250146</v>
      </c>
      <c r="E39" s="42">
        <f t="shared" ref="E39:E55" si="4">+D39/$D$37</f>
        <v>0.37947009092862788</v>
      </c>
      <c r="F39" s="17">
        <f t="shared" si="3"/>
        <v>7.2258341195642853E-2</v>
      </c>
      <c r="G39" s="8"/>
      <c r="H39" s="5"/>
      <c r="I39" s="4"/>
      <c r="J39" s="4"/>
      <c r="K39" s="4"/>
      <c r="L39" s="4"/>
      <c r="M39" s="4"/>
      <c r="N39" s="4"/>
      <c r="O39" s="5"/>
      <c r="P39" s="5"/>
      <c r="Q39" s="5"/>
      <c r="R39" s="5"/>
      <c r="S39" s="5"/>
      <c r="T39" s="5"/>
      <c r="U39" s="5"/>
    </row>
    <row r="40" spans="1:21" x14ac:dyDescent="0.3">
      <c r="A40" s="14" t="s">
        <v>7</v>
      </c>
      <c r="B40" s="14">
        <v>-131989</v>
      </c>
      <c r="C40" s="17">
        <f t="shared" si="2"/>
        <v>-4.6621578900705778E-2</v>
      </c>
      <c r="D40" s="2">
        <v>-161228</v>
      </c>
      <c r="E40" s="17">
        <f t="shared" si="4"/>
        <v>-4.8939246952148643E-2</v>
      </c>
      <c r="F40" s="17">
        <f t="shared" si="3"/>
        <v>0.22152603626059747</v>
      </c>
      <c r="I40" s="4"/>
      <c r="J40" s="4"/>
      <c r="K40" s="4"/>
      <c r="L40" s="4"/>
      <c r="M40" s="4"/>
      <c r="N40" s="4"/>
    </row>
    <row r="41" spans="1:21" x14ac:dyDescent="0.3">
      <c r="A41" s="14" t="s">
        <v>8</v>
      </c>
      <c r="B41" s="14">
        <v>-691355</v>
      </c>
      <c r="C41" s="17">
        <f t="shared" si="2"/>
        <v>-0.24420263568098433</v>
      </c>
      <c r="D41" s="2">
        <v>-776011</v>
      </c>
      <c r="E41" s="17">
        <f t="shared" si="4"/>
        <v>-0.23555085944490919</v>
      </c>
      <c r="F41" s="17">
        <f t="shared" si="3"/>
        <v>0.1224493928589509</v>
      </c>
      <c r="I41" s="4"/>
      <c r="J41" s="4"/>
      <c r="K41" s="4"/>
      <c r="L41" s="4"/>
      <c r="M41" s="4"/>
      <c r="N41" s="4"/>
    </row>
    <row r="42" spans="1:21" s="9" customFormat="1" x14ac:dyDescent="0.3">
      <c r="A42" s="30" t="s">
        <v>9</v>
      </c>
      <c r="B42" s="30">
        <f>SUM(B40:B41)</f>
        <v>-823344</v>
      </c>
      <c r="C42" s="42">
        <f t="shared" si="2"/>
        <v>-0.29082421458169011</v>
      </c>
      <c r="D42" s="60">
        <f>SUM(D40:D41)</f>
        <v>-937239</v>
      </c>
      <c r="E42" s="42">
        <f t="shared" si="4"/>
        <v>-0.28449010639705785</v>
      </c>
      <c r="F42" s="17">
        <f t="shared" si="3"/>
        <v>0.13833221593890282</v>
      </c>
      <c r="G42" s="8"/>
      <c r="H42" s="5"/>
      <c r="I42" s="4"/>
      <c r="J42" s="4"/>
      <c r="K42" s="4"/>
      <c r="L42" s="4"/>
      <c r="M42" s="4"/>
      <c r="N42" s="4"/>
      <c r="O42" s="5"/>
      <c r="P42" s="5"/>
      <c r="Q42" s="5"/>
      <c r="R42" s="5"/>
      <c r="S42" s="5"/>
      <c r="T42" s="5"/>
      <c r="U42" s="5"/>
    </row>
    <row r="43" spans="1:21" s="9" customFormat="1" x14ac:dyDescent="0.3">
      <c r="A43" s="30" t="s">
        <v>1</v>
      </c>
      <c r="B43" s="30">
        <f>+B39+B42</f>
        <v>342556</v>
      </c>
      <c r="C43" s="42">
        <f t="shared" si="2"/>
        <v>0.12099873157543559</v>
      </c>
      <c r="D43" s="60">
        <f>+D39+D42</f>
        <v>312907</v>
      </c>
      <c r="E43" s="42">
        <f t="shared" si="4"/>
        <v>9.4979984531570041E-2</v>
      </c>
      <c r="F43" s="17">
        <f t="shared" si="3"/>
        <v>-8.6552271745349671E-2</v>
      </c>
      <c r="G43" s="8"/>
      <c r="H43" s="5"/>
      <c r="I43" s="4"/>
      <c r="J43" s="4"/>
      <c r="K43" s="4"/>
      <c r="L43" s="4"/>
      <c r="M43" s="4"/>
      <c r="N43" s="4"/>
      <c r="O43" s="5"/>
      <c r="P43" s="5"/>
      <c r="Q43" s="5"/>
      <c r="R43" s="5"/>
      <c r="S43" s="5"/>
      <c r="T43" s="5"/>
      <c r="U43" s="5"/>
    </row>
    <row r="44" spans="1:21" x14ac:dyDescent="0.3">
      <c r="A44" s="14" t="s">
        <v>51</v>
      </c>
      <c r="B44" s="14">
        <v>8246</v>
      </c>
      <c r="C44" s="17">
        <f t="shared" si="2"/>
        <v>2.9126786293950241E-3</v>
      </c>
      <c r="D44" s="2">
        <v>7179</v>
      </c>
      <c r="E44" s="17">
        <f t="shared" si="4"/>
        <v>2.1791181052266051E-3</v>
      </c>
      <c r="F44" s="17">
        <f t="shared" si="3"/>
        <v>-0.12939607082221682</v>
      </c>
      <c r="I44" s="4"/>
      <c r="J44" s="4"/>
      <c r="K44" s="4"/>
      <c r="L44" s="4"/>
      <c r="M44" s="4"/>
      <c r="N44" s="4"/>
    </row>
    <row r="45" spans="1:21" x14ac:dyDescent="0.3">
      <c r="A45" s="14" t="s">
        <v>11</v>
      </c>
      <c r="B45" s="14">
        <v>-58740</v>
      </c>
      <c r="C45" s="17">
        <f t="shared" si="2"/>
        <v>-2.0748331638450607E-2</v>
      </c>
      <c r="D45" s="2">
        <v>-86299</v>
      </c>
      <c r="E45" s="17">
        <f t="shared" si="4"/>
        <v>-2.6195251896218248E-2</v>
      </c>
      <c r="F45" s="17">
        <f t="shared" si="3"/>
        <v>0.46916922029281583</v>
      </c>
      <c r="I45" s="4"/>
      <c r="J45" s="4"/>
      <c r="K45" s="4"/>
      <c r="L45" s="4"/>
      <c r="M45" s="4"/>
      <c r="N45" s="4"/>
    </row>
    <row r="46" spans="1:21" x14ac:dyDescent="0.3">
      <c r="A46" s="14" t="s">
        <v>12</v>
      </c>
      <c r="B46" s="14">
        <v>-16111</v>
      </c>
      <c r="C46" s="17">
        <f t="shared" si="2"/>
        <v>-5.6907792139441219E-3</v>
      </c>
      <c r="D46" s="2">
        <v>5828</v>
      </c>
      <c r="E46" s="17">
        <f t="shared" si="4"/>
        <v>1.7690347286893238E-3</v>
      </c>
      <c r="F46" s="17">
        <f t="shared" si="3"/>
        <v>-1.3617404257960399</v>
      </c>
      <c r="I46" s="4"/>
      <c r="J46" s="4"/>
      <c r="K46" s="4"/>
      <c r="L46" s="4"/>
      <c r="M46" s="4"/>
      <c r="N46" s="4"/>
    </row>
    <row r="47" spans="1:21" x14ac:dyDescent="0.3">
      <c r="A47" s="14" t="s">
        <v>52</v>
      </c>
      <c r="B47" s="14">
        <v>-115324</v>
      </c>
      <c r="C47" s="17">
        <f t="shared" si="2"/>
        <v>-4.0735114025752091E-2</v>
      </c>
      <c r="D47" s="2">
        <v>-71990</v>
      </c>
      <c r="E47" s="17">
        <f t="shared" si="4"/>
        <v>-2.1851889176105768E-2</v>
      </c>
      <c r="F47" s="17">
        <f t="shared" si="3"/>
        <v>-0.37575873192050224</v>
      </c>
      <c r="I47" s="4"/>
      <c r="J47" s="4"/>
      <c r="K47" s="4"/>
      <c r="L47" s="4"/>
      <c r="M47" s="4"/>
      <c r="N47" s="4"/>
    </row>
    <row r="48" spans="1:21" x14ac:dyDescent="0.3">
      <c r="A48" s="14" t="s">
        <v>14</v>
      </c>
      <c r="B48" s="14">
        <v>21671</v>
      </c>
      <c r="C48" s="17">
        <f t="shared" si="2"/>
        <v>7.6547002883361106E-3</v>
      </c>
      <c r="D48" s="2">
        <v>21700</v>
      </c>
      <c r="E48" s="17">
        <f t="shared" si="4"/>
        <v>6.5868314366091842E-3</v>
      </c>
      <c r="F48" s="17">
        <f t="shared" si="3"/>
        <v>1.3381938996816021E-3</v>
      </c>
      <c r="I48" s="4"/>
      <c r="J48" s="4"/>
      <c r="K48" s="4"/>
      <c r="L48" s="4"/>
      <c r="M48" s="4"/>
      <c r="N48" s="4"/>
    </row>
    <row r="49" spans="1:21" x14ac:dyDescent="0.3">
      <c r="A49" s="14" t="s">
        <v>16</v>
      </c>
      <c r="B49" s="14">
        <v>80356</v>
      </c>
      <c r="C49" s="17">
        <f t="shared" si="2"/>
        <v>2.8383604649971691E-2</v>
      </c>
      <c r="D49" s="2">
        <v>2124</v>
      </c>
      <c r="E49" s="17">
        <f t="shared" si="4"/>
        <v>6.4472027517778376E-4</v>
      </c>
      <c r="F49" s="17">
        <f t="shared" si="3"/>
        <v>-0.97356762407287567</v>
      </c>
      <c r="I49" s="4"/>
      <c r="J49" s="4"/>
      <c r="K49" s="4"/>
      <c r="L49" s="4"/>
      <c r="M49" s="4"/>
      <c r="N49" s="4"/>
    </row>
    <row r="50" spans="1:21" s="9" customFormat="1" x14ac:dyDescent="0.3">
      <c r="A50" s="30" t="s">
        <v>2</v>
      </c>
      <c r="B50" s="30">
        <f>SUM(B44:B49)</f>
        <v>-79902</v>
      </c>
      <c r="C50" s="42">
        <f t="shared" si="2"/>
        <v>-2.8223241310443997E-2</v>
      </c>
      <c r="D50" s="60">
        <f>SUM(D44:D49)</f>
        <v>-121458</v>
      </c>
      <c r="E50" s="42">
        <f t="shared" si="4"/>
        <v>-3.6867436526621118E-2</v>
      </c>
      <c r="F50" s="17">
        <f t="shared" si="3"/>
        <v>0.52008710670571445</v>
      </c>
      <c r="G50" s="8"/>
      <c r="H50" s="5"/>
      <c r="I50" s="4"/>
      <c r="J50" s="4"/>
      <c r="K50" s="4"/>
      <c r="L50" s="4"/>
      <c r="M50" s="4"/>
      <c r="N50" s="4"/>
      <c r="O50" s="5"/>
      <c r="P50" s="5"/>
      <c r="Q50" s="5"/>
      <c r="R50" s="5"/>
      <c r="S50" s="5"/>
      <c r="T50" s="5"/>
      <c r="U50" s="5"/>
    </row>
    <row r="51" spans="1:21" s="9" customFormat="1" x14ac:dyDescent="0.3">
      <c r="A51" s="30" t="s">
        <v>41</v>
      </c>
      <c r="B51" s="30">
        <f>+B43+B50</f>
        <v>262654</v>
      </c>
      <c r="C51" s="42">
        <f t="shared" si="2"/>
        <v>9.2775490264991586E-2</v>
      </c>
      <c r="D51" s="60">
        <f>+D43+D50</f>
        <v>191449</v>
      </c>
      <c r="E51" s="42">
        <f t="shared" si="4"/>
        <v>5.8112548004948923E-2</v>
      </c>
      <c r="F51" s="17">
        <f t="shared" si="3"/>
        <v>-0.27109809863927448</v>
      </c>
      <c r="G51" s="8"/>
      <c r="H51" s="5"/>
      <c r="I51" s="4"/>
      <c r="J51" s="4"/>
      <c r="K51" s="4"/>
      <c r="L51" s="4"/>
      <c r="M51" s="4"/>
      <c r="N51" s="4"/>
      <c r="O51" s="5"/>
      <c r="P51" s="5"/>
      <c r="Q51" s="5"/>
      <c r="R51" s="5"/>
      <c r="S51" s="5"/>
      <c r="T51" s="5"/>
      <c r="U51" s="5"/>
    </row>
    <row r="52" spans="1:21" x14ac:dyDescent="0.3">
      <c r="A52" s="14" t="s">
        <v>15</v>
      </c>
      <c r="B52" s="14">
        <v>-82750</v>
      </c>
      <c r="C52" s="17">
        <f t="shared" si="2"/>
        <v>-2.9229221026247663E-2</v>
      </c>
      <c r="D52" s="2">
        <v>-69551</v>
      </c>
      <c r="E52" s="17">
        <f t="shared" si="4"/>
        <v>-2.1111553605880431E-2</v>
      </c>
      <c r="F52" s="17">
        <f t="shared" si="3"/>
        <v>-0.15950453172205439</v>
      </c>
      <c r="I52" s="4"/>
      <c r="J52" s="4"/>
      <c r="K52" s="4"/>
      <c r="L52" s="4"/>
      <c r="M52" s="4"/>
      <c r="N52" s="4"/>
    </row>
    <row r="53" spans="1:21" x14ac:dyDescent="0.3">
      <c r="A53" s="14" t="s">
        <v>18</v>
      </c>
      <c r="B53" s="14">
        <v>451</v>
      </c>
      <c r="C53" s="17">
        <f t="shared" si="2"/>
        <v>1.59303669883235E-4</v>
      </c>
      <c r="D53" s="2">
        <v>-146</v>
      </c>
      <c r="E53" s="17">
        <f t="shared" si="4"/>
        <v>-4.4316930402992667E-5</v>
      </c>
      <c r="F53" s="17">
        <f t="shared" si="3"/>
        <v>-1.3237250554323725</v>
      </c>
      <c r="I53" s="4"/>
      <c r="J53" s="4"/>
      <c r="K53" s="4"/>
      <c r="L53" s="4"/>
      <c r="M53" s="4"/>
      <c r="N53" s="4"/>
    </row>
    <row r="54" spans="1:21" s="9" customFormat="1" x14ac:dyDescent="0.3">
      <c r="A54" s="43" t="s">
        <v>17</v>
      </c>
      <c r="B54" s="43">
        <f>+B51+B52+B53</f>
        <v>180355</v>
      </c>
      <c r="C54" s="44">
        <f t="shared" si="2"/>
        <v>6.3705572908627162E-2</v>
      </c>
      <c r="D54" s="63">
        <f>+D51+D52+D53</f>
        <v>121752</v>
      </c>
      <c r="E54" s="44">
        <f t="shared" si="4"/>
        <v>3.6956677468665503E-2</v>
      </c>
      <c r="F54" s="44">
        <f>+(D54-B54)/B54</f>
        <v>-0.32493138532339</v>
      </c>
      <c r="G54" s="8"/>
      <c r="H54" s="5"/>
      <c r="I54" s="4"/>
      <c r="J54" s="4"/>
      <c r="K54" s="4"/>
      <c r="L54" s="4"/>
      <c r="M54" s="4"/>
      <c r="N54" s="4"/>
      <c r="O54" s="5"/>
      <c r="P54" s="5"/>
      <c r="Q54" s="5"/>
      <c r="R54" s="5"/>
      <c r="S54" s="5"/>
      <c r="T54" s="5"/>
      <c r="U54" s="5"/>
    </row>
    <row r="55" spans="1:21" s="9" customFormat="1" ht="15.75" thickBot="1" x14ac:dyDescent="0.35">
      <c r="A55" s="27" t="s">
        <v>19</v>
      </c>
      <c r="B55" s="27">
        <v>415965</v>
      </c>
      <c r="C55" s="45">
        <f t="shared" si="2"/>
        <v>0.14692849455206175</v>
      </c>
      <c r="D55" s="64">
        <v>379670</v>
      </c>
      <c r="E55" s="45">
        <f t="shared" si="4"/>
        <v>0.11524526689112484</v>
      </c>
      <c r="F55" s="45">
        <f>+(D55-B55)/B55</f>
        <v>-8.7254937314437508E-2</v>
      </c>
      <c r="G55" s="8"/>
      <c r="H55" s="5"/>
      <c r="I55" s="4"/>
      <c r="J55" s="4"/>
      <c r="K55" s="4"/>
      <c r="L55" s="4"/>
      <c r="M55" s="4"/>
      <c r="N55" s="4"/>
      <c r="O55" s="5"/>
      <c r="P55" s="5"/>
      <c r="Q55" s="5"/>
      <c r="R55" s="5"/>
      <c r="S55" s="5"/>
      <c r="T55" s="5"/>
      <c r="U55" s="5"/>
    </row>
    <row r="56" spans="1:21" x14ac:dyDescent="0.3">
      <c r="A56" s="2"/>
      <c r="C56" s="3"/>
      <c r="D56" s="10"/>
      <c r="I56" s="4"/>
      <c r="J56" s="4"/>
      <c r="K56" s="4"/>
      <c r="L56" s="4"/>
      <c r="M56" s="4"/>
      <c r="N56" s="4"/>
    </row>
    <row r="57" spans="1:21" x14ac:dyDescent="0.3">
      <c r="A57" s="19" t="s">
        <v>53</v>
      </c>
      <c r="B57" s="14"/>
      <c r="C57" s="14"/>
      <c r="D57" s="17"/>
      <c r="I57" s="4"/>
      <c r="J57" s="4"/>
      <c r="K57" s="4"/>
      <c r="L57" s="4"/>
      <c r="M57" s="4"/>
      <c r="N57" s="4"/>
    </row>
    <row r="58" spans="1:21" x14ac:dyDescent="0.3">
      <c r="D58" s="10"/>
    </row>
  </sheetData>
  <phoneticPr fontId="0" type="noConversion"/>
  <pageMargins left="0.70866141732283472" right="0.43307086614173229" top="0.43307086614173229" bottom="0.51181102362204722" header="0.31496062992125984" footer="0.31496062992125984"/>
  <pageSetup scale="87" orientation="portrait" r:id="rId1"/>
  <headerFooter>
    <oddFooter>&amp;C&amp;A</oddFooter>
  </headerFooter>
  <customProperties>
    <customPr name="_pios_id" r:id="rId2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6"/>
  <sheetViews>
    <sheetView topLeftCell="A20" zoomScale="86" zoomScaleNormal="86" workbookViewId="0">
      <selection activeCell="C43" sqref="C43"/>
    </sheetView>
  </sheetViews>
  <sheetFormatPr baseColWidth="10" defaultColWidth="11.42578125" defaultRowHeight="15" x14ac:dyDescent="0.3"/>
  <cols>
    <col min="1" max="1" width="43.7109375" style="5" customWidth="1"/>
    <col min="2" max="3" width="11.7109375" style="14" bestFit="1" customWidth="1"/>
    <col min="4" max="4" width="13.28515625" style="3" bestFit="1" customWidth="1"/>
    <col min="5" max="6" width="11.42578125" style="5"/>
    <col min="7" max="7" width="28.5703125" style="11" bestFit="1" customWidth="1"/>
    <col min="8" max="8" width="11.5703125" style="5" bestFit="1" customWidth="1"/>
    <col min="9" max="16384" width="11.42578125" style="5"/>
  </cols>
  <sheetData>
    <row r="1" spans="1:11" x14ac:dyDescent="0.3">
      <c r="A1" s="24" t="s">
        <v>69</v>
      </c>
    </row>
    <row r="2" spans="1:11" x14ac:dyDescent="0.3">
      <c r="A2" s="24" t="s">
        <v>80</v>
      </c>
    </row>
    <row r="3" spans="1:11" x14ac:dyDescent="0.3">
      <c r="A3" s="24" t="s">
        <v>44</v>
      </c>
    </row>
    <row r="4" spans="1:11" x14ac:dyDescent="0.3">
      <c r="A4" s="24" t="s">
        <v>45</v>
      </c>
    </row>
    <row r="5" spans="1:11" ht="12" customHeight="1" x14ac:dyDescent="0.3">
      <c r="G5" s="5"/>
    </row>
    <row r="6" spans="1:11" x14ac:dyDescent="0.3">
      <c r="A6" s="6" t="s">
        <v>20</v>
      </c>
      <c r="B6" s="6">
        <v>2008</v>
      </c>
      <c r="C6" s="6">
        <v>2009</v>
      </c>
      <c r="D6" s="7" t="s">
        <v>46</v>
      </c>
      <c r="G6" s="5"/>
    </row>
    <row r="7" spans="1:11" x14ac:dyDescent="0.3">
      <c r="A7" s="18" t="s">
        <v>21</v>
      </c>
      <c r="B7" s="14">
        <v>382</v>
      </c>
      <c r="C7" s="14">
        <v>191</v>
      </c>
      <c r="D7" s="17">
        <f t="shared" ref="D7:D14" si="0">IF(B7&lt;&gt;0,(C7-B7)/B7,0)</f>
        <v>-0.5</v>
      </c>
      <c r="G7" s="5"/>
    </row>
    <row r="8" spans="1:11" x14ac:dyDescent="0.3">
      <c r="A8" s="18" t="s">
        <v>22</v>
      </c>
      <c r="B8" s="14">
        <v>3041332</v>
      </c>
      <c r="C8" s="14">
        <v>3601952</v>
      </c>
      <c r="D8" s="17">
        <f t="shared" si="0"/>
        <v>0.18433370641547847</v>
      </c>
      <c r="G8" s="5"/>
    </row>
    <row r="9" spans="1:11" s="11" customFormat="1" x14ac:dyDescent="0.3">
      <c r="A9" s="18" t="s">
        <v>23</v>
      </c>
      <c r="B9" s="14">
        <v>24218</v>
      </c>
      <c r="C9" s="14">
        <v>43410</v>
      </c>
      <c r="D9" s="17">
        <f t="shared" si="0"/>
        <v>0.79246841192501449</v>
      </c>
      <c r="E9" s="5"/>
      <c r="F9" s="5"/>
      <c r="G9" s="5"/>
      <c r="H9" s="5"/>
      <c r="I9" s="5"/>
      <c r="J9" s="5"/>
      <c r="K9" s="5"/>
    </row>
    <row r="10" spans="1:11" s="11" customFormat="1" x14ac:dyDescent="0.3">
      <c r="A10" s="18" t="s">
        <v>37</v>
      </c>
      <c r="B10" s="14">
        <v>50</v>
      </c>
      <c r="C10" s="14">
        <v>0</v>
      </c>
      <c r="D10" s="17">
        <f t="shared" si="0"/>
        <v>-1</v>
      </c>
      <c r="E10" s="5"/>
      <c r="F10" s="5"/>
      <c r="G10" s="5"/>
      <c r="H10" s="5"/>
      <c r="I10" s="5"/>
      <c r="J10" s="5"/>
      <c r="K10" s="5"/>
    </row>
    <row r="11" spans="1:11" s="11" customFormat="1" hidden="1" x14ac:dyDescent="0.3">
      <c r="A11" s="18" t="s">
        <v>24</v>
      </c>
      <c r="B11" s="14">
        <v>0</v>
      </c>
      <c r="C11" s="14">
        <v>0</v>
      </c>
      <c r="D11" s="17">
        <f t="shared" si="0"/>
        <v>0</v>
      </c>
      <c r="E11" s="5"/>
      <c r="F11" s="5"/>
      <c r="G11" s="5"/>
      <c r="H11" s="5"/>
      <c r="I11" s="5"/>
      <c r="J11" s="5"/>
      <c r="K11" s="5"/>
    </row>
    <row r="12" spans="1:11" s="11" customFormat="1" x14ac:dyDescent="0.3">
      <c r="A12" s="18" t="s">
        <v>59</v>
      </c>
      <c r="B12" s="14">
        <v>209</v>
      </c>
      <c r="C12" s="14">
        <v>209</v>
      </c>
      <c r="D12" s="17">
        <f t="shared" si="0"/>
        <v>0</v>
      </c>
      <c r="E12" s="5"/>
      <c r="F12" s="5"/>
      <c r="G12" s="5"/>
      <c r="H12" s="5"/>
      <c r="I12" s="5"/>
      <c r="J12" s="5"/>
      <c r="K12" s="5"/>
    </row>
    <row r="13" spans="1:11" s="11" customFormat="1" x14ac:dyDescent="0.3">
      <c r="A13" s="18" t="s">
        <v>26</v>
      </c>
      <c r="B13" s="14">
        <v>891321</v>
      </c>
      <c r="C13" s="14">
        <v>1869198</v>
      </c>
      <c r="D13" s="17">
        <f t="shared" si="0"/>
        <v>1.0971097954608946</v>
      </c>
      <c r="E13" s="5"/>
      <c r="F13" s="5"/>
      <c r="G13" s="5"/>
      <c r="H13" s="5"/>
      <c r="I13" s="5"/>
      <c r="J13" s="5"/>
      <c r="K13" s="5"/>
    </row>
    <row r="14" spans="1:11" s="11" customFormat="1" ht="15.75" thickBot="1" x14ac:dyDescent="0.35">
      <c r="A14" s="26" t="s">
        <v>27</v>
      </c>
      <c r="B14" s="27">
        <f>SUM(B7:B13)</f>
        <v>3957512</v>
      </c>
      <c r="C14" s="27">
        <f>SUM(C7:C13)</f>
        <v>5514960</v>
      </c>
      <c r="D14" s="46">
        <f t="shared" si="0"/>
        <v>0.39354220530474704</v>
      </c>
      <c r="E14" s="5"/>
      <c r="F14" s="5"/>
      <c r="G14" s="5"/>
      <c r="H14" s="5"/>
      <c r="I14" s="5"/>
      <c r="J14" s="5"/>
      <c r="K14" s="5"/>
    </row>
    <row r="15" spans="1:11" x14ac:dyDescent="0.3">
      <c r="G15" s="5"/>
    </row>
    <row r="16" spans="1:11" s="11" customFormat="1" x14ac:dyDescent="0.3">
      <c r="A16" s="6" t="s">
        <v>48</v>
      </c>
      <c r="B16" s="6">
        <v>2008</v>
      </c>
      <c r="C16" s="6">
        <v>2009</v>
      </c>
      <c r="D16" s="7" t="s">
        <v>46</v>
      </c>
      <c r="E16" s="5"/>
      <c r="F16" s="5"/>
      <c r="G16" s="5"/>
      <c r="H16" s="5"/>
      <c r="I16" s="5"/>
      <c r="J16" s="5"/>
      <c r="K16" s="5"/>
    </row>
    <row r="17" spans="1:11" s="11" customFormat="1" hidden="1" x14ac:dyDescent="0.3">
      <c r="A17" s="18" t="s">
        <v>28</v>
      </c>
      <c r="B17" s="14">
        <v>0</v>
      </c>
      <c r="C17" s="14">
        <v>0</v>
      </c>
      <c r="D17" s="17">
        <f t="shared" ref="D17:D25" si="1">IF(B17&lt;&gt;0,(C17-B17)/B17,0)</f>
        <v>0</v>
      </c>
      <c r="E17" s="5"/>
      <c r="F17" s="5"/>
      <c r="G17" s="5"/>
      <c r="H17" s="5"/>
      <c r="I17" s="5"/>
      <c r="J17" s="5"/>
      <c r="K17" s="5"/>
    </row>
    <row r="18" spans="1:11" s="11" customFormat="1" x14ac:dyDescent="0.3">
      <c r="A18" s="18" t="s">
        <v>29</v>
      </c>
      <c r="B18" s="14">
        <v>78267</v>
      </c>
      <c r="C18" s="14">
        <v>111498</v>
      </c>
      <c r="D18" s="17">
        <f t="shared" si="1"/>
        <v>0.42458507416919006</v>
      </c>
      <c r="E18" s="5"/>
      <c r="F18" s="5"/>
      <c r="G18" s="5"/>
      <c r="H18" s="5"/>
      <c r="I18" s="5"/>
      <c r="J18" s="5"/>
      <c r="K18" s="5"/>
    </row>
    <row r="19" spans="1:11" x14ac:dyDescent="0.3">
      <c r="A19" s="18" t="s">
        <v>30</v>
      </c>
      <c r="B19" s="14">
        <v>1762</v>
      </c>
      <c r="C19" s="14">
        <v>430</v>
      </c>
      <c r="D19" s="17">
        <f t="shared" si="1"/>
        <v>-0.75595913734392739</v>
      </c>
      <c r="G19" s="5"/>
    </row>
    <row r="20" spans="1:11" x14ac:dyDescent="0.3">
      <c r="A20" s="18" t="s">
        <v>31</v>
      </c>
      <c r="B20" s="14">
        <v>940</v>
      </c>
      <c r="C20" s="14">
        <v>650</v>
      </c>
      <c r="D20" s="17">
        <f t="shared" si="1"/>
        <v>-0.30851063829787234</v>
      </c>
      <c r="G20" s="5"/>
    </row>
    <row r="21" spans="1:11" hidden="1" x14ac:dyDescent="0.3">
      <c r="A21" s="18" t="s">
        <v>32</v>
      </c>
      <c r="B21" s="14">
        <v>0</v>
      </c>
      <c r="C21" s="14">
        <v>0</v>
      </c>
      <c r="D21" s="17">
        <f t="shared" si="1"/>
        <v>0</v>
      </c>
      <c r="G21" s="5"/>
    </row>
    <row r="22" spans="1:11" x14ac:dyDescent="0.3">
      <c r="A22" s="18" t="s">
        <v>24</v>
      </c>
      <c r="B22" s="14">
        <v>2934</v>
      </c>
      <c r="C22" s="14">
        <v>3179</v>
      </c>
      <c r="D22" s="17">
        <f t="shared" si="1"/>
        <v>8.3503749147920928E-2</v>
      </c>
      <c r="G22" s="5"/>
    </row>
    <row r="23" spans="1:11" s="9" customFormat="1" x14ac:dyDescent="0.3">
      <c r="A23" s="29" t="s">
        <v>33</v>
      </c>
      <c r="B23" s="30">
        <f>SUM(B17:B22)</f>
        <v>83903</v>
      </c>
      <c r="C23" s="30">
        <f>SUM(C17:C22)</f>
        <v>115757</v>
      </c>
      <c r="D23" s="42">
        <f t="shared" si="1"/>
        <v>0.37965269418256797</v>
      </c>
      <c r="F23" s="5"/>
      <c r="G23" s="5"/>
      <c r="H23" s="5"/>
      <c r="I23" s="5"/>
      <c r="J23" s="5"/>
      <c r="K23" s="5"/>
    </row>
    <row r="24" spans="1:11" s="9" customFormat="1" x14ac:dyDescent="0.3">
      <c r="A24" s="31" t="s">
        <v>34</v>
      </c>
      <c r="B24" s="32">
        <f>+B14-B23</f>
        <v>3873609</v>
      </c>
      <c r="C24" s="32">
        <f>+C14-C23</f>
        <v>5399203</v>
      </c>
      <c r="D24" s="47">
        <f t="shared" si="1"/>
        <v>0.39384305437125944</v>
      </c>
      <c r="E24" s="60"/>
      <c r="F24" s="5"/>
      <c r="G24" s="5"/>
      <c r="H24" s="5"/>
      <c r="I24" s="5"/>
      <c r="J24" s="5"/>
      <c r="K24" s="5"/>
    </row>
    <row r="25" spans="1:11" s="9" customFormat="1" ht="15.75" thickBot="1" x14ac:dyDescent="0.35">
      <c r="A25" s="26" t="s">
        <v>35</v>
      </c>
      <c r="B25" s="27">
        <f>+B23+B24</f>
        <v>3957512</v>
      </c>
      <c r="C25" s="27">
        <f>+C23+C24</f>
        <v>5514960</v>
      </c>
      <c r="D25" s="45">
        <f t="shared" si="1"/>
        <v>0.39354220530474704</v>
      </c>
      <c r="F25" s="5"/>
      <c r="G25" s="5"/>
      <c r="H25" s="5"/>
      <c r="I25" s="5"/>
      <c r="J25" s="5"/>
      <c r="K25" s="5"/>
    </row>
    <row r="26" spans="1:11" x14ac:dyDescent="0.3">
      <c r="A26" s="18" t="s">
        <v>54</v>
      </c>
      <c r="B26" s="14">
        <v>435123458</v>
      </c>
      <c r="C26" s="14">
        <v>435123458</v>
      </c>
      <c r="D26" s="17"/>
      <c r="G26" s="5"/>
    </row>
    <row r="27" spans="1:11" x14ac:dyDescent="0.3">
      <c r="A27" s="18" t="s">
        <v>71</v>
      </c>
      <c r="B27" s="33">
        <f>+B24/+(B26/1000000)</f>
        <v>8902.3216946395933</v>
      </c>
      <c r="C27" s="33">
        <f>+C24/+(C26/1000000)</f>
        <v>12408.439261851976</v>
      </c>
      <c r="D27" s="17"/>
      <c r="G27" s="5"/>
    </row>
    <row r="28" spans="1:11" x14ac:dyDescent="0.3">
      <c r="G28" s="5"/>
    </row>
    <row r="29" spans="1:11" x14ac:dyDescent="0.3">
      <c r="A29" s="6" t="s">
        <v>70</v>
      </c>
      <c r="B29" s="6">
        <v>2008</v>
      </c>
      <c r="C29" s="6">
        <v>2009</v>
      </c>
      <c r="D29" s="6" t="s">
        <v>46</v>
      </c>
      <c r="G29" s="5"/>
    </row>
    <row r="30" spans="1:11" x14ac:dyDescent="0.3">
      <c r="A30" s="19" t="s">
        <v>68</v>
      </c>
      <c r="B30" s="17"/>
      <c r="C30" s="17"/>
      <c r="D30" s="34"/>
      <c r="G30" s="5"/>
    </row>
    <row r="31" spans="1:11" x14ac:dyDescent="0.3">
      <c r="A31" s="19" t="s">
        <v>44</v>
      </c>
      <c r="B31" s="17"/>
      <c r="C31" s="17"/>
      <c r="D31" s="34"/>
      <c r="G31" s="5"/>
    </row>
    <row r="32" spans="1:11" x14ac:dyDescent="0.3">
      <c r="A32" s="19" t="s">
        <v>45</v>
      </c>
      <c r="B32" s="17"/>
      <c r="C32" s="17"/>
      <c r="D32" s="34"/>
      <c r="G32" s="5"/>
    </row>
    <row r="33" spans="1:11" s="9" customFormat="1" x14ac:dyDescent="0.3">
      <c r="A33" s="19" t="s">
        <v>72</v>
      </c>
      <c r="B33" s="30">
        <v>268897</v>
      </c>
      <c r="C33" s="30">
        <v>212895</v>
      </c>
      <c r="D33" s="17">
        <f>IF(B33&lt;&gt;0,(C33-B33)/B33,0)</f>
        <v>-0.2082656184338241</v>
      </c>
      <c r="F33" s="5"/>
      <c r="G33" s="5"/>
      <c r="H33" s="5"/>
      <c r="I33" s="5"/>
      <c r="J33" s="5"/>
      <c r="K33" s="5"/>
    </row>
    <row r="34" spans="1:11" x14ac:dyDescent="0.3">
      <c r="A34" s="19" t="s">
        <v>5</v>
      </c>
      <c r="B34" s="14">
        <v>2704</v>
      </c>
      <c r="C34" s="14">
        <v>0</v>
      </c>
      <c r="D34" s="17">
        <f t="shared" ref="D34:D44" si="2">IF(B34&lt;&gt;0,(C34-B34)/B34,0)</f>
        <v>-1</v>
      </c>
      <c r="G34" s="5"/>
    </row>
    <row r="35" spans="1:11" s="9" customFormat="1" x14ac:dyDescent="0.3">
      <c r="A35" s="19" t="s">
        <v>57</v>
      </c>
      <c r="B35" s="14">
        <v>14746</v>
      </c>
      <c r="C35" s="14">
        <v>12979</v>
      </c>
      <c r="D35" s="17">
        <f t="shared" si="2"/>
        <v>-0.11982910619829107</v>
      </c>
      <c r="F35" s="5"/>
      <c r="G35" s="5"/>
      <c r="H35" s="5"/>
      <c r="I35" s="5"/>
      <c r="J35" s="5"/>
      <c r="K35" s="5"/>
    </row>
    <row r="36" spans="1:11" s="9" customFormat="1" x14ac:dyDescent="0.3">
      <c r="A36" s="19" t="s">
        <v>56</v>
      </c>
      <c r="B36" s="14">
        <v>13179</v>
      </c>
      <c r="C36" s="14">
        <v>10094</v>
      </c>
      <c r="D36" s="17">
        <f t="shared" si="2"/>
        <v>-0.23408452841642005</v>
      </c>
      <c r="F36" s="5"/>
      <c r="G36" s="5"/>
      <c r="H36" s="5"/>
      <c r="I36" s="5"/>
      <c r="J36" s="5"/>
      <c r="K36" s="5"/>
    </row>
    <row r="37" spans="1:11" s="9" customFormat="1" x14ac:dyDescent="0.3">
      <c r="A37" s="35" t="s">
        <v>4</v>
      </c>
      <c r="B37" s="30">
        <f>SUM(B33:B36)</f>
        <v>299526</v>
      </c>
      <c r="C37" s="30">
        <f>SUM(C33:C36)</f>
        <v>235968</v>
      </c>
      <c r="D37" s="17">
        <f t="shared" si="2"/>
        <v>-0.21219526852426834</v>
      </c>
      <c r="F37" s="5"/>
      <c r="G37" s="5"/>
      <c r="H37" s="5"/>
      <c r="I37" s="5"/>
      <c r="J37" s="5"/>
      <c r="K37" s="5"/>
    </row>
    <row r="38" spans="1:11" x14ac:dyDescent="0.3">
      <c r="A38" s="19" t="s">
        <v>58</v>
      </c>
      <c r="B38" s="14">
        <v>-8773</v>
      </c>
      <c r="C38" s="14">
        <v>-8740</v>
      </c>
      <c r="D38" s="17">
        <f t="shared" si="2"/>
        <v>-3.7615410919867778E-3</v>
      </c>
      <c r="G38" s="5"/>
    </row>
    <row r="39" spans="1:11" s="9" customFormat="1" x14ac:dyDescent="0.3">
      <c r="A39" s="35" t="s">
        <v>42</v>
      </c>
      <c r="B39" s="30">
        <f>SUM(B37:B38)</f>
        <v>290753</v>
      </c>
      <c r="C39" s="30">
        <f>SUM(C37:C38)</f>
        <v>227228</v>
      </c>
      <c r="D39" s="17">
        <f t="shared" si="2"/>
        <v>-0.21848441804555757</v>
      </c>
      <c r="F39" s="5"/>
      <c r="G39" s="5"/>
      <c r="H39" s="5"/>
      <c r="I39" s="5"/>
      <c r="J39" s="5"/>
      <c r="K39" s="5"/>
    </row>
    <row r="40" spans="1:11" s="9" customFormat="1" x14ac:dyDescent="0.3">
      <c r="A40" s="19" t="s">
        <v>10</v>
      </c>
      <c r="B40" s="14">
        <v>948</v>
      </c>
      <c r="C40" s="14">
        <v>214.21695600000001</v>
      </c>
      <c r="D40" s="17">
        <f t="shared" si="2"/>
        <v>-0.7740327468354431</v>
      </c>
      <c r="F40" s="5"/>
      <c r="G40" s="5"/>
      <c r="H40" s="5"/>
      <c r="I40" s="5"/>
      <c r="J40" s="5"/>
      <c r="K40" s="5"/>
    </row>
    <row r="41" spans="1:11" x14ac:dyDescent="0.3">
      <c r="A41" s="19" t="s">
        <v>13</v>
      </c>
      <c r="B41" s="14">
        <v>-621</v>
      </c>
      <c r="C41" s="14">
        <v>-1741.084503</v>
      </c>
      <c r="D41" s="17">
        <f t="shared" si="2"/>
        <v>1.8036787487922705</v>
      </c>
      <c r="G41" s="5"/>
    </row>
    <row r="42" spans="1:11" s="9" customFormat="1" x14ac:dyDescent="0.3">
      <c r="A42" s="35" t="s">
        <v>43</v>
      </c>
      <c r="B42" s="30">
        <f>SUM(B39:B41)</f>
        <v>291080</v>
      </c>
      <c r="C42" s="30">
        <f>SUM(C39:C41)</f>
        <v>225701.132453</v>
      </c>
      <c r="D42" s="17">
        <f t="shared" si="2"/>
        <v>-0.22460790005153222</v>
      </c>
      <c r="F42" s="5"/>
      <c r="G42" s="5"/>
      <c r="H42" s="5"/>
      <c r="I42" s="5"/>
      <c r="J42" s="5"/>
      <c r="K42" s="5"/>
    </row>
    <row r="43" spans="1:11" x14ac:dyDescent="0.3">
      <c r="A43" s="19" t="s">
        <v>15</v>
      </c>
      <c r="B43" s="14">
        <v>-74</v>
      </c>
      <c r="C43" s="14">
        <v>-205</v>
      </c>
      <c r="D43" s="17">
        <f t="shared" si="2"/>
        <v>1.7702702702702702</v>
      </c>
      <c r="G43" s="5"/>
    </row>
    <row r="44" spans="1:11" ht="15.75" thickBot="1" x14ac:dyDescent="0.35">
      <c r="A44" s="36" t="s">
        <v>17</v>
      </c>
      <c r="B44" s="37">
        <f>SUM(B42:B43)</f>
        <v>291006</v>
      </c>
      <c r="C44" s="37">
        <f>SUM(C42:C43)</f>
        <v>225496.132453</v>
      </c>
      <c r="D44" s="45">
        <f t="shared" si="2"/>
        <v>-0.22511517819907495</v>
      </c>
      <c r="G44" s="5"/>
    </row>
    <row r="45" spans="1:11" x14ac:dyDescent="0.3">
      <c r="G45" s="5"/>
    </row>
    <row r="46" spans="1:11" x14ac:dyDescent="0.3">
      <c r="A46" s="19"/>
      <c r="D46" s="17"/>
      <c r="G46" s="5"/>
    </row>
  </sheetData>
  <phoneticPr fontId="0" type="noConversion"/>
  <pageMargins left="0.70866141732283472" right="0.43307086614173229" top="0.47244094488188981" bottom="0.39370078740157483" header="0.31496062992125984" footer="0.18"/>
  <pageSetup orientation="portrait" r:id="rId1"/>
  <headerFooter>
    <oddFooter>&amp;L&amp;A</oddFooter>
  </headerFooter>
  <customProperties>
    <customPr name="_pios_id" r:id="rId2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topLeftCell="A31" workbookViewId="0">
      <selection activeCell="D36" sqref="D36:D55"/>
    </sheetView>
  </sheetViews>
  <sheetFormatPr baseColWidth="10" defaultColWidth="11.42578125" defaultRowHeight="15" x14ac:dyDescent="0.3"/>
  <cols>
    <col min="1" max="1" width="43.42578125" style="5" customWidth="1"/>
    <col min="2" max="3" width="11.7109375" style="2" bestFit="1" customWidth="1"/>
    <col min="4" max="4" width="13.28515625" style="3" bestFit="1" customWidth="1"/>
    <col min="5" max="5" width="11.5703125" style="3" bestFit="1" customWidth="1"/>
    <col min="6" max="6" width="9.28515625" style="4" bestFit="1" customWidth="1"/>
    <col min="7" max="7" width="8.28515625" style="5" customWidth="1"/>
    <col min="8" max="16384" width="11.42578125" style="5"/>
  </cols>
  <sheetData>
    <row r="1" spans="1:8" x14ac:dyDescent="0.3">
      <c r="A1" s="38" t="s">
        <v>40</v>
      </c>
      <c r="E1" s="21"/>
    </row>
    <row r="2" spans="1:8" x14ac:dyDescent="0.3">
      <c r="A2" s="38" t="s">
        <v>67</v>
      </c>
      <c r="E2" s="21"/>
    </row>
    <row r="3" spans="1:8" x14ac:dyDescent="0.3">
      <c r="A3" s="24" t="s">
        <v>44</v>
      </c>
      <c r="D3" s="17"/>
      <c r="E3" s="21"/>
    </row>
    <row r="4" spans="1:8" x14ac:dyDescent="0.3">
      <c r="A4" s="24" t="s">
        <v>45</v>
      </c>
      <c r="E4" s="21"/>
      <c r="G4" s="66"/>
      <c r="H4" s="19"/>
    </row>
    <row r="5" spans="1:8" x14ac:dyDescent="0.3">
      <c r="E5" s="21"/>
      <c r="G5" s="66"/>
      <c r="H5" s="19"/>
    </row>
    <row r="6" spans="1:8" x14ac:dyDescent="0.3">
      <c r="A6" s="6" t="s">
        <v>20</v>
      </c>
      <c r="B6" s="6">
        <v>2008</v>
      </c>
      <c r="C6" s="6">
        <v>2009</v>
      </c>
      <c r="D6" s="6" t="s">
        <v>46</v>
      </c>
      <c r="E6" s="6">
        <v>2009</v>
      </c>
      <c r="G6" s="69"/>
      <c r="H6" s="19"/>
    </row>
    <row r="7" spans="1:8" x14ac:dyDescent="0.3">
      <c r="A7" s="18" t="s">
        <v>21</v>
      </c>
      <c r="B7" s="14">
        <v>200123</v>
      </c>
      <c r="C7" s="14">
        <v>152572</v>
      </c>
      <c r="D7" s="17">
        <f t="shared" ref="D7:D16" si="0">+(C7-B7)/B7</f>
        <v>-0.23760887054461508</v>
      </c>
      <c r="E7" s="14">
        <v>152572</v>
      </c>
      <c r="G7" s="67"/>
      <c r="H7" s="19"/>
    </row>
    <row r="8" spans="1:8" x14ac:dyDescent="0.3">
      <c r="A8" s="18" t="s">
        <v>22</v>
      </c>
      <c r="B8" s="14">
        <v>299414</v>
      </c>
      <c r="C8" s="14">
        <v>335272</v>
      </c>
      <c r="D8" s="17">
        <f t="shared" si="0"/>
        <v>0.11976059903678518</v>
      </c>
      <c r="E8" s="14">
        <v>335272</v>
      </c>
      <c r="G8" s="67"/>
      <c r="H8" s="19"/>
    </row>
    <row r="9" spans="1:8" x14ac:dyDescent="0.3">
      <c r="A9" s="18" t="s">
        <v>23</v>
      </c>
      <c r="B9" s="14">
        <f>645639+10992</f>
        <v>656631</v>
      </c>
      <c r="C9" s="14">
        <f>510929+12600</f>
        <v>523529</v>
      </c>
      <c r="D9" s="17">
        <f t="shared" si="0"/>
        <v>-0.20270441084871108</v>
      </c>
      <c r="E9" s="14">
        <f>510929+12600</f>
        <v>523529</v>
      </c>
      <c r="G9" s="67"/>
      <c r="H9" s="19"/>
    </row>
    <row r="10" spans="1:8" x14ac:dyDescent="0.3">
      <c r="A10" s="18" t="s">
        <v>36</v>
      </c>
      <c r="B10" s="14">
        <v>528465</v>
      </c>
      <c r="C10" s="14">
        <v>494120</v>
      </c>
      <c r="D10" s="17">
        <f t="shared" si="0"/>
        <v>-6.4990112874078701E-2</v>
      </c>
      <c r="E10" s="14">
        <v>494120</v>
      </c>
      <c r="G10" s="67"/>
      <c r="H10" s="19"/>
    </row>
    <row r="11" spans="1:8" x14ac:dyDescent="0.3">
      <c r="A11" s="18" t="s">
        <v>60</v>
      </c>
      <c r="B11" s="14">
        <v>767527</v>
      </c>
      <c r="C11" s="14">
        <v>977261</v>
      </c>
      <c r="D11" s="17">
        <f t="shared" si="0"/>
        <v>0.27325944233883631</v>
      </c>
      <c r="E11" s="14">
        <v>977261</v>
      </c>
      <c r="G11" s="67"/>
      <c r="H11" s="19"/>
    </row>
    <row r="12" spans="1:8" x14ac:dyDescent="0.3">
      <c r="A12" s="18" t="s">
        <v>47</v>
      </c>
      <c r="B12" s="14">
        <v>543336</v>
      </c>
      <c r="C12" s="14">
        <v>748013</v>
      </c>
      <c r="D12" s="17">
        <f t="shared" si="0"/>
        <v>0.3767042861139332</v>
      </c>
      <c r="E12" s="14">
        <v>748013</v>
      </c>
      <c r="G12" s="67"/>
      <c r="H12" s="19"/>
    </row>
    <row r="13" spans="1:8" x14ac:dyDescent="0.3">
      <c r="A13" s="18" t="s">
        <v>24</v>
      </c>
      <c r="B13" s="14">
        <f>7344+20831</f>
        <v>28175</v>
      </c>
      <c r="C13" s="14">
        <f>53063+26284+1</f>
        <v>79348</v>
      </c>
      <c r="D13" s="17">
        <f t="shared" si="0"/>
        <v>1.8162555456965395</v>
      </c>
      <c r="E13" s="14">
        <f>53063+26284+1</f>
        <v>79348</v>
      </c>
      <c r="G13" s="67"/>
      <c r="H13" s="19"/>
    </row>
    <row r="14" spans="1:8" x14ac:dyDescent="0.3">
      <c r="A14" s="18" t="s">
        <v>25</v>
      </c>
      <c r="B14" s="14">
        <f>10167+33928</f>
        <v>44095</v>
      </c>
      <c r="C14" s="14">
        <f>742+18351+1</f>
        <v>19094</v>
      </c>
      <c r="D14" s="17">
        <f t="shared" si="0"/>
        <v>-0.5669803832634086</v>
      </c>
      <c r="E14" s="14">
        <f>742+18351+1</f>
        <v>19094</v>
      </c>
      <c r="G14" s="67"/>
      <c r="H14" s="19"/>
    </row>
    <row r="15" spans="1:8" x14ac:dyDescent="0.3">
      <c r="A15" s="18" t="s">
        <v>26</v>
      </c>
      <c r="B15" s="14">
        <v>2268787</v>
      </c>
      <c r="C15" s="14">
        <v>3599917</v>
      </c>
      <c r="D15" s="17">
        <f t="shared" si="0"/>
        <v>0.58671439848694473</v>
      </c>
      <c r="E15" s="14">
        <v>3599917</v>
      </c>
      <c r="G15" s="67"/>
      <c r="H15" s="19"/>
    </row>
    <row r="16" spans="1:8" ht="15.75" thickBot="1" x14ac:dyDescent="0.35">
      <c r="A16" s="26" t="s">
        <v>27</v>
      </c>
      <c r="B16" s="27">
        <f>SUM(B7:B15)</f>
        <v>5336553</v>
      </c>
      <c r="C16" s="27">
        <f>SUM(C7:C15)</f>
        <v>6929126</v>
      </c>
      <c r="D16" s="45">
        <f t="shared" si="0"/>
        <v>0.29842728068099389</v>
      </c>
      <c r="E16" s="27">
        <f>SUM(E7:E15)</f>
        <v>6929126</v>
      </c>
      <c r="G16" s="68"/>
      <c r="H16" s="19"/>
    </row>
    <row r="17" spans="1:8" x14ac:dyDescent="0.3">
      <c r="A17" s="1"/>
      <c r="E17" s="2"/>
      <c r="G17" s="67"/>
      <c r="H17" s="19"/>
    </row>
    <row r="18" spans="1:8" x14ac:dyDescent="0.3">
      <c r="A18" s="6" t="s">
        <v>48</v>
      </c>
      <c r="B18" s="6">
        <v>2008</v>
      </c>
      <c r="C18" s="6">
        <v>2009</v>
      </c>
      <c r="D18" s="6" t="s">
        <v>46</v>
      </c>
      <c r="E18" s="6">
        <v>2009</v>
      </c>
      <c r="G18" s="69"/>
      <c r="H18" s="19"/>
    </row>
    <row r="19" spans="1:8" x14ac:dyDescent="0.3">
      <c r="A19" s="18" t="s">
        <v>28</v>
      </c>
      <c r="B19" s="14">
        <f>535026+349791</f>
        <v>884817</v>
      </c>
      <c r="C19" s="14">
        <f>210544+804613</f>
        <v>1015157</v>
      </c>
      <c r="D19" s="17">
        <f t="shared" ref="D19:D30" si="1">+(C19-B19)/B19</f>
        <v>0.1473072963109886</v>
      </c>
      <c r="E19" s="14">
        <f>210544+804613</f>
        <v>1015157</v>
      </c>
      <c r="G19" s="67"/>
      <c r="H19" s="19"/>
    </row>
    <row r="20" spans="1:8" x14ac:dyDescent="0.3">
      <c r="A20" s="18" t="s">
        <v>49</v>
      </c>
      <c r="B20" s="14">
        <v>163812</v>
      </c>
      <c r="C20" s="14">
        <v>124270</v>
      </c>
      <c r="D20" s="17">
        <f t="shared" si="1"/>
        <v>-0.24138646741386469</v>
      </c>
      <c r="E20" s="14">
        <v>124270</v>
      </c>
      <c r="G20" s="67"/>
    </row>
    <row r="21" spans="1:8" x14ac:dyDescent="0.3">
      <c r="A21" s="18" t="s">
        <v>38</v>
      </c>
      <c r="B21" s="14">
        <f>160+172987</f>
        <v>173147</v>
      </c>
      <c r="C21" s="14">
        <f>138138+3475</f>
        <v>141613</v>
      </c>
      <c r="D21" s="17">
        <f t="shared" si="1"/>
        <v>-0.18212270498478172</v>
      </c>
      <c r="E21" s="14">
        <f>138138+3475</f>
        <v>141613</v>
      </c>
      <c r="G21" s="67"/>
    </row>
    <row r="22" spans="1:8" x14ac:dyDescent="0.3">
      <c r="A22" s="18" t="s">
        <v>30</v>
      </c>
      <c r="B22" s="14">
        <v>61484</v>
      </c>
      <c r="C22" s="14">
        <v>52025</v>
      </c>
      <c r="D22" s="17">
        <f t="shared" si="1"/>
        <v>-0.15384490273892396</v>
      </c>
      <c r="E22" s="14">
        <v>52025</v>
      </c>
      <c r="G22" s="67"/>
    </row>
    <row r="23" spans="1:8" x14ac:dyDescent="0.3">
      <c r="A23" s="18" t="s">
        <v>31</v>
      </c>
      <c r="B23" s="14">
        <f>72945+2417</f>
        <v>75362</v>
      </c>
      <c r="C23" s="14">
        <f>76434+1377</f>
        <v>77811</v>
      </c>
      <c r="D23" s="17">
        <f t="shared" si="1"/>
        <v>3.2496483638969245E-2</v>
      </c>
      <c r="E23" s="14">
        <f>76434+1377</f>
        <v>77811</v>
      </c>
      <c r="G23" s="67"/>
    </row>
    <row r="24" spans="1:8" x14ac:dyDescent="0.3">
      <c r="A24" s="18" t="s">
        <v>32</v>
      </c>
      <c r="B24" s="14">
        <f>41238+22590</f>
        <v>63828</v>
      </c>
      <c r="C24" s="14">
        <f>47209+18651</f>
        <v>65860</v>
      </c>
      <c r="D24" s="17">
        <f t="shared" si="1"/>
        <v>3.1835558062292414E-2</v>
      </c>
      <c r="E24" s="14">
        <f>47209+18651</f>
        <v>65860</v>
      </c>
      <c r="G24" s="67"/>
    </row>
    <row r="25" spans="1:8" x14ac:dyDescent="0.3">
      <c r="A25" s="18" t="s">
        <v>24</v>
      </c>
      <c r="B25" s="14">
        <v>44153</v>
      </c>
      <c r="C25" s="14">
        <v>59601</v>
      </c>
      <c r="D25" s="17">
        <f t="shared" si="1"/>
        <v>0.34987430072701742</v>
      </c>
      <c r="E25" s="14">
        <v>59601</v>
      </c>
      <c r="G25" s="67"/>
    </row>
    <row r="26" spans="1:8" x14ac:dyDescent="0.3">
      <c r="A26" s="18" t="s">
        <v>0</v>
      </c>
      <c r="B26" s="14">
        <v>2766</v>
      </c>
      <c r="C26" s="14">
        <v>2549</v>
      </c>
      <c r="D26" s="17">
        <f t="shared" si="1"/>
        <v>-7.8452639190166304E-2</v>
      </c>
      <c r="E26" s="14">
        <v>2549</v>
      </c>
      <c r="G26" s="67"/>
    </row>
    <row r="27" spans="1:8" x14ac:dyDescent="0.3">
      <c r="A27" s="18" t="s">
        <v>33</v>
      </c>
      <c r="B27" s="14">
        <f>SUM(B19:B26)</f>
        <v>1469369</v>
      </c>
      <c r="C27" s="14">
        <f>SUM(C19:C26)</f>
        <v>1538886</v>
      </c>
      <c r="D27" s="17">
        <f t="shared" si="1"/>
        <v>4.7310784425151207E-2</v>
      </c>
      <c r="E27" s="14">
        <f>SUM(E19:E26)</f>
        <v>1538886</v>
      </c>
      <c r="G27" s="67"/>
    </row>
    <row r="28" spans="1:8" x14ac:dyDescent="0.3">
      <c r="A28" s="18" t="s">
        <v>39</v>
      </c>
      <c r="B28" s="14">
        <v>2751</v>
      </c>
      <c r="C28" s="14">
        <v>3611</v>
      </c>
      <c r="D28" s="17">
        <f t="shared" si="1"/>
        <v>0.31261359505634317</v>
      </c>
      <c r="E28" s="14">
        <v>3611</v>
      </c>
      <c r="G28" s="67"/>
    </row>
    <row r="29" spans="1:8" ht="15.75" thickBot="1" x14ac:dyDescent="0.35">
      <c r="A29" s="26" t="s">
        <v>34</v>
      </c>
      <c r="B29" s="27">
        <v>3864433</v>
      </c>
      <c r="C29" s="27">
        <v>5386629</v>
      </c>
      <c r="D29" s="45">
        <f t="shared" si="1"/>
        <v>0.39389892385247721</v>
      </c>
      <c r="E29" s="27">
        <v>5386629</v>
      </c>
      <c r="G29" s="68"/>
    </row>
    <row r="30" spans="1:8" ht="15.75" thickBot="1" x14ac:dyDescent="0.35">
      <c r="A30" s="26" t="s">
        <v>81</v>
      </c>
      <c r="B30" s="27">
        <f>+B27+B28+B29</f>
        <v>5336553</v>
      </c>
      <c r="C30" s="27">
        <f>+C27+C28+C29</f>
        <v>6929126</v>
      </c>
      <c r="D30" s="45">
        <f t="shared" si="1"/>
        <v>0.29842728068099389</v>
      </c>
      <c r="E30" s="27">
        <f>+E27+E28+E29</f>
        <v>6929126</v>
      </c>
      <c r="G30" s="68"/>
    </row>
    <row r="31" spans="1:8" x14ac:dyDescent="0.3">
      <c r="A31" s="19"/>
      <c r="B31" s="14"/>
      <c r="C31" s="14"/>
      <c r="D31" s="17"/>
    </row>
    <row r="32" spans="1:8" x14ac:dyDescent="0.3">
      <c r="A32" s="41" t="s">
        <v>3</v>
      </c>
      <c r="B32" s="14"/>
      <c r="C32" s="14"/>
      <c r="D32" s="17"/>
    </row>
    <row r="33" spans="1:8" x14ac:dyDescent="0.3">
      <c r="A33" s="41" t="s">
        <v>68</v>
      </c>
      <c r="B33" s="14"/>
      <c r="C33" s="14"/>
      <c r="D33" s="17"/>
    </row>
    <row r="34" spans="1:8" x14ac:dyDescent="0.3">
      <c r="A34" s="41" t="s">
        <v>44</v>
      </c>
      <c r="B34" s="14"/>
      <c r="C34" s="14"/>
      <c r="D34" s="17"/>
    </row>
    <row r="35" spans="1:8" x14ac:dyDescent="0.3">
      <c r="A35" s="41" t="s">
        <v>45</v>
      </c>
      <c r="B35" s="14"/>
      <c r="C35" s="14"/>
      <c r="D35" s="17"/>
    </row>
    <row r="36" spans="1:8" x14ac:dyDescent="0.3">
      <c r="A36" s="6"/>
      <c r="B36" s="6">
        <v>2008</v>
      </c>
      <c r="C36" s="6" t="s">
        <v>55</v>
      </c>
      <c r="D36" s="6">
        <v>2009</v>
      </c>
      <c r="E36" s="6" t="s">
        <v>55</v>
      </c>
      <c r="F36" s="6" t="s">
        <v>46</v>
      </c>
    </row>
    <row r="37" spans="1:8" s="9" customFormat="1" x14ac:dyDescent="0.3">
      <c r="A37" s="30" t="s">
        <v>4</v>
      </c>
      <c r="B37" s="50">
        <v>4009727</v>
      </c>
      <c r="C37" s="42">
        <f t="shared" ref="C37:C55" si="2">+B37/$B$37</f>
        <v>1</v>
      </c>
      <c r="D37" s="50">
        <v>4588366</v>
      </c>
      <c r="E37" s="42">
        <f>+D37/$D$37</f>
        <v>1</v>
      </c>
      <c r="F37" s="42">
        <f t="shared" ref="F37:F55" si="3">+(D37-B37)/B37</f>
        <v>0.14430882700991862</v>
      </c>
    </row>
    <row r="38" spans="1:8" x14ac:dyDescent="0.3">
      <c r="A38" s="14" t="s">
        <v>50</v>
      </c>
      <c r="B38" s="51">
        <v>-2384094</v>
      </c>
      <c r="C38" s="17">
        <f t="shared" si="2"/>
        <v>-0.59457763583406054</v>
      </c>
      <c r="D38" s="51">
        <v>-2818189</v>
      </c>
      <c r="E38" s="17">
        <f>+D38/$D$37</f>
        <v>-0.61420318257087603</v>
      </c>
      <c r="F38" s="17">
        <f t="shared" si="3"/>
        <v>0.18207964954401964</v>
      </c>
    </row>
    <row r="39" spans="1:8" s="9" customFormat="1" x14ac:dyDescent="0.3">
      <c r="A39" s="30" t="s">
        <v>6</v>
      </c>
      <c r="B39" s="30">
        <f>SUM(B37:B38)</f>
        <v>1625633</v>
      </c>
      <c r="C39" s="42">
        <f t="shared" si="2"/>
        <v>0.40542236416593946</v>
      </c>
      <c r="D39" s="30">
        <f>SUM(D37:D38)</f>
        <v>1770177</v>
      </c>
      <c r="E39" s="42">
        <f t="shared" ref="E39:E55" si="4">+D39/$D$37</f>
        <v>0.38579681742912403</v>
      </c>
      <c r="F39" s="42">
        <f t="shared" si="3"/>
        <v>8.8915517832130628E-2</v>
      </c>
    </row>
    <row r="40" spans="1:8" x14ac:dyDescent="0.3">
      <c r="A40" s="14" t="s">
        <v>7</v>
      </c>
      <c r="B40" s="14">
        <v>-183777</v>
      </c>
      <c r="C40" s="17">
        <f t="shared" si="2"/>
        <v>-4.583279609808847E-2</v>
      </c>
      <c r="D40" s="14">
        <v>-218875</v>
      </c>
      <c r="E40" s="17">
        <f t="shared" si="4"/>
        <v>-4.7702166740839769E-2</v>
      </c>
      <c r="F40" s="17">
        <f t="shared" si="3"/>
        <v>0.1909814612274659</v>
      </c>
    </row>
    <row r="41" spans="1:8" x14ac:dyDescent="0.3">
      <c r="A41" s="14" t="s">
        <v>8</v>
      </c>
      <c r="B41" s="14">
        <v>-975970</v>
      </c>
      <c r="C41" s="17">
        <f t="shared" si="2"/>
        <v>-0.24340061056525794</v>
      </c>
      <c r="D41" s="14">
        <v>-1102578</v>
      </c>
      <c r="E41" s="17">
        <f t="shared" si="4"/>
        <v>-0.24029861610865394</v>
      </c>
      <c r="F41" s="17">
        <f t="shared" si="3"/>
        <v>0.12972529893336884</v>
      </c>
    </row>
    <row r="42" spans="1:8" s="9" customFormat="1" x14ac:dyDescent="0.3">
      <c r="A42" s="30" t="s">
        <v>9</v>
      </c>
      <c r="B42" s="30">
        <f>SUM(B40:B41)</f>
        <v>-1159747</v>
      </c>
      <c r="C42" s="42">
        <f t="shared" si="2"/>
        <v>-0.2892334066633464</v>
      </c>
      <c r="D42" s="30">
        <f>SUM(D40:D41)</f>
        <v>-1321453</v>
      </c>
      <c r="E42" s="42">
        <f t="shared" si="4"/>
        <v>-0.28800078284949371</v>
      </c>
      <c r="F42" s="42">
        <f t="shared" si="3"/>
        <v>0.13943213476732425</v>
      </c>
    </row>
    <row r="43" spans="1:8" s="9" customFormat="1" x14ac:dyDescent="0.3">
      <c r="A43" s="30" t="s">
        <v>1</v>
      </c>
      <c r="B43" s="30">
        <f>+B39+B42</f>
        <v>465886</v>
      </c>
      <c r="C43" s="42">
        <f t="shared" si="2"/>
        <v>0.11618895750259307</v>
      </c>
      <c r="D43" s="30">
        <f>+D39+D42</f>
        <v>448724</v>
      </c>
      <c r="E43" s="42">
        <f t="shared" si="4"/>
        <v>9.7796034579630306E-2</v>
      </c>
      <c r="F43" s="42">
        <f t="shared" si="3"/>
        <v>-3.6837337889526624E-2</v>
      </c>
    </row>
    <row r="44" spans="1:8" x14ac:dyDescent="0.3">
      <c r="A44" s="14" t="s">
        <v>51</v>
      </c>
      <c r="B44" s="14">
        <f>124919-27907-45965-1642-37825</f>
        <v>11580</v>
      </c>
      <c r="C44" s="17">
        <f t="shared" si="2"/>
        <v>2.8879771615374313E-3</v>
      </c>
      <c r="D44" s="14">
        <v>9537</v>
      </c>
      <c r="E44" s="17">
        <f t="shared" si="4"/>
        <v>2.078517711969795E-3</v>
      </c>
      <c r="F44" s="17">
        <f t="shared" si="3"/>
        <v>-0.17642487046632124</v>
      </c>
      <c r="H44" s="9"/>
    </row>
    <row r="45" spans="1:8" x14ac:dyDescent="0.3">
      <c r="A45" s="14" t="s">
        <v>11</v>
      </c>
      <c r="B45" s="14">
        <f>-202076+66698+12887+33753</f>
        <v>-88738</v>
      </c>
      <c r="C45" s="17">
        <f t="shared" si="2"/>
        <v>-2.213068370988848E-2</v>
      </c>
      <c r="D45" s="14">
        <f>-80314-23017</f>
        <v>-103331</v>
      </c>
      <c r="E45" s="17">
        <f t="shared" si="4"/>
        <v>-2.2520217436882761E-2</v>
      </c>
      <c r="F45" s="17">
        <f t="shared" si="3"/>
        <v>0.16445040456174356</v>
      </c>
      <c r="H45" s="9"/>
    </row>
    <row r="46" spans="1:8" x14ac:dyDescent="0.3">
      <c r="A46" s="14" t="s">
        <v>12</v>
      </c>
      <c r="B46" s="14">
        <f>45965-66698+1642+37825-12887-33753</f>
        <v>-27906</v>
      </c>
      <c r="C46" s="17">
        <f t="shared" si="2"/>
        <v>-6.9595760509381316E-3</v>
      </c>
      <c r="D46" s="14">
        <f>15641-17428</f>
        <v>-1787</v>
      </c>
      <c r="E46" s="17">
        <f t="shared" si="4"/>
        <v>-3.894632642644462E-4</v>
      </c>
      <c r="F46" s="17">
        <f t="shared" si="3"/>
        <v>-0.93596359205905544</v>
      </c>
      <c r="H46" s="9"/>
    </row>
    <row r="47" spans="1:8" x14ac:dyDescent="0.3">
      <c r="A47" s="14" t="s">
        <v>52</v>
      </c>
      <c r="B47" s="14">
        <f>-16167-80511</f>
        <v>-96678</v>
      </c>
      <c r="C47" s="17">
        <f t="shared" si="2"/>
        <v>-2.4110868395778567E-2</v>
      </c>
      <c r="D47" s="14">
        <v>-89202</v>
      </c>
      <c r="E47" s="17">
        <f t="shared" si="4"/>
        <v>-1.9440907721833874E-2</v>
      </c>
      <c r="F47" s="17">
        <f t="shared" si="3"/>
        <v>-7.7328864891702348E-2</v>
      </c>
      <c r="H47" s="9"/>
    </row>
    <row r="48" spans="1:8" x14ac:dyDescent="0.3">
      <c r="A48" s="14" t="s">
        <v>14</v>
      </c>
      <c r="B48" s="14">
        <v>27907</v>
      </c>
      <c r="C48" s="17">
        <f t="shared" si="2"/>
        <v>6.9598254444753968E-3</v>
      </c>
      <c r="D48" s="14">
        <v>28975</v>
      </c>
      <c r="E48" s="17">
        <f t="shared" si="4"/>
        <v>6.3148842093241906E-3</v>
      </c>
      <c r="F48" s="17">
        <f t="shared" si="3"/>
        <v>3.8269968108359913E-2</v>
      </c>
    </row>
    <row r="49" spans="1:6" x14ac:dyDescent="0.3">
      <c r="A49" s="14" t="s">
        <v>16</v>
      </c>
      <c r="B49" s="14">
        <v>80511</v>
      </c>
      <c r="C49" s="17">
        <f t="shared" si="2"/>
        <v>2.0078923078803119E-2</v>
      </c>
      <c r="D49" s="14">
        <v>2124</v>
      </c>
      <c r="E49" s="17">
        <f t="shared" si="4"/>
        <v>4.6290988992595623E-4</v>
      </c>
      <c r="F49" s="17">
        <f t="shared" si="3"/>
        <v>-0.97361851175615755</v>
      </c>
    </row>
    <row r="50" spans="1:6" s="9" customFormat="1" x14ac:dyDescent="0.3">
      <c r="A50" s="30" t="s">
        <v>2</v>
      </c>
      <c r="B50" s="30">
        <f>SUM(B44:B49)</f>
        <v>-93324</v>
      </c>
      <c r="C50" s="42">
        <f t="shared" si="2"/>
        <v>-2.3274402471789225E-2</v>
      </c>
      <c r="D50" s="30">
        <f>SUM(D44:D49)</f>
        <v>-153684</v>
      </c>
      <c r="E50" s="42">
        <f t="shared" si="4"/>
        <v>-3.3494276611761138E-2</v>
      </c>
      <c r="F50" s="42">
        <f t="shared" si="3"/>
        <v>0.6467789636106468</v>
      </c>
    </row>
    <row r="51" spans="1:6" s="9" customFormat="1" x14ac:dyDescent="0.3">
      <c r="A51" s="30" t="s">
        <v>41</v>
      </c>
      <c r="B51" s="30">
        <f>+B43+B50</f>
        <v>372562</v>
      </c>
      <c r="C51" s="42">
        <f t="shared" si="2"/>
        <v>9.2914555030803841E-2</v>
      </c>
      <c r="D51" s="30">
        <f>+D43+D50</f>
        <v>295040</v>
      </c>
      <c r="E51" s="42">
        <f t="shared" si="4"/>
        <v>6.4301757967869175E-2</v>
      </c>
      <c r="F51" s="42">
        <f t="shared" si="3"/>
        <v>-0.20807811854134345</v>
      </c>
    </row>
    <row r="52" spans="1:6" x14ac:dyDescent="0.3">
      <c r="A52" s="14" t="s">
        <v>15</v>
      </c>
      <c r="B52" s="14">
        <f>-74583+1351</f>
        <v>-73232</v>
      </c>
      <c r="C52" s="17">
        <f t="shared" si="2"/>
        <v>-1.8263587521045697E-2</v>
      </c>
      <c r="D52" s="14">
        <f>-77390-3919</f>
        <v>-81309</v>
      </c>
      <c r="E52" s="17">
        <f t="shared" si="4"/>
        <v>-1.7720687495286994E-2</v>
      </c>
      <c r="F52" s="17">
        <f t="shared" si="3"/>
        <v>0.11029331439807734</v>
      </c>
    </row>
    <row r="53" spans="1:6" x14ac:dyDescent="0.3">
      <c r="A53" s="14" t="s">
        <v>18</v>
      </c>
      <c r="B53" s="14">
        <v>-279</v>
      </c>
      <c r="C53" s="17">
        <f t="shared" si="2"/>
        <v>-6.9580796897145367E-5</v>
      </c>
      <c r="D53" s="14">
        <v>-457</v>
      </c>
      <c r="E53" s="17">
        <f t="shared" si="4"/>
        <v>-9.9599726787270238E-5</v>
      </c>
      <c r="F53" s="17">
        <f t="shared" si="3"/>
        <v>0.63799283154121866</v>
      </c>
    </row>
    <row r="54" spans="1:6" s="9" customFormat="1" x14ac:dyDescent="0.3">
      <c r="A54" s="43" t="s">
        <v>17</v>
      </c>
      <c r="B54" s="43">
        <f>+B51+B52+B53</f>
        <v>299051</v>
      </c>
      <c r="C54" s="44">
        <f t="shared" si="2"/>
        <v>7.4581386712861006E-2</v>
      </c>
      <c r="D54" s="43">
        <f>+D51+D52+D53</f>
        <v>213274</v>
      </c>
      <c r="E54" s="44">
        <f t="shared" si="4"/>
        <v>4.6481470745794909E-2</v>
      </c>
      <c r="F54" s="44">
        <f t="shared" si="3"/>
        <v>-0.28683067436657961</v>
      </c>
    </row>
    <row r="55" spans="1:6" s="9" customFormat="1" ht="15.75" thickBot="1" x14ac:dyDescent="0.35">
      <c r="A55" s="27" t="s">
        <v>19</v>
      </c>
      <c r="B55" s="27">
        <v>569823</v>
      </c>
      <c r="C55" s="45">
        <f t="shared" si="2"/>
        <v>0.14211017358538375</v>
      </c>
      <c r="D55" s="27">
        <v>551034</v>
      </c>
      <c r="E55" s="45">
        <f t="shared" si="4"/>
        <v>0.12009373271443473</v>
      </c>
      <c r="F55" s="45">
        <f t="shared" si="3"/>
        <v>-3.2973397002227005E-2</v>
      </c>
    </row>
    <row r="56" spans="1:6" x14ac:dyDescent="0.3">
      <c r="A56" s="2"/>
      <c r="C56" s="3"/>
      <c r="D56" s="10"/>
    </row>
    <row r="57" spans="1:6" x14ac:dyDescent="0.3">
      <c r="A57" s="19"/>
      <c r="B57" s="14"/>
      <c r="C57" s="17"/>
      <c r="D57" s="10"/>
    </row>
    <row r="58" spans="1:6" x14ac:dyDescent="0.3">
      <c r="D58" s="10"/>
    </row>
  </sheetData>
  <phoneticPr fontId="0" type="noConversion"/>
  <pageMargins left="0.7" right="0.7" top="0.75" bottom="0.75" header="0.3" footer="0.3"/>
  <customProperties>
    <customPr name="_pios_id" r:id="rId1"/>
  </customPropertie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4"/>
  <sheetViews>
    <sheetView zoomScale="86" zoomScaleNormal="86" workbookViewId="0">
      <selection activeCell="H18" sqref="H18"/>
    </sheetView>
  </sheetViews>
  <sheetFormatPr baseColWidth="10" defaultColWidth="11.42578125" defaultRowHeight="15" x14ac:dyDescent="0.3"/>
  <cols>
    <col min="1" max="1" width="43.7109375" style="5" customWidth="1"/>
    <col min="2" max="3" width="11.7109375" style="2" bestFit="1" customWidth="1"/>
    <col min="4" max="4" width="13.28515625" style="3" bestFit="1" customWidth="1"/>
    <col min="5" max="6" width="11.42578125" style="5"/>
    <col min="7" max="7" width="11.5703125" style="11" bestFit="1" customWidth="1"/>
    <col min="8" max="8" width="11.5703125" style="5" bestFit="1" customWidth="1"/>
    <col min="9" max="16384" width="11.42578125" style="5"/>
  </cols>
  <sheetData>
    <row r="1" spans="1:6" x14ac:dyDescent="0.3">
      <c r="A1" s="24" t="s">
        <v>69</v>
      </c>
    </row>
    <row r="2" spans="1:6" x14ac:dyDescent="0.3">
      <c r="A2" s="24" t="s">
        <v>76</v>
      </c>
    </row>
    <row r="3" spans="1:6" x14ac:dyDescent="0.3">
      <c r="A3" s="24" t="s">
        <v>44</v>
      </c>
    </row>
    <row r="4" spans="1:6" x14ac:dyDescent="0.3">
      <c r="A4" s="24" t="s">
        <v>45</v>
      </c>
    </row>
    <row r="5" spans="1:6" ht="12" customHeight="1" x14ac:dyDescent="0.3"/>
    <row r="6" spans="1:6" x14ac:dyDescent="0.3">
      <c r="A6" s="6" t="s">
        <v>20</v>
      </c>
      <c r="B6" s="6">
        <v>2009</v>
      </c>
      <c r="C6" s="6">
        <v>2010</v>
      </c>
      <c r="D6" s="7" t="s">
        <v>46</v>
      </c>
    </row>
    <row r="7" spans="1:6" x14ac:dyDescent="0.3">
      <c r="A7" s="18" t="s">
        <v>21</v>
      </c>
      <c r="B7" s="14">
        <v>526</v>
      </c>
      <c r="C7" s="14">
        <v>197</v>
      </c>
      <c r="D7" s="17">
        <f t="shared" ref="D7:D12" si="0">IF(B7&lt;&gt;0,(C7-B7)/B7,0)</f>
        <v>-0.62547528517110262</v>
      </c>
    </row>
    <row r="8" spans="1:6" x14ac:dyDescent="0.3">
      <c r="A8" s="18" t="s">
        <v>22</v>
      </c>
      <c r="B8" s="14">
        <v>3179065</v>
      </c>
      <c r="C8" s="14">
        <v>3736859</v>
      </c>
      <c r="D8" s="17">
        <f t="shared" si="0"/>
        <v>0.17545850745423575</v>
      </c>
      <c r="F8" s="2"/>
    </row>
    <row r="9" spans="1:6" x14ac:dyDescent="0.3">
      <c r="A9" s="18" t="s">
        <v>23</v>
      </c>
      <c r="B9" s="14">
        <v>22582</v>
      </c>
      <c r="C9" s="14">
        <v>22426</v>
      </c>
      <c r="D9" s="17">
        <f t="shared" si="0"/>
        <v>-6.9081569391550796E-3</v>
      </c>
    </row>
    <row r="10" spans="1:6" x14ac:dyDescent="0.3">
      <c r="A10" s="18" t="s">
        <v>59</v>
      </c>
      <c r="B10" s="14">
        <f>155+54</f>
        <v>209</v>
      </c>
      <c r="C10" s="14">
        <v>155</v>
      </c>
      <c r="D10" s="17">
        <f t="shared" si="0"/>
        <v>-0.25837320574162681</v>
      </c>
    </row>
    <row r="11" spans="1:6" x14ac:dyDescent="0.3">
      <c r="A11" s="18" t="s">
        <v>26</v>
      </c>
      <c r="B11" s="14">
        <v>932765</v>
      </c>
      <c r="C11" s="14">
        <v>1924896</v>
      </c>
      <c r="D11" s="17">
        <f t="shared" si="0"/>
        <v>1.0636451839423648</v>
      </c>
    </row>
    <row r="12" spans="1:6" ht="15.75" thickBot="1" x14ac:dyDescent="0.35">
      <c r="A12" s="26" t="s">
        <v>27</v>
      </c>
      <c r="B12" s="27">
        <f>SUM(B7:B11)</f>
        <v>4135147</v>
      </c>
      <c r="C12" s="27">
        <f>SUM(C7:C11)</f>
        <v>5684533</v>
      </c>
      <c r="D12" s="46">
        <f t="shared" si="0"/>
        <v>0.37468704256462948</v>
      </c>
    </row>
    <row r="14" spans="1:6" x14ac:dyDescent="0.3">
      <c r="A14" s="6" t="s">
        <v>48</v>
      </c>
      <c r="B14" s="6">
        <v>2009</v>
      </c>
      <c r="C14" s="6">
        <v>2010</v>
      </c>
      <c r="D14" s="7" t="s">
        <v>46</v>
      </c>
    </row>
    <row r="15" spans="1:6" x14ac:dyDescent="0.3">
      <c r="A15" s="18" t="s">
        <v>28</v>
      </c>
      <c r="B15" s="14">
        <v>7123</v>
      </c>
      <c r="C15" s="14">
        <v>19</v>
      </c>
      <c r="D15" s="17">
        <f t="shared" ref="D15:D23" si="1">IF(B15&lt;&gt;0,(C15-B15)/B15,0)</f>
        <v>-0.99733258458514673</v>
      </c>
    </row>
    <row r="16" spans="1:6" x14ac:dyDescent="0.3">
      <c r="A16" s="18" t="s">
        <v>29</v>
      </c>
      <c r="B16" s="14">
        <v>176740</v>
      </c>
      <c r="C16" s="14">
        <v>193634</v>
      </c>
      <c r="D16" s="17">
        <f t="shared" si="1"/>
        <v>9.5586737580626913E-2</v>
      </c>
    </row>
    <row r="17" spans="1:8" x14ac:dyDescent="0.3">
      <c r="A17" s="18" t="s">
        <v>30</v>
      </c>
      <c r="B17" s="14">
        <v>2026</v>
      </c>
      <c r="C17" s="14">
        <v>405</v>
      </c>
      <c r="D17" s="17">
        <f t="shared" si="1"/>
        <v>-0.80009871668311949</v>
      </c>
    </row>
    <row r="18" spans="1:8" x14ac:dyDescent="0.3">
      <c r="A18" s="18" t="s">
        <v>31</v>
      </c>
      <c r="B18" s="14">
        <v>991</v>
      </c>
      <c r="C18" s="14">
        <v>545</v>
      </c>
      <c r="D18" s="17">
        <f t="shared" si="1"/>
        <v>-0.45005045408678102</v>
      </c>
    </row>
    <row r="19" spans="1:8" x14ac:dyDescent="0.3">
      <c r="A19" s="18" t="s">
        <v>32</v>
      </c>
      <c r="B19" s="14">
        <v>305</v>
      </c>
      <c r="C19" s="14">
        <v>448</v>
      </c>
      <c r="D19" s="17">
        <f t="shared" si="1"/>
        <v>0.46885245901639344</v>
      </c>
    </row>
    <row r="20" spans="1:8" x14ac:dyDescent="0.3">
      <c r="A20" s="18" t="s">
        <v>24</v>
      </c>
      <c r="B20" s="14">
        <v>13225</v>
      </c>
      <c r="C20" s="14">
        <v>14069</v>
      </c>
      <c r="D20" s="17">
        <f t="shared" si="1"/>
        <v>6.3818525519848776E-2</v>
      </c>
    </row>
    <row r="21" spans="1:8" s="9" customFormat="1" x14ac:dyDescent="0.3">
      <c r="A21" s="29" t="s">
        <v>33</v>
      </c>
      <c r="B21" s="30">
        <f>SUM(B15:B20)</f>
        <v>200410</v>
      </c>
      <c r="C21" s="30">
        <f>SUM(C15:C20)</f>
        <v>209120</v>
      </c>
      <c r="D21" s="42">
        <f t="shared" si="1"/>
        <v>4.3460905144453867E-2</v>
      </c>
      <c r="G21" s="12"/>
    </row>
    <row r="22" spans="1:8" s="9" customFormat="1" x14ac:dyDescent="0.3">
      <c r="A22" s="31" t="s">
        <v>34</v>
      </c>
      <c r="B22" s="32">
        <v>3934737</v>
      </c>
      <c r="C22" s="32">
        <v>5475413</v>
      </c>
      <c r="D22" s="47">
        <f t="shared" si="1"/>
        <v>0.39155755518094348</v>
      </c>
      <c r="G22" s="12"/>
      <c r="H22" s="12"/>
    </row>
    <row r="23" spans="1:8" s="9" customFormat="1" ht="15.75" thickBot="1" x14ac:dyDescent="0.35">
      <c r="A23" s="26" t="s">
        <v>35</v>
      </c>
      <c r="B23" s="27">
        <f>+B21+B22</f>
        <v>4135147</v>
      </c>
      <c r="C23" s="27">
        <f>+C21+C22</f>
        <v>5684533</v>
      </c>
      <c r="D23" s="45">
        <f t="shared" si="1"/>
        <v>0.37468704256462948</v>
      </c>
      <c r="F23" s="60"/>
      <c r="G23" s="12"/>
      <c r="H23" s="12"/>
    </row>
    <row r="24" spans="1:8" x14ac:dyDescent="0.3">
      <c r="A24" s="18" t="s">
        <v>54</v>
      </c>
      <c r="B24" s="14">
        <v>435123458</v>
      </c>
      <c r="C24" s="14">
        <v>435123458</v>
      </c>
      <c r="D24" s="17"/>
      <c r="H24" s="11"/>
    </row>
    <row r="25" spans="1:8" x14ac:dyDescent="0.3">
      <c r="A25" s="18" t="s">
        <v>71</v>
      </c>
      <c r="B25" s="33">
        <f>+B22/+(B24/1000000)</f>
        <v>9042.805961520924</v>
      </c>
      <c r="C25" s="33">
        <f>+C22/+(C24/1000000)</f>
        <v>12583.584955789718</v>
      </c>
      <c r="D25" s="17"/>
      <c r="H25" s="11"/>
    </row>
    <row r="26" spans="1:8" x14ac:dyDescent="0.3">
      <c r="G26" s="13"/>
      <c r="H26" s="13"/>
    </row>
    <row r="27" spans="1:8" x14ac:dyDescent="0.3">
      <c r="A27" s="6" t="s">
        <v>70</v>
      </c>
      <c r="B27" s="6">
        <v>2009</v>
      </c>
      <c r="C27" s="6">
        <v>2010</v>
      </c>
      <c r="D27" s="6" t="s">
        <v>46</v>
      </c>
      <c r="H27" s="13"/>
    </row>
    <row r="28" spans="1:8" x14ac:dyDescent="0.3">
      <c r="A28" s="19" t="s">
        <v>66</v>
      </c>
      <c r="B28" s="17"/>
      <c r="C28" s="17"/>
      <c r="D28" s="34"/>
    </row>
    <row r="29" spans="1:8" x14ac:dyDescent="0.3">
      <c r="A29" s="19" t="s">
        <v>44</v>
      </c>
      <c r="B29" s="17"/>
      <c r="C29" s="17"/>
      <c r="D29" s="34"/>
    </row>
    <row r="30" spans="1:8" x14ac:dyDescent="0.3">
      <c r="A30" s="19" t="s">
        <v>45</v>
      </c>
      <c r="B30" s="17"/>
      <c r="C30" s="17"/>
      <c r="D30" s="34"/>
    </row>
    <row r="31" spans="1:8" s="9" customFormat="1" x14ac:dyDescent="0.3">
      <c r="A31" s="19" t="s">
        <v>72</v>
      </c>
      <c r="B31" s="30">
        <v>54575</v>
      </c>
      <c r="C31" s="30">
        <v>64690</v>
      </c>
      <c r="D31" s="17">
        <f>IF(B31&lt;&gt;0,(C31-B31)/B31,0)</f>
        <v>0.18534127347686669</v>
      </c>
      <c r="G31" s="12"/>
    </row>
    <row r="32" spans="1:8" x14ac:dyDescent="0.3">
      <c r="A32" s="19" t="s">
        <v>5</v>
      </c>
      <c r="B32" s="14">
        <v>0</v>
      </c>
      <c r="C32" s="14">
        <v>0</v>
      </c>
      <c r="D32" s="17">
        <f t="shared" ref="D32:D42" si="2">IF(B32&lt;&gt;0,(C32-B32)/B32,0)</f>
        <v>0</v>
      </c>
    </row>
    <row r="33" spans="1:7" s="9" customFormat="1" x14ac:dyDescent="0.3">
      <c r="A33" s="19" t="s">
        <v>57</v>
      </c>
      <c r="B33" s="14">
        <v>2934</v>
      </c>
      <c r="C33" s="14">
        <v>3179</v>
      </c>
      <c r="D33" s="17">
        <f t="shared" si="2"/>
        <v>8.3503749147920928E-2</v>
      </c>
      <c r="G33" s="12"/>
    </row>
    <row r="34" spans="1:7" s="9" customFormat="1" x14ac:dyDescent="0.3">
      <c r="A34" s="19" t="s">
        <v>56</v>
      </c>
      <c r="B34" s="14">
        <f>3+1736</f>
        <v>1739</v>
      </c>
      <c r="C34" s="14">
        <v>2704</v>
      </c>
      <c r="D34" s="17">
        <f t="shared" si="2"/>
        <v>0.55491661874640597</v>
      </c>
      <c r="G34" s="12"/>
    </row>
    <row r="35" spans="1:7" s="9" customFormat="1" x14ac:dyDescent="0.3">
      <c r="A35" s="35" t="s">
        <v>4</v>
      </c>
      <c r="B35" s="30">
        <f>SUM(B31:B34)</f>
        <v>59248</v>
      </c>
      <c r="C35" s="30">
        <f>SUM(C31:C34)</f>
        <v>70573</v>
      </c>
      <c r="D35" s="17">
        <f t="shared" si="2"/>
        <v>0.1911456926816095</v>
      </c>
      <c r="G35" s="12"/>
    </row>
    <row r="36" spans="1:7" x14ac:dyDescent="0.3">
      <c r="A36" s="19" t="s">
        <v>58</v>
      </c>
      <c r="B36" s="14">
        <v>-2544</v>
      </c>
      <c r="C36" s="14">
        <v>-5158</v>
      </c>
      <c r="D36" s="17">
        <f t="shared" si="2"/>
        <v>1.0275157232704402</v>
      </c>
    </row>
    <row r="37" spans="1:7" s="9" customFormat="1" x14ac:dyDescent="0.3">
      <c r="A37" s="35" t="s">
        <v>42</v>
      </c>
      <c r="B37" s="30">
        <f>SUM(B35:B36)</f>
        <v>56704</v>
      </c>
      <c r="C37" s="30">
        <f>SUM(C35:C36)</f>
        <v>65415</v>
      </c>
      <c r="D37" s="17">
        <f t="shared" si="2"/>
        <v>0.15362231941309254</v>
      </c>
      <c r="G37" s="12"/>
    </row>
    <row r="38" spans="1:7" s="9" customFormat="1" x14ac:dyDescent="0.3">
      <c r="A38" s="19" t="s">
        <v>10</v>
      </c>
      <c r="B38" s="14">
        <v>104</v>
      </c>
      <c r="C38" s="14">
        <v>28</v>
      </c>
      <c r="D38" s="17">
        <f t="shared" si="2"/>
        <v>-0.73076923076923073</v>
      </c>
      <c r="F38" s="60"/>
      <c r="G38" s="12"/>
    </row>
    <row r="39" spans="1:7" x14ac:dyDescent="0.3">
      <c r="A39" s="19" t="s">
        <v>13</v>
      </c>
      <c r="B39" s="14">
        <v>-30</v>
      </c>
      <c r="C39" s="14">
        <f>-388-133</f>
        <v>-521</v>
      </c>
      <c r="D39" s="17">
        <f t="shared" si="2"/>
        <v>16.366666666666667</v>
      </c>
    </row>
    <row r="40" spans="1:7" s="9" customFormat="1" x14ac:dyDescent="0.3">
      <c r="A40" s="35" t="s">
        <v>43</v>
      </c>
      <c r="B40" s="30">
        <f>SUM(B37:B39)</f>
        <v>56778</v>
      </c>
      <c r="C40" s="30">
        <f>SUM(C37:C39)</f>
        <v>64922</v>
      </c>
      <c r="D40" s="17">
        <f t="shared" si="2"/>
        <v>0.1434358378245095</v>
      </c>
      <c r="G40" s="12"/>
    </row>
    <row r="41" spans="1:7" x14ac:dyDescent="0.3">
      <c r="A41" s="19" t="s">
        <v>15</v>
      </c>
      <c r="B41" s="14">
        <v>-19</v>
      </c>
      <c r="C41" s="14">
        <v>-100</v>
      </c>
      <c r="D41" s="17">
        <f t="shared" si="2"/>
        <v>4.2631578947368425</v>
      </c>
    </row>
    <row r="42" spans="1:7" ht="15.75" thickBot="1" x14ac:dyDescent="0.35">
      <c r="A42" s="36" t="s">
        <v>17</v>
      </c>
      <c r="B42" s="37">
        <f>SUM(B40:B41)</f>
        <v>56759</v>
      </c>
      <c r="C42" s="37">
        <f>SUM(C40:C41)</f>
        <v>64822</v>
      </c>
      <c r="D42" s="45">
        <f t="shared" si="2"/>
        <v>0.14205676632780703</v>
      </c>
    </row>
    <row r="44" spans="1:7" x14ac:dyDescent="0.3">
      <c r="A44" s="19"/>
      <c r="B44" s="14"/>
      <c r="C44" s="14"/>
      <c r="D44" s="17"/>
    </row>
  </sheetData>
  <pageMargins left="0.70866141732283472" right="0.43307086614173229" top="0.47244094488188981" bottom="0.39370078740157483" header="0.31496062992125984" footer="0.18"/>
  <pageSetup orientation="portrait" r:id="rId1"/>
  <headerFooter>
    <oddFooter>&amp;L&amp;A</oddFooter>
  </headerFooter>
  <customProperties>
    <customPr name="_pios_id" r:id="rId2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58"/>
  <sheetViews>
    <sheetView topLeftCell="A33" zoomScale="87" zoomScaleNormal="87" workbookViewId="0">
      <selection activeCell="H18" sqref="H18"/>
    </sheetView>
  </sheetViews>
  <sheetFormatPr baseColWidth="10" defaultColWidth="11.42578125" defaultRowHeight="15" x14ac:dyDescent="0.3"/>
  <cols>
    <col min="1" max="1" width="43.42578125" style="5" customWidth="1"/>
    <col min="2" max="2" width="11.7109375" style="2" bestFit="1" customWidth="1"/>
    <col min="3" max="3" width="14.7109375" style="2" bestFit="1" customWidth="1"/>
    <col min="4" max="4" width="13.28515625" style="3" bestFit="1" customWidth="1"/>
    <col min="5" max="5" width="11.42578125" style="3"/>
    <col min="6" max="6" width="11.5703125" style="4" customWidth="1"/>
    <col min="7" max="7" width="3.42578125" style="4" customWidth="1"/>
    <col min="8" max="16384" width="11.42578125" style="5"/>
  </cols>
  <sheetData>
    <row r="1" spans="1:6" x14ac:dyDescent="0.3">
      <c r="A1" s="38" t="s">
        <v>40</v>
      </c>
    </row>
    <row r="2" spans="1:6" x14ac:dyDescent="0.3">
      <c r="A2" s="38" t="s">
        <v>65</v>
      </c>
    </row>
    <row r="3" spans="1:6" x14ac:dyDescent="0.3">
      <c r="A3" s="24" t="s">
        <v>44</v>
      </c>
    </row>
    <row r="4" spans="1:6" x14ac:dyDescent="0.3">
      <c r="A4" s="24" t="s">
        <v>45</v>
      </c>
    </row>
    <row r="6" spans="1:6" x14ac:dyDescent="0.3">
      <c r="A6" s="6" t="s">
        <v>20</v>
      </c>
      <c r="B6" s="6">
        <v>2009</v>
      </c>
      <c r="C6" s="6">
        <v>2010</v>
      </c>
      <c r="D6" s="7" t="s">
        <v>46</v>
      </c>
      <c r="E6" s="20"/>
      <c r="F6" s="23"/>
    </row>
    <row r="7" spans="1:6" x14ac:dyDescent="0.3">
      <c r="A7" s="18" t="s">
        <v>21</v>
      </c>
      <c r="B7" s="14">
        <v>134696</v>
      </c>
      <c r="C7" s="14">
        <v>150928</v>
      </c>
      <c r="D7" s="17">
        <f>+(C7-B7)/B7</f>
        <v>0.12050840410999585</v>
      </c>
      <c r="E7" s="21"/>
      <c r="F7" s="23"/>
    </row>
    <row r="8" spans="1:6" x14ac:dyDescent="0.3">
      <c r="A8" s="18" t="s">
        <v>22</v>
      </c>
      <c r="B8" s="14">
        <v>546601</v>
      </c>
      <c r="C8" s="14">
        <v>335301</v>
      </c>
      <c r="D8" s="17">
        <f t="shared" ref="D8:D16" si="0">+(C8-B8)/B8</f>
        <v>-0.38657082588579239</v>
      </c>
      <c r="E8" s="21"/>
      <c r="F8" s="23"/>
    </row>
    <row r="9" spans="1:6" x14ac:dyDescent="0.3">
      <c r="A9" s="18" t="s">
        <v>23</v>
      </c>
      <c r="B9" s="14">
        <v>662827</v>
      </c>
      <c r="C9" s="14">
        <v>530092</v>
      </c>
      <c r="D9" s="17">
        <f t="shared" si="0"/>
        <v>-0.20025587370460166</v>
      </c>
      <c r="E9" s="21"/>
      <c r="F9" s="23"/>
    </row>
    <row r="10" spans="1:6" x14ac:dyDescent="0.3">
      <c r="A10" s="18" t="s">
        <v>36</v>
      </c>
      <c r="B10" s="14">
        <v>568768</v>
      </c>
      <c r="C10" s="14">
        <v>456838</v>
      </c>
      <c r="D10" s="17">
        <f t="shared" si="0"/>
        <v>-0.19679377180150781</v>
      </c>
      <c r="E10" s="21"/>
      <c r="F10" s="23"/>
    </row>
    <row r="11" spans="1:6" x14ac:dyDescent="0.3">
      <c r="A11" s="18" t="s">
        <v>60</v>
      </c>
      <c r="B11" s="14">
        <v>835217</v>
      </c>
      <c r="C11" s="14">
        <v>918614</v>
      </c>
      <c r="D11" s="17">
        <f t="shared" si="0"/>
        <v>9.985069748340851E-2</v>
      </c>
      <c r="E11" s="21"/>
      <c r="F11" s="23"/>
    </row>
    <row r="12" spans="1:6" x14ac:dyDescent="0.3">
      <c r="A12" s="18" t="s">
        <v>47</v>
      </c>
      <c r="B12" s="14">
        <v>570566</v>
      </c>
      <c r="C12" s="14">
        <v>739413</v>
      </c>
      <c r="D12" s="17">
        <f t="shared" si="0"/>
        <v>0.29592895475720599</v>
      </c>
      <c r="E12" s="21"/>
      <c r="F12" s="23"/>
    </row>
    <row r="13" spans="1:6" x14ac:dyDescent="0.3">
      <c r="A13" s="18" t="s">
        <v>24</v>
      </c>
      <c r="B13" s="14">
        <v>46578</v>
      </c>
      <c r="C13" s="14">
        <v>61190</v>
      </c>
      <c r="D13" s="17">
        <f t="shared" si="0"/>
        <v>0.31371033535145348</v>
      </c>
      <c r="E13" s="21"/>
      <c r="F13" s="23"/>
    </row>
    <row r="14" spans="1:6" x14ac:dyDescent="0.3">
      <c r="A14" s="18" t="s">
        <v>25</v>
      </c>
      <c r="B14" s="14">
        <v>36178</v>
      </c>
      <c r="C14" s="14">
        <v>980</v>
      </c>
      <c r="D14" s="17">
        <f t="shared" si="0"/>
        <v>-0.97291171430150925</v>
      </c>
      <c r="E14" s="21"/>
      <c r="F14" s="23"/>
    </row>
    <row r="15" spans="1:6" x14ac:dyDescent="0.3">
      <c r="A15" s="18" t="s">
        <v>26</v>
      </c>
      <c r="B15" s="14">
        <v>2339489</v>
      </c>
      <c r="C15" s="14">
        <v>3885263</v>
      </c>
      <c r="D15" s="17">
        <f t="shared" si="0"/>
        <v>0.66073146742728861</v>
      </c>
      <c r="E15" s="21"/>
      <c r="F15" s="23"/>
    </row>
    <row r="16" spans="1:6" ht="15.75" thickBot="1" x14ac:dyDescent="0.35">
      <c r="A16" s="26" t="s">
        <v>27</v>
      </c>
      <c r="B16" s="27">
        <f>SUM(B7:B15)</f>
        <v>5740920</v>
      </c>
      <c r="C16" s="27">
        <f>SUM(C7:C15)</f>
        <v>7078619</v>
      </c>
      <c r="D16" s="45">
        <f t="shared" si="0"/>
        <v>0.23301125951938018</v>
      </c>
      <c r="E16" s="22"/>
      <c r="F16" s="23"/>
    </row>
    <row r="17" spans="1:6" x14ac:dyDescent="0.3">
      <c r="A17" s="1"/>
      <c r="E17" s="21"/>
      <c r="F17" s="23"/>
    </row>
    <row r="18" spans="1:6" x14ac:dyDescent="0.3">
      <c r="A18" s="6" t="s">
        <v>48</v>
      </c>
      <c r="B18" s="6">
        <v>2009</v>
      </c>
      <c r="C18" s="6">
        <v>2010</v>
      </c>
      <c r="D18" s="7" t="s">
        <v>46</v>
      </c>
      <c r="E18" s="20"/>
      <c r="F18" s="23"/>
    </row>
    <row r="19" spans="1:6" x14ac:dyDescent="0.3">
      <c r="A19" s="18" t="s">
        <v>28</v>
      </c>
      <c r="B19" s="14">
        <v>1052994</v>
      </c>
      <c r="C19" s="14">
        <v>962604</v>
      </c>
      <c r="D19" s="17">
        <f t="shared" ref="D19:D30" si="1">+(C19-B19)/B19</f>
        <v>-8.5840944962649365E-2</v>
      </c>
      <c r="E19" s="21"/>
      <c r="F19" s="23"/>
    </row>
    <row r="20" spans="1:6" x14ac:dyDescent="0.3">
      <c r="A20" s="18" t="s">
        <v>49</v>
      </c>
      <c r="B20" s="14">
        <v>119465</v>
      </c>
      <c r="C20" s="14">
        <v>140488</v>
      </c>
      <c r="D20" s="17">
        <f t="shared" si="1"/>
        <v>0.1759762273469217</v>
      </c>
      <c r="E20" s="21"/>
      <c r="F20" s="23"/>
    </row>
    <row r="21" spans="1:6" x14ac:dyDescent="0.3">
      <c r="A21" s="18" t="s">
        <v>38</v>
      </c>
      <c r="B21" s="14">
        <v>311187</v>
      </c>
      <c r="C21" s="14">
        <v>244690</v>
      </c>
      <c r="D21" s="17">
        <f t="shared" si="1"/>
        <v>-0.21368823247757779</v>
      </c>
      <c r="E21" s="21"/>
      <c r="F21" s="23"/>
    </row>
    <row r="22" spans="1:6" x14ac:dyDescent="0.3">
      <c r="A22" s="18" t="s">
        <v>30</v>
      </c>
      <c r="B22" s="14">
        <v>77747</v>
      </c>
      <c r="C22" s="14">
        <v>50328</v>
      </c>
      <c r="D22" s="17">
        <f t="shared" si="1"/>
        <v>-0.35266955638159669</v>
      </c>
      <c r="E22" s="21"/>
      <c r="F22" s="23"/>
    </row>
    <row r="23" spans="1:6" x14ac:dyDescent="0.3">
      <c r="A23" s="18" t="s">
        <v>31</v>
      </c>
      <c r="B23" s="14">
        <v>61327</v>
      </c>
      <c r="C23" s="14">
        <v>38673</v>
      </c>
      <c r="D23" s="17">
        <f t="shared" si="1"/>
        <v>-0.36939683989107569</v>
      </c>
      <c r="E23" s="21"/>
      <c r="F23" s="23"/>
    </row>
    <row r="24" spans="1:6" x14ac:dyDescent="0.3">
      <c r="A24" s="18" t="s">
        <v>32</v>
      </c>
      <c r="B24" s="14">
        <v>171393</v>
      </c>
      <c r="C24" s="14">
        <v>123876</v>
      </c>
      <c r="D24" s="17">
        <f t="shared" si="1"/>
        <v>-0.27724002730566594</v>
      </c>
      <c r="E24" s="21"/>
      <c r="F24" s="23"/>
    </row>
    <row r="25" spans="1:6" x14ac:dyDescent="0.3">
      <c r="A25" s="18" t="s">
        <v>24</v>
      </c>
      <c r="B25" s="14">
        <v>35162</v>
      </c>
      <c r="C25" s="14">
        <v>46388</v>
      </c>
      <c r="D25" s="17">
        <f t="shared" si="1"/>
        <v>0.31926511574995736</v>
      </c>
      <c r="E25" s="21"/>
      <c r="F25" s="23"/>
    </row>
    <row r="26" spans="1:6" x14ac:dyDescent="0.3">
      <c r="A26" s="18" t="s">
        <v>0</v>
      </c>
      <c r="B26" s="14">
        <v>2843</v>
      </c>
      <c r="C26" s="14">
        <v>1139</v>
      </c>
      <c r="D26" s="17">
        <f t="shared" si="1"/>
        <v>-0.5993668659866338</v>
      </c>
      <c r="E26" s="21"/>
      <c r="F26" s="23"/>
    </row>
    <row r="27" spans="1:6" x14ac:dyDescent="0.3">
      <c r="A27" s="18" t="s">
        <v>33</v>
      </c>
      <c r="B27" s="14">
        <f>SUM(B19:B26)</f>
        <v>1832118</v>
      </c>
      <c r="C27" s="14">
        <f>SUM(C19:C26)</f>
        <v>1608186</v>
      </c>
      <c r="D27" s="17">
        <f t="shared" si="1"/>
        <v>-0.12222575183476174</v>
      </c>
      <c r="E27" s="21"/>
      <c r="F27" s="23"/>
    </row>
    <row r="28" spans="1:6" x14ac:dyDescent="0.3">
      <c r="A28" s="18" t="s">
        <v>39</v>
      </c>
      <c r="B28" s="14">
        <v>2719</v>
      </c>
      <c r="C28" s="14">
        <v>3699</v>
      </c>
      <c r="D28" s="17">
        <f t="shared" si="1"/>
        <v>0.36042662743655757</v>
      </c>
      <c r="E28" s="21"/>
      <c r="F28" s="23"/>
    </row>
    <row r="29" spans="1:6" x14ac:dyDescent="0.3">
      <c r="A29" s="32" t="s">
        <v>34</v>
      </c>
      <c r="B29" s="32">
        <v>3906083</v>
      </c>
      <c r="C29" s="32">
        <v>5466734</v>
      </c>
      <c r="D29" s="47">
        <f t="shared" si="1"/>
        <v>0.39954373729385678</v>
      </c>
      <c r="E29" s="22"/>
      <c r="F29" s="22"/>
    </row>
    <row r="30" spans="1:6" ht="15.75" thickBot="1" x14ac:dyDescent="0.35">
      <c r="A30" s="27" t="s">
        <v>35</v>
      </c>
      <c r="B30" s="27">
        <f>+B27+B28+B29</f>
        <v>5740920</v>
      </c>
      <c r="C30" s="27">
        <f>+C27+C28+C29</f>
        <v>7078619</v>
      </c>
      <c r="D30" s="45">
        <f t="shared" si="1"/>
        <v>0.23301125951938018</v>
      </c>
      <c r="E30" s="22"/>
      <c r="F30" s="22"/>
    </row>
    <row r="31" spans="1:6" x14ac:dyDescent="0.3">
      <c r="A31" s="19"/>
      <c r="B31" s="14"/>
      <c r="C31" s="14"/>
      <c r="D31" s="17"/>
      <c r="E31" s="21"/>
      <c r="F31" s="23"/>
    </row>
    <row r="32" spans="1:6" x14ac:dyDescent="0.3">
      <c r="A32" s="41" t="s">
        <v>3</v>
      </c>
      <c r="B32" s="14"/>
      <c r="C32" s="14"/>
      <c r="D32" s="17"/>
      <c r="E32" s="21"/>
      <c r="F32" s="23"/>
    </row>
    <row r="33" spans="1:7" x14ac:dyDescent="0.3">
      <c r="A33" s="41" t="s">
        <v>66</v>
      </c>
      <c r="B33" s="14"/>
      <c r="C33" s="14"/>
      <c r="D33" s="17"/>
    </row>
    <row r="34" spans="1:7" x14ac:dyDescent="0.3">
      <c r="A34" s="41" t="s">
        <v>44</v>
      </c>
      <c r="B34" s="14"/>
      <c r="C34" s="14"/>
      <c r="D34" s="17"/>
    </row>
    <row r="35" spans="1:7" x14ac:dyDescent="0.3">
      <c r="A35" s="41" t="s">
        <v>45</v>
      </c>
      <c r="B35" s="14"/>
      <c r="C35" s="14"/>
      <c r="D35" s="17"/>
    </row>
    <row r="36" spans="1:7" x14ac:dyDescent="0.3">
      <c r="A36" s="6"/>
      <c r="B36" s="6">
        <v>2009</v>
      </c>
      <c r="C36" s="6" t="s">
        <v>55</v>
      </c>
      <c r="D36" s="6">
        <v>2010</v>
      </c>
      <c r="E36" s="6" t="s">
        <v>55</v>
      </c>
      <c r="F36" s="7" t="s">
        <v>46</v>
      </c>
    </row>
    <row r="37" spans="1:7" s="9" customFormat="1" x14ac:dyDescent="0.3">
      <c r="A37" s="30" t="s">
        <v>4</v>
      </c>
      <c r="B37" s="50">
        <v>1043130</v>
      </c>
      <c r="C37" s="42">
        <v>1</v>
      </c>
      <c r="D37" s="50">
        <v>1021412</v>
      </c>
      <c r="E37" s="42">
        <v>1</v>
      </c>
      <c r="F37" s="17">
        <f>IF(B37&lt;&gt;0,(D37-B37)/B37,0)</f>
        <v>-2.082003201901968E-2</v>
      </c>
      <c r="G37" s="8"/>
    </row>
    <row r="38" spans="1:7" x14ac:dyDescent="0.3">
      <c r="A38" s="14" t="s">
        <v>50</v>
      </c>
      <c r="B38" s="51">
        <v>-640419</v>
      </c>
      <c r="C38" s="17">
        <f t="shared" ref="C38:C55" si="2">+B38/$B$37</f>
        <v>-0.61393977740070749</v>
      </c>
      <c r="D38" s="51">
        <v>-619750</v>
      </c>
      <c r="E38" s="17">
        <f>+D38/$D$37</f>
        <v>-0.60675809565581762</v>
      </c>
      <c r="F38" s="17">
        <f t="shared" ref="F38:F53" si="3">IF(B38&lt;&gt;0,(D38-B38)/B38,0)</f>
        <v>-3.2274182995819925E-2</v>
      </c>
    </row>
    <row r="39" spans="1:7" s="9" customFormat="1" x14ac:dyDescent="0.3">
      <c r="A39" s="30" t="s">
        <v>6</v>
      </c>
      <c r="B39" s="30">
        <f>SUM(B37:B38)</f>
        <v>402711</v>
      </c>
      <c r="C39" s="42">
        <f t="shared" si="2"/>
        <v>0.38606022259929251</v>
      </c>
      <c r="D39" s="30">
        <f>SUM(D37:D38)</f>
        <v>401662</v>
      </c>
      <c r="E39" s="42">
        <f t="shared" ref="E39:E55" si="4">+D39/$D$37</f>
        <v>0.39324190434418238</v>
      </c>
      <c r="F39" s="17">
        <f t="shared" si="3"/>
        <v>-2.6048456585491828E-3</v>
      </c>
      <c r="G39" s="8"/>
    </row>
    <row r="40" spans="1:7" x14ac:dyDescent="0.3">
      <c r="A40" s="14" t="s">
        <v>7</v>
      </c>
      <c r="B40" s="14">
        <v>-50616</v>
      </c>
      <c r="C40" s="17">
        <f t="shared" si="2"/>
        <v>-4.8523194616203157E-2</v>
      </c>
      <c r="D40" s="14">
        <v>-51905</v>
      </c>
      <c r="E40" s="17">
        <f t="shared" si="4"/>
        <v>-5.0816908358233506E-2</v>
      </c>
      <c r="F40" s="17">
        <f t="shared" si="3"/>
        <v>2.5466255729413623E-2</v>
      </c>
    </row>
    <row r="41" spans="1:7" x14ac:dyDescent="0.3">
      <c r="A41" s="14" t="s">
        <v>8</v>
      </c>
      <c r="B41" s="14">
        <v>-250667</v>
      </c>
      <c r="C41" s="17">
        <f t="shared" si="2"/>
        <v>-0.24030274270704513</v>
      </c>
      <c r="D41" s="14">
        <v>-238008</v>
      </c>
      <c r="E41" s="17">
        <f t="shared" si="4"/>
        <v>-0.23301860561653867</v>
      </c>
      <c r="F41" s="17">
        <f t="shared" si="3"/>
        <v>-5.0501262631299691E-2</v>
      </c>
    </row>
    <row r="42" spans="1:7" s="9" customFormat="1" x14ac:dyDescent="0.3">
      <c r="A42" s="30" t="s">
        <v>9</v>
      </c>
      <c r="B42" s="30">
        <f>SUM(B40:B41)</f>
        <v>-301283</v>
      </c>
      <c r="C42" s="42">
        <f t="shared" si="2"/>
        <v>-0.28882593732324829</v>
      </c>
      <c r="D42" s="30">
        <f>SUM(D40:D41)</f>
        <v>-289913</v>
      </c>
      <c r="E42" s="42">
        <f t="shared" si="4"/>
        <v>-0.28383551397477219</v>
      </c>
      <c r="F42" s="17">
        <f t="shared" si="3"/>
        <v>-3.773860456779838E-2</v>
      </c>
      <c r="G42" s="8"/>
    </row>
    <row r="43" spans="1:7" s="9" customFormat="1" x14ac:dyDescent="0.3">
      <c r="A43" s="30" t="s">
        <v>1</v>
      </c>
      <c r="B43" s="30">
        <f>+B39+B42</f>
        <v>101428</v>
      </c>
      <c r="C43" s="42">
        <f t="shared" si="2"/>
        <v>9.7234285276044219E-2</v>
      </c>
      <c r="D43" s="30">
        <f>+D39+D42</f>
        <v>111749</v>
      </c>
      <c r="E43" s="42">
        <f t="shared" si="4"/>
        <v>0.10940639036941019</v>
      </c>
      <c r="F43" s="17">
        <f t="shared" si="3"/>
        <v>0.10175691130654257</v>
      </c>
      <c r="G43" s="8"/>
    </row>
    <row r="44" spans="1:7" x14ac:dyDescent="0.3">
      <c r="A44" s="14" t="s">
        <v>51</v>
      </c>
      <c r="B44" s="14">
        <v>3136</v>
      </c>
      <c r="C44" s="17">
        <f t="shared" si="2"/>
        <v>3.0063366982063596E-3</v>
      </c>
      <c r="D44" s="14">
        <v>1111</v>
      </c>
      <c r="E44" s="17">
        <f t="shared" si="4"/>
        <v>1.087709954455205E-3</v>
      </c>
      <c r="F44" s="17">
        <f t="shared" si="3"/>
        <v>-0.64572704081632648</v>
      </c>
    </row>
    <row r="45" spans="1:7" x14ac:dyDescent="0.3">
      <c r="A45" s="14" t="s">
        <v>11</v>
      </c>
      <c r="B45" s="14">
        <f>-24890-6385</f>
        <v>-31275</v>
      </c>
      <c r="C45" s="17">
        <f t="shared" si="2"/>
        <v>-2.9981881452934917E-2</v>
      </c>
      <c r="D45" s="14">
        <v>-17664</v>
      </c>
      <c r="E45" s="17">
        <f t="shared" si="4"/>
        <v>-1.7293707142661336E-2</v>
      </c>
      <c r="F45" s="17">
        <f t="shared" si="3"/>
        <v>-0.43520383693045561</v>
      </c>
    </row>
    <row r="46" spans="1:7" x14ac:dyDescent="0.3">
      <c r="A46" s="14" t="s">
        <v>12</v>
      </c>
      <c r="B46" s="14">
        <v>5091</v>
      </c>
      <c r="C46" s="17">
        <f t="shared" si="2"/>
        <v>4.8805038681660005E-3</v>
      </c>
      <c r="D46" s="14">
        <v>-3006</v>
      </c>
      <c r="E46" s="17">
        <f t="shared" si="4"/>
        <v>-2.9429848092640382E-3</v>
      </c>
      <c r="F46" s="17">
        <f t="shared" si="3"/>
        <v>-1.590453741897466</v>
      </c>
    </row>
    <row r="47" spans="1:7" x14ac:dyDescent="0.3">
      <c r="A47" s="14" t="s">
        <v>52</v>
      </c>
      <c r="B47" s="14">
        <f>-575-28102+10198</f>
        <v>-18479</v>
      </c>
      <c r="C47" s="17">
        <f t="shared" si="2"/>
        <v>-1.7714954032575038E-2</v>
      </c>
      <c r="D47" s="14">
        <v>1391</v>
      </c>
      <c r="E47" s="17">
        <f t="shared" si="4"/>
        <v>1.3618402760100722E-3</v>
      </c>
      <c r="F47" s="17">
        <f t="shared" si="3"/>
        <v>-1.0752746360733807</v>
      </c>
    </row>
    <row r="48" spans="1:7" x14ac:dyDescent="0.3">
      <c r="A48" s="14" t="s">
        <v>14</v>
      </c>
      <c r="B48" s="14">
        <v>6237</v>
      </c>
      <c r="C48" s="17">
        <f t="shared" si="2"/>
        <v>5.9791205314773804E-3</v>
      </c>
      <c r="D48" s="14">
        <v>7197</v>
      </c>
      <c r="E48" s="17">
        <f t="shared" si="4"/>
        <v>7.0461283008227829E-3</v>
      </c>
      <c r="F48" s="17">
        <f t="shared" si="3"/>
        <v>0.15392015392015393</v>
      </c>
    </row>
    <row r="49" spans="1:7" hidden="1" x14ac:dyDescent="0.3">
      <c r="A49" s="14" t="s">
        <v>16</v>
      </c>
      <c r="B49" s="14">
        <v>0</v>
      </c>
      <c r="C49" s="17">
        <f t="shared" si="2"/>
        <v>0</v>
      </c>
      <c r="D49" s="14">
        <v>0</v>
      </c>
      <c r="E49" s="17">
        <f t="shared" si="4"/>
        <v>0</v>
      </c>
      <c r="F49" s="17">
        <f t="shared" si="3"/>
        <v>0</v>
      </c>
    </row>
    <row r="50" spans="1:7" s="9" customFormat="1" x14ac:dyDescent="0.3">
      <c r="A50" s="30" t="s">
        <v>2</v>
      </c>
      <c r="B50" s="30">
        <f>SUM(B44:B49)</f>
        <v>-35290</v>
      </c>
      <c r="C50" s="42">
        <f t="shared" si="2"/>
        <v>-3.3830874387660213E-2</v>
      </c>
      <c r="D50" s="30">
        <f>SUM(D44:D49)</f>
        <v>-10971</v>
      </c>
      <c r="E50" s="42">
        <f t="shared" si="4"/>
        <v>-1.0741013420637314E-2</v>
      </c>
      <c r="F50" s="17">
        <f t="shared" si="3"/>
        <v>-0.68911873051856054</v>
      </c>
      <c r="G50" s="8"/>
    </row>
    <row r="51" spans="1:7" s="9" customFormat="1" x14ac:dyDescent="0.3">
      <c r="A51" s="30" t="s">
        <v>41</v>
      </c>
      <c r="B51" s="30">
        <f>+B43+B50</f>
        <v>66138</v>
      </c>
      <c r="C51" s="42">
        <f t="shared" si="2"/>
        <v>6.3403410888383999E-2</v>
      </c>
      <c r="D51" s="30">
        <f>+D43+D50</f>
        <v>100778</v>
      </c>
      <c r="E51" s="42">
        <f t="shared" si="4"/>
        <v>9.8665376948772879E-2</v>
      </c>
      <c r="F51" s="17">
        <f t="shared" si="3"/>
        <v>0.52375336417793095</v>
      </c>
      <c r="G51" s="8"/>
    </row>
    <row r="52" spans="1:7" x14ac:dyDescent="0.3">
      <c r="A52" s="14" t="s">
        <v>15</v>
      </c>
      <c r="B52" s="14">
        <v>-21803</v>
      </c>
      <c r="C52" s="17">
        <f t="shared" si="2"/>
        <v>-2.0901517548148361E-2</v>
      </c>
      <c r="D52" s="14">
        <v>-31110</v>
      </c>
      <c r="E52" s="17">
        <f t="shared" si="4"/>
        <v>-3.0457836798471135E-2</v>
      </c>
      <c r="F52" s="17">
        <f t="shared" si="3"/>
        <v>0.42686786222079531</v>
      </c>
    </row>
    <row r="53" spans="1:7" x14ac:dyDescent="0.3">
      <c r="A53" s="14" t="s">
        <v>18</v>
      </c>
      <c r="B53" s="14">
        <v>-79</v>
      </c>
      <c r="C53" s="17">
        <f t="shared" si="2"/>
        <v>-7.573360942547909E-5</v>
      </c>
      <c r="D53" s="14">
        <v>-164</v>
      </c>
      <c r="E53" s="17">
        <f t="shared" si="4"/>
        <v>-1.605620454821365E-4</v>
      </c>
      <c r="F53" s="17">
        <f t="shared" si="3"/>
        <v>1.0759493670886076</v>
      </c>
    </row>
    <row r="54" spans="1:7" s="9" customFormat="1" x14ac:dyDescent="0.3">
      <c r="A54" s="43" t="s">
        <v>17</v>
      </c>
      <c r="B54" s="43">
        <f>+B51+B52+B53</f>
        <v>44256</v>
      </c>
      <c r="C54" s="44">
        <f t="shared" si="2"/>
        <v>4.242615973081016E-2</v>
      </c>
      <c r="D54" s="43">
        <f>+D51+D52+D53</f>
        <v>69504</v>
      </c>
      <c r="E54" s="44">
        <f t="shared" si="4"/>
        <v>6.8046978104819605E-2</v>
      </c>
      <c r="F54" s="44">
        <f>+(D54-B54)/B54</f>
        <v>0.57049891540130149</v>
      </c>
      <c r="G54" s="8"/>
    </row>
    <row r="55" spans="1:7" s="9" customFormat="1" ht="15.75" thickBot="1" x14ac:dyDescent="0.35">
      <c r="A55" s="27" t="s">
        <v>19</v>
      </c>
      <c r="B55" s="27">
        <v>123893</v>
      </c>
      <c r="C55" s="45">
        <f t="shared" si="2"/>
        <v>0.11877043129811241</v>
      </c>
      <c r="D55" s="27">
        <v>136156</v>
      </c>
      <c r="E55" s="45">
        <f t="shared" si="4"/>
        <v>0.13330174307723033</v>
      </c>
      <c r="F55" s="45">
        <f>+(D55-B55)/B55</f>
        <v>9.8980571945146215E-2</v>
      </c>
      <c r="G55" s="8"/>
    </row>
    <row r="56" spans="1:7" x14ac:dyDescent="0.3">
      <c r="A56" s="2"/>
      <c r="C56" s="3"/>
      <c r="D56" s="10"/>
    </row>
    <row r="57" spans="1:7" x14ac:dyDescent="0.3">
      <c r="A57" s="19" t="s">
        <v>53</v>
      </c>
      <c r="B57" s="14"/>
      <c r="C57" s="14"/>
      <c r="D57" s="14"/>
    </row>
    <row r="58" spans="1:7" x14ac:dyDescent="0.3">
      <c r="D58" s="10"/>
    </row>
  </sheetData>
  <pageMargins left="0.70866141732283472" right="0.43307086614173229" top="0.43307086614173229" bottom="0.51181102362204722" header="0.31496062992125984" footer="0.31496062992125984"/>
  <pageSetup scale="88" orientation="portrait" r:id="rId1"/>
  <headerFooter>
    <oddFooter>&amp;C&amp;A</oddFooter>
  </headerFooter>
  <customProperties>
    <customPr name="_pios_id" r:id="rId2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5"/>
  <sheetViews>
    <sheetView zoomScale="86" zoomScaleNormal="86" workbookViewId="0">
      <selection activeCell="E44" sqref="E44"/>
    </sheetView>
  </sheetViews>
  <sheetFormatPr baseColWidth="10" defaultColWidth="11.42578125" defaultRowHeight="15" x14ac:dyDescent="0.3"/>
  <cols>
    <col min="1" max="1" width="43.7109375" style="5" customWidth="1"/>
    <col min="2" max="3" width="11.7109375" style="2" bestFit="1" customWidth="1"/>
    <col min="4" max="4" width="13.28515625" style="3" bestFit="1" customWidth="1"/>
    <col min="5" max="6" width="11.42578125" style="5"/>
    <col min="7" max="7" width="28.5703125" style="11" bestFit="1" customWidth="1"/>
    <col min="8" max="8" width="11.5703125" style="5" bestFit="1" customWidth="1"/>
    <col min="9" max="16384" width="11.42578125" style="5"/>
  </cols>
  <sheetData>
    <row r="1" spans="1:11" x14ac:dyDescent="0.3">
      <c r="A1" s="24" t="s">
        <v>69</v>
      </c>
    </row>
    <row r="2" spans="1:11" x14ac:dyDescent="0.3">
      <c r="A2" s="24" t="s">
        <v>77</v>
      </c>
    </row>
    <row r="3" spans="1:11" x14ac:dyDescent="0.3">
      <c r="A3" s="24" t="s">
        <v>44</v>
      </c>
    </row>
    <row r="4" spans="1:11" x14ac:dyDescent="0.3">
      <c r="A4" s="24" t="s">
        <v>45</v>
      </c>
    </row>
    <row r="5" spans="1:11" ht="12" customHeight="1" x14ac:dyDescent="0.3">
      <c r="G5" s="5"/>
    </row>
    <row r="6" spans="1:11" x14ac:dyDescent="0.3">
      <c r="A6" s="6" t="s">
        <v>20</v>
      </c>
      <c r="B6" s="6">
        <v>2009</v>
      </c>
      <c r="C6" s="6">
        <v>2010</v>
      </c>
      <c r="D6" s="7" t="s">
        <v>46</v>
      </c>
      <c r="G6" s="5"/>
    </row>
    <row r="7" spans="1:11" x14ac:dyDescent="0.3">
      <c r="A7" s="18" t="s">
        <v>21</v>
      </c>
      <c r="B7" s="14">
        <v>218</v>
      </c>
      <c r="C7" s="14">
        <v>173</v>
      </c>
      <c r="D7" s="17">
        <f t="shared" ref="D7:D13" si="0">IF(B7&lt;&gt;0,(C7-B7)/B7,0)</f>
        <v>-0.20642201834862386</v>
      </c>
      <c r="G7" s="5"/>
    </row>
    <row r="8" spans="1:11" x14ac:dyDescent="0.3">
      <c r="A8" s="18" t="s">
        <v>22</v>
      </c>
      <c r="B8" s="14">
        <v>3356934</v>
      </c>
      <c r="C8" s="14">
        <v>3790314</v>
      </c>
      <c r="D8" s="17">
        <f t="shared" si="0"/>
        <v>0.12909994655837737</v>
      </c>
      <c r="G8" s="5"/>
    </row>
    <row r="9" spans="1:11" s="11" customFormat="1" x14ac:dyDescent="0.3">
      <c r="A9" s="18" t="s">
        <v>23</v>
      </c>
      <c r="B9" s="14">
        <v>42902</v>
      </c>
      <c r="C9" s="14">
        <v>19794</v>
      </c>
      <c r="D9" s="17">
        <f t="shared" si="0"/>
        <v>-0.538622908022936</v>
      </c>
      <c r="E9" s="5"/>
      <c r="F9" s="5"/>
      <c r="G9" s="5"/>
      <c r="H9" s="5"/>
      <c r="I9" s="5"/>
      <c r="J9" s="5"/>
      <c r="K9" s="5"/>
    </row>
    <row r="10" spans="1:11" s="11" customFormat="1" hidden="1" x14ac:dyDescent="0.3">
      <c r="A10" s="18" t="s">
        <v>37</v>
      </c>
      <c r="B10" s="14">
        <v>0</v>
      </c>
      <c r="C10" s="14">
        <v>0</v>
      </c>
      <c r="D10" s="17">
        <f t="shared" si="0"/>
        <v>0</v>
      </c>
      <c r="E10" s="5"/>
      <c r="F10" s="5"/>
      <c r="G10" s="5"/>
      <c r="H10" s="5"/>
      <c r="I10" s="5"/>
      <c r="J10" s="5"/>
      <c r="K10" s="5"/>
    </row>
    <row r="11" spans="1:11" s="11" customFormat="1" x14ac:dyDescent="0.3">
      <c r="A11" s="18" t="s">
        <v>59</v>
      </c>
      <c r="B11" s="14">
        <v>209</v>
      </c>
      <c r="C11" s="14">
        <v>155</v>
      </c>
      <c r="D11" s="17">
        <f t="shared" si="0"/>
        <v>-0.25837320574162681</v>
      </c>
      <c r="E11" s="5"/>
      <c r="F11" s="5"/>
      <c r="G11" s="5"/>
      <c r="H11" s="5"/>
      <c r="I11" s="5"/>
      <c r="J11" s="5"/>
      <c r="K11" s="5"/>
    </row>
    <row r="12" spans="1:11" s="11" customFormat="1" x14ac:dyDescent="0.3">
      <c r="A12" s="18" t="s">
        <v>26</v>
      </c>
      <c r="B12" s="14">
        <v>1132757</v>
      </c>
      <c r="C12" s="14">
        <v>1952853</v>
      </c>
      <c r="D12" s="17">
        <f t="shared" si="0"/>
        <v>0.7239822839320349</v>
      </c>
      <c r="E12" s="5"/>
      <c r="F12" s="5"/>
      <c r="G12" s="5"/>
      <c r="H12" s="5"/>
      <c r="I12" s="5"/>
      <c r="J12" s="5"/>
      <c r="K12" s="5"/>
    </row>
    <row r="13" spans="1:11" s="11" customFormat="1" ht="15.75" thickBot="1" x14ac:dyDescent="0.35">
      <c r="A13" s="26" t="s">
        <v>27</v>
      </c>
      <c r="B13" s="27">
        <f>SUM(B7:B12)</f>
        <v>4533020</v>
      </c>
      <c r="C13" s="27">
        <f>SUM(C7:C12)</f>
        <v>5763289</v>
      </c>
      <c r="D13" s="46">
        <f t="shared" si="0"/>
        <v>0.27140162628887587</v>
      </c>
      <c r="E13" s="5"/>
      <c r="F13" s="5"/>
      <c r="G13" s="5"/>
      <c r="H13" s="5"/>
      <c r="I13" s="5"/>
      <c r="J13" s="5"/>
      <c r="K13" s="5"/>
    </row>
    <row r="14" spans="1:11" x14ac:dyDescent="0.3">
      <c r="G14" s="5"/>
    </row>
    <row r="15" spans="1:11" s="11" customFormat="1" x14ac:dyDescent="0.3">
      <c r="A15" s="6" t="s">
        <v>48</v>
      </c>
      <c r="B15" s="6">
        <v>2009</v>
      </c>
      <c r="C15" s="6">
        <v>2010</v>
      </c>
      <c r="D15" s="7" t="s">
        <v>46</v>
      </c>
      <c r="E15" s="5"/>
      <c r="F15" s="5"/>
      <c r="G15" s="5"/>
      <c r="H15" s="5"/>
      <c r="I15" s="5"/>
      <c r="J15" s="5"/>
      <c r="K15" s="5"/>
    </row>
    <row r="16" spans="1:11" s="11" customFormat="1" x14ac:dyDescent="0.3">
      <c r="A16" s="18" t="s">
        <v>28</v>
      </c>
      <c r="B16" s="14">
        <v>38</v>
      </c>
      <c r="C16" s="14">
        <v>23</v>
      </c>
      <c r="D16" s="17">
        <f t="shared" ref="D16:D24" si="1">IF(B16&lt;&gt;0,(C16-B16)/B16,0)</f>
        <v>-0.39473684210526316</v>
      </c>
      <c r="E16" s="5"/>
      <c r="F16" s="5"/>
      <c r="G16" s="5"/>
      <c r="H16" s="5"/>
      <c r="I16" s="5"/>
      <c r="J16" s="5"/>
      <c r="K16" s="5"/>
    </row>
    <row r="17" spans="1:11" s="11" customFormat="1" x14ac:dyDescent="0.3">
      <c r="A17" s="18" t="s">
        <v>29</v>
      </c>
      <c r="B17" s="14">
        <v>171516</v>
      </c>
      <c r="C17" s="14">
        <v>158905</v>
      </c>
      <c r="D17" s="17">
        <f t="shared" si="1"/>
        <v>-7.3526668065953024E-2</v>
      </c>
      <c r="E17" s="5"/>
      <c r="F17" s="5"/>
      <c r="G17" s="5"/>
      <c r="H17" s="5"/>
      <c r="I17" s="5"/>
      <c r="J17" s="5"/>
      <c r="K17" s="5"/>
    </row>
    <row r="18" spans="1:11" x14ac:dyDescent="0.3">
      <c r="A18" s="18" t="s">
        <v>30</v>
      </c>
      <c r="B18" s="14">
        <v>2009</v>
      </c>
      <c r="C18" s="14">
        <v>415</v>
      </c>
      <c r="D18" s="17">
        <f t="shared" si="1"/>
        <v>-0.79342956694873068</v>
      </c>
      <c r="G18" s="5"/>
    </row>
    <row r="19" spans="1:11" x14ac:dyDescent="0.3">
      <c r="A19" s="18" t="s">
        <v>31</v>
      </c>
      <c r="B19" s="14">
        <v>176</v>
      </c>
      <c r="C19" s="14">
        <v>176</v>
      </c>
      <c r="D19" s="17">
        <f t="shared" si="1"/>
        <v>0</v>
      </c>
      <c r="G19" s="5"/>
    </row>
    <row r="20" spans="1:11" x14ac:dyDescent="0.3">
      <c r="A20" s="18" t="s">
        <v>32</v>
      </c>
      <c r="B20" s="14">
        <v>939</v>
      </c>
      <c r="C20" s="14">
        <v>1053</v>
      </c>
      <c r="D20" s="17">
        <f t="shared" si="1"/>
        <v>0.12140575079872204</v>
      </c>
      <c r="G20" s="5"/>
    </row>
    <row r="21" spans="1:11" x14ac:dyDescent="0.3">
      <c r="A21" s="18" t="s">
        <v>24</v>
      </c>
      <c r="B21" s="14">
        <v>9538</v>
      </c>
      <c r="C21" s="14">
        <v>10416</v>
      </c>
      <c r="D21" s="17">
        <f t="shared" si="1"/>
        <v>9.2052841266512891E-2</v>
      </c>
      <c r="G21" s="5"/>
    </row>
    <row r="22" spans="1:11" s="9" customFormat="1" x14ac:dyDescent="0.3">
      <c r="A22" s="29" t="s">
        <v>33</v>
      </c>
      <c r="B22" s="30">
        <f>SUM(B16:B21)</f>
        <v>184216</v>
      </c>
      <c r="C22" s="30">
        <f>SUM(C16:C21)</f>
        <v>170988</v>
      </c>
      <c r="D22" s="42">
        <f t="shared" si="1"/>
        <v>-7.1807009163156299E-2</v>
      </c>
      <c r="F22" s="5"/>
      <c r="G22" s="5"/>
      <c r="H22" s="5"/>
      <c r="I22" s="5"/>
      <c r="J22" s="5"/>
      <c r="K22" s="5"/>
    </row>
    <row r="23" spans="1:11" s="9" customFormat="1" x14ac:dyDescent="0.3">
      <c r="A23" s="31" t="s">
        <v>34</v>
      </c>
      <c r="B23" s="32">
        <v>4348804</v>
      </c>
      <c r="C23" s="32">
        <v>5592301</v>
      </c>
      <c r="D23" s="47">
        <f t="shared" si="1"/>
        <v>0.28593999637601508</v>
      </c>
      <c r="F23" s="5"/>
      <c r="G23" s="5"/>
      <c r="H23" s="5"/>
      <c r="I23" s="5"/>
      <c r="J23" s="5"/>
      <c r="K23" s="5"/>
    </row>
    <row r="24" spans="1:11" s="9" customFormat="1" ht="15.75" thickBot="1" x14ac:dyDescent="0.35">
      <c r="A24" s="26" t="s">
        <v>35</v>
      </c>
      <c r="B24" s="27">
        <f>+B22+B23</f>
        <v>4533020</v>
      </c>
      <c r="C24" s="27">
        <f>+C22+C23</f>
        <v>5763289</v>
      </c>
      <c r="D24" s="45">
        <f t="shared" si="1"/>
        <v>0.27140162628887587</v>
      </c>
      <c r="F24" s="5"/>
      <c r="G24" s="5"/>
      <c r="H24" s="5"/>
      <c r="I24" s="5"/>
      <c r="J24" s="5"/>
      <c r="K24" s="5"/>
    </row>
    <row r="25" spans="1:11" x14ac:dyDescent="0.3">
      <c r="A25" s="18" t="s">
        <v>54</v>
      </c>
      <c r="B25" s="14">
        <v>435123458</v>
      </c>
      <c r="C25" s="14">
        <v>435123458</v>
      </c>
      <c r="D25" s="17"/>
      <c r="G25" s="5"/>
    </row>
    <row r="26" spans="1:11" x14ac:dyDescent="0.3">
      <c r="A26" s="18" t="s">
        <v>71</v>
      </c>
      <c r="B26" s="33">
        <f>+B23/+(B25/1000000)</f>
        <v>9994.4140451283129</v>
      </c>
      <c r="C26" s="33">
        <f>+C23/+(C25/1000000)</f>
        <v>12852.216760972698</v>
      </c>
      <c r="D26" s="17"/>
      <c r="G26" s="5"/>
    </row>
    <row r="27" spans="1:11" x14ac:dyDescent="0.3">
      <c r="G27" s="5"/>
    </row>
    <row r="28" spans="1:11" x14ac:dyDescent="0.3">
      <c r="A28" s="6" t="s">
        <v>70</v>
      </c>
      <c r="B28" s="6">
        <v>2009</v>
      </c>
      <c r="C28" s="6">
        <v>2010</v>
      </c>
      <c r="D28" s="6" t="s">
        <v>46</v>
      </c>
      <c r="G28" s="5"/>
    </row>
    <row r="29" spans="1:11" x14ac:dyDescent="0.3">
      <c r="A29" s="19" t="s">
        <v>64</v>
      </c>
      <c r="B29" s="17"/>
      <c r="C29" s="17"/>
      <c r="D29" s="34"/>
      <c r="G29" s="5"/>
    </row>
    <row r="30" spans="1:11" x14ac:dyDescent="0.3">
      <c r="A30" s="19" t="s">
        <v>44</v>
      </c>
      <c r="B30" s="17"/>
      <c r="C30" s="17"/>
      <c r="D30" s="34"/>
      <c r="G30" s="5"/>
    </row>
    <row r="31" spans="1:11" x14ac:dyDescent="0.3">
      <c r="A31" s="19" t="s">
        <v>45</v>
      </c>
      <c r="B31" s="17"/>
      <c r="C31" s="17"/>
      <c r="D31" s="34"/>
      <c r="G31" s="5"/>
    </row>
    <row r="32" spans="1:11" s="9" customFormat="1" x14ac:dyDescent="0.3">
      <c r="A32" s="19" t="s">
        <v>72</v>
      </c>
      <c r="B32" s="30">
        <v>95622</v>
      </c>
      <c r="C32" s="30">
        <v>110577</v>
      </c>
      <c r="D32" s="17">
        <f>IF(B32&lt;&gt;0,(C32-B32)/B32,0)</f>
        <v>0.15639706343728429</v>
      </c>
      <c r="F32" s="5"/>
      <c r="G32" s="5"/>
      <c r="H32" s="5"/>
      <c r="I32" s="5"/>
      <c r="J32" s="5"/>
      <c r="K32" s="5"/>
    </row>
    <row r="33" spans="1:11" hidden="1" x14ac:dyDescent="0.3">
      <c r="A33" s="19" t="s">
        <v>5</v>
      </c>
      <c r="B33" s="14">
        <v>0</v>
      </c>
      <c r="C33" s="14">
        <v>0</v>
      </c>
      <c r="D33" s="17">
        <f t="shared" ref="D33:D43" si="2">IF(B33&lt;&gt;0,(C33-B33)/B33,0)</f>
        <v>0</v>
      </c>
      <c r="G33" s="5"/>
    </row>
    <row r="34" spans="1:11" s="9" customFormat="1" x14ac:dyDescent="0.3">
      <c r="A34" s="19" t="s">
        <v>57</v>
      </c>
      <c r="B34" s="14">
        <v>6621</v>
      </c>
      <c r="C34" s="14">
        <v>6832</v>
      </c>
      <c r="D34" s="17">
        <f t="shared" si="2"/>
        <v>3.1868297840205409E-2</v>
      </c>
      <c r="F34" s="5"/>
      <c r="G34" s="5"/>
      <c r="H34" s="5"/>
      <c r="I34" s="5"/>
      <c r="J34" s="5"/>
      <c r="K34" s="5"/>
    </row>
    <row r="35" spans="1:11" s="9" customFormat="1" x14ac:dyDescent="0.3">
      <c r="A35" s="19" t="s">
        <v>56</v>
      </c>
      <c r="B35" s="14">
        <v>3478</v>
      </c>
      <c r="C35" s="14">
        <v>6123</v>
      </c>
      <c r="D35" s="17">
        <f t="shared" si="2"/>
        <v>0.76049453709028181</v>
      </c>
      <c r="F35" s="5"/>
      <c r="G35" s="5"/>
      <c r="H35" s="5"/>
      <c r="I35" s="5"/>
      <c r="J35" s="5"/>
      <c r="K35" s="5"/>
    </row>
    <row r="36" spans="1:11" s="9" customFormat="1" x14ac:dyDescent="0.3">
      <c r="A36" s="35" t="s">
        <v>4</v>
      </c>
      <c r="B36" s="30">
        <f>SUM(B32:B35)</f>
        <v>105721</v>
      </c>
      <c r="C36" s="30">
        <f>SUM(C32:C35)</f>
        <v>123532</v>
      </c>
      <c r="D36" s="17">
        <f t="shared" si="2"/>
        <v>0.16847173220079265</v>
      </c>
      <c r="F36" s="5"/>
      <c r="G36" s="5"/>
      <c r="H36" s="5"/>
      <c r="I36" s="5"/>
      <c r="J36" s="5"/>
      <c r="K36" s="5"/>
    </row>
    <row r="37" spans="1:11" x14ac:dyDescent="0.3">
      <c r="A37" s="19" t="s">
        <v>58</v>
      </c>
      <c r="B37" s="14">
        <v>-4731</v>
      </c>
      <c r="C37" s="14">
        <v>-5159</v>
      </c>
      <c r="D37" s="17">
        <f t="shared" si="2"/>
        <v>9.0467131684633273E-2</v>
      </c>
      <c r="G37" s="5"/>
    </row>
    <row r="38" spans="1:11" s="9" customFormat="1" x14ac:dyDescent="0.3">
      <c r="A38" s="35" t="s">
        <v>42</v>
      </c>
      <c r="B38" s="30">
        <f>SUM(B36:B37)</f>
        <v>100990</v>
      </c>
      <c r="C38" s="30">
        <f>SUM(C36:C37)</f>
        <v>118373</v>
      </c>
      <c r="D38" s="17">
        <f t="shared" si="2"/>
        <v>0.17212595306465986</v>
      </c>
      <c r="F38" s="5"/>
      <c r="G38" s="5"/>
      <c r="H38" s="5"/>
      <c r="I38" s="5"/>
      <c r="J38" s="5"/>
      <c r="K38" s="5"/>
    </row>
    <row r="39" spans="1:11" s="9" customFormat="1" x14ac:dyDescent="0.3">
      <c r="A39" s="19" t="s">
        <v>10</v>
      </c>
      <c r="B39" s="14">
        <v>141</v>
      </c>
      <c r="C39" s="14">
        <v>40</v>
      </c>
      <c r="D39" s="17">
        <f t="shared" si="2"/>
        <v>-0.71631205673758869</v>
      </c>
      <c r="F39" s="5"/>
      <c r="G39" s="5"/>
      <c r="H39" s="5"/>
      <c r="I39" s="5"/>
      <c r="J39" s="5"/>
      <c r="K39" s="5"/>
    </row>
    <row r="40" spans="1:11" x14ac:dyDescent="0.3">
      <c r="A40" s="19" t="s">
        <v>13</v>
      </c>
      <c r="B40" s="14">
        <v>-96</v>
      </c>
      <c r="C40" s="14">
        <v>-266</v>
      </c>
      <c r="D40" s="17">
        <f t="shared" si="2"/>
        <v>1.7708333333333333</v>
      </c>
      <c r="G40" s="5"/>
    </row>
    <row r="41" spans="1:11" s="9" customFormat="1" x14ac:dyDescent="0.3">
      <c r="A41" s="35" t="s">
        <v>43</v>
      </c>
      <c r="B41" s="30">
        <f>SUM(B38:B40)</f>
        <v>101035</v>
      </c>
      <c r="C41" s="30">
        <f>SUM(C38:C40)</f>
        <v>118147</v>
      </c>
      <c r="D41" s="17">
        <f t="shared" si="2"/>
        <v>0.16936705102192309</v>
      </c>
      <c r="F41" s="5"/>
      <c r="G41" s="5"/>
      <c r="H41" s="5"/>
      <c r="I41" s="5"/>
      <c r="J41" s="5"/>
      <c r="K41" s="5"/>
    </row>
    <row r="42" spans="1:11" x14ac:dyDescent="0.3">
      <c r="A42" s="19" t="s">
        <v>15</v>
      </c>
      <c r="B42" s="14">
        <v>-103</v>
      </c>
      <c r="C42" s="14">
        <v>-196</v>
      </c>
      <c r="D42" s="17">
        <f t="shared" si="2"/>
        <v>0.90291262135922334</v>
      </c>
      <c r="G42" s="5"/>
    </row>
    <row r="43" spans="1:11" ht="15.75" thickBot="1" x14ac:dyDescent="0.35">
      <c r="A43" s="36" t="s">
        <v>17</v>
      </c>
      <c r="B43" s="37">
        <f>SUM(B41:B42)</f>
        <v>100932</v>
      </c>
      <c r="C43" s="37">
        <f>SUM(C41:C42)</f>
        <v>117951</v>
      </c>
      <c r="D43" s="45">
        <f t="shared" si="2"/>
        <v>0.1686184758054928</v>
      </c>
      <c r="G43" s="5"/>
    </row>
    <row r="44" spans="1:11" x14ac:dyDescent="0.3">
      <c r="G44" s="5"/>
    </row>
    <row r="45" spans="1:11" x14ac:dyDescent="0.3">
      <c r="A45" s="19"/>
      <c r="B45" s="14"/>
      <c r="C45" s="14"/>
      <c r="D45" s="17"/>
      <c r="G45" s="5"/>
    </row>
  </sheetData>
  <pageMargins left="0.70866141732283472" right="0.43307086614173229" top="0.47244094488188981" bottom="0.39370078740157483" header="0.31496062992125984" footer="0.18"/>
  <pageSetup orientation="portrait" r:id="rId1"/>
  <headerFooter>
    <oddFooter>&amp;L&amp;A</oddFooter>
  </headerFooter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44"/>
  <sheetViews>
    <sheetView workbookViewId="0"/>
  </sheetViews>
  <sheetFormatPr baseColWidth="10" defaultColWidth="11.42578125" defaultRowHeight="15" x14ac:dyDescent="0.3"/>
  <cols>
    <col min="1" max="1" width="43.7109375" style="5" customWidth="1"/>
    <col min="2" max="3" width="11.7109375" style="2" bestFit="1" customWidth="1"/>
    <col min="4" max="4" width="13.28515625" style="3" bestFit="1" customWidth="1"/>
    <col min="5" max="6" width="11.42578125" style="5"/>
    <col min="7" max="7" width="11.5703125" style="11" bestFit="1" customWidth="1"/>
    <col min="8" max="8" width="11.5703125" style="5" bestFit="1" customWidth="1"/>
    <col min="9" max="16384" width="11.42578125" style="5"/>
  </cols>
  <sheetData>
    <row r="1" spans="1:4" x14ac:dyDescent="0.3">
      <c r="A1" s="24" t="s">
        <v>69</v>
      </c>
    </row>
    <row r="2" spans="1:4" x14ac:dyDescent="0.3">
      <c r="A2" s="24" t="s">
        <v>65</v>
      </c>
    </row>
    <row r="3" spans="1:4" x14ac:dyDescent="0.3">
      <c r="A3" s="24" t="s">
        <v>44</v>
      </c>
    </row>
    <row r="4" spans="1:4" x14ac:dyDescent="0.3">
      <c r="A4" s="24" t="s">
        <v>45</v>
      </c>
    </row>
    <row r="5" spans="1:4" ht="12" customHeight="1" x14ac:dyDescent="0.3"/>
    <row r="6" spans="1:4" x14ac:dyDescent="0.3">
      <c r="A6" s="6" t="s">
        <v>20</v>
      </c>
      <c r="B6" s="6">
        <v>2006</v>
      </c>
      <c r="C6" s="6">
        <v>2007</v>
      </c>
      <c r="D6" s="7" t="s">
        <v>46</v>
      </c>
    </row>
    <row r="7" spans="1:4" x14ac:dyDescent="0.3">
      <c r="A7" s="18" t="s">
        <v>21</v>
      </c>
      <c r="B7" s="14">
        <v>54334</v>
      </c>
      <c r="C7" s="14">
        <v>1287</v>
      </c>
      <c r="D7" s="17">
        <f t="shared" ref="D7:D12" si="0">IF(B7&lt;&gt;0,(C7-B7)/B7,0)</f>
        <v>-0.97631317407148377</v>
      </c>
    </row>
    <row r="8" spans="1:4" x14ac:dyDescent="0.3">
      <c r="A8" s="18" t="s">
        <v>22</v>
      </c>
      <c r="B8" s="14">
        <v>2636961</v>
      </c>
      <c r="C8" s="14">
        <v>2676067</v>
      </c>
      <c r="D8" s="17">
        <f t="shared" si="0"/>
        <v>1.4829950082689884E-2</v>
      </c>
    </row>
    <row r="9" spans="1:4" x14ac:dyDescent="0.3">
      <c r="A9" s="18" t="s">
        <v>23</v>
      </c>
      <c r="B9" s="14">
        <v>13143</v>
      </c>
      <c r="C9" s="14">
        <v>39052</v>
      </c>
      <c r="D9" s="17">
        <f t="shared" si="0"/>
        <v>1.9713155291790307</v>
      </c>
    </row>
    <row r="10" spans="1:4" x14ac:dyDescent="0.3">
      <c r="A10" s="18" t="s">
        <v>59</v>
      </c>
      <c r="B10" s="14">
        <v>23263</v>
      </c>
      <c r="C10" s="14">
        <v>1291</v>
      </c>
      <c r="D10" s="17">
        <f t="shared" si="0"/>
        <v>-0.94450414821820061</v>
      </c>
    </row>
    <row r="11" spans="1:4" x14ac:dyDescent="0.3">
      <c r="A11" s="18" t="s">
        <v>26</v>
      </c>
      <c r="B11" s="14">
        <v>1483760</v>
      </c>
      <c r="C11" s="14">
        <v>1206991</v>
      </c>
      <c r="D11" s="17">
        <f t="shared" si="0"/>
        <v>-0.18653218849409609</v>
      </c>
    </row>
    <row r="12" spans="1:4" ht="15.75" thickBot="1" x14ac:dyDescent="0.35">
      <c r="A12" s="26" t="s">
        <v>27</v>
      </c>
      <c r="B12" s="27">
        <f>SUM(B7:B11)</f>
        <v>4211461</v>
      </c>
      <c r="C12" s="27">
        <f>SUM(C7:C11)</f>
        <v>3924688</v>
      </c>
      <c r="D12" s="46">
        <f t="shared" si="0"/>
        <v>-6.8093471600473091E-2</v>
      </c>
    </row>
    <row r="14" spans="1:4" x14ac:dyDescent="0.3">
      <c r="A14" s="6" t="s">
        <v>48</v>
      </c>
      <c r="B14" s="6">
        <v>2006</v>
      </c>
      <c r="C14" s="6">
        <v>2007</v>
      </c>
      <c r="D14" s="7" t="s">
        <v>46</v>
      </c>
    </row>
    <row r="15" spans="1:4" x14ac:dyDescent="0.3">
      <c r="A15" s="18" t="s">
        <v>28</v>
      </c>
      <c r="B15" s="14"/>
      <c r="C15" s="14">
        <v>7000</v>
      </c>
      <c r="D15" s="17">
        <f t="shared" ref="D15:D23" si="1">IF(B15&lt;&gt;0,(C15-B15)/B15,0)</f>
        <v>0</v>
      </c>
    </row>
    <row r="16" spans="1:4" x14ac:dyDescent="0.3">
      <c r="A16" s="18" t="s">
        <v>29</v>
      </c>
      <c r="B16" s="14">
        <v>130207</v>
      </c>
      <c r="C16" s="14">
        <v>138428</v>
      </c>
      <c r="D16" s="17">
        <f t="shared" si="1"/>
        <v>6.3137926532367689E-2</v>
      </c>
    </row>
    <row r="17" spans="1:8" x14ac:dyDescent="0.3">
      <c r="A17" s="18" t="s">
        <v>30</v>
      </c>
      <c r="B17" s="14">
        <v>2997</v>
      </c>
      <c r="C17" s="14">
        <v>254</v>
      </c>
      <c r="D17" s="17">
        <f t="shared" si="1"/>
        <v>-0.9152485819152486</v>
      </c>
    </row>
    <row r="18" spans="1:8" x14ac:dyDescent="0.3">
      <c r="A18" s="18" t="s">
        <v>31</v>
      </c>
      <c r="B18" s="14">
        <v>250</v>
      </c>
      <c r="C18" s="14">
        <v>528</v>
      </c>
      <c r="D18" s="17">
        <f t="shared" si="1"/>
        <v>1.1120000000000001</v>
      </c>
    </row>
    <row r="19" spans="1:8" x14ac:dyDescent="0.3">
      <c r="A19" s="18" t="s">
        <v>32</v>
      </c>
      <c r="B19" s="14">
        <v>395</v>
      </c>
      <c r="C19" s="14">
        <v>99</v>
      </c>
      <c r="D19" s="17">
        <f t="shared" si="1"/>
        <v>-0.74936708860759493</v>
      </c>
    </row>
    <row r="20" spans="1:8" x14ac:dyDescent="0.3">
      <c r="A20" s="18" t="s">
        <v>24</v>
      </c>
      <c r="B20" s="14">
        <v>10057</v>
      </c>
      <c r="C20" s="14">
        <v>11496</v>
      </c>
      <c r="D20" s="17">
        <f t="shared" si="1"/>
        <v>0.14308441881276723</v>
      </c>
    </row>
    <row r="21" spans="1:8" s="9" customFormat="1" x14ac:dyDescent="0.3">
      <c r="A21" s="29" t="s">
        <v>33</v>
      </c>
      <c r="B21" s="30">
        <f>SUM(B15:B20)</f>
        <v>143906</v>
      </c>
      <c r="C21" s="30">
        <f>SUM(C15:C20)</f>
        <v>157805</v>
      </c>
      <c r="D21" s="42">
        <f t="shared" si="1"/>
        <v>9.6583881144636077E-2</v>
      </c>
      <c r="G21" s="12"/>
    </row>
    <row r="22" spans="1:8" s="9" customFormat="1" x14ac:dyDescent="0.3">
      <c r="A22" s="31" t="s">
        <v>34</v>
      </c>
      <c r="B22" s="32">
        <v>4067555</v>
      </c>
      <c r="C22" s="32">
        <v>3766883</v>
      </c>
      <c r="D22" s="47">
        <f t="shared" si="1"/>
        <v>-7.3919590515678341E-2</v>
      </c>
      <c r="G22" s="12"/>
      <c r="H22" s="12"/>
    </row>
    <row r="23" spans="1:8" s="9" customFormat="1" ht="15.75" thickBot="1" x14ac:dyDescent="0.35">
      <c r="A23" s="26" t="s">
        <v>35</v>
      </c>
      <c r="B23" s="27">
        <f>+B21+B22</f>
        <v>4211461</v>
      </c>
      <c r="C23" s="27">
        <f>+C21+C22</f>
        <v>3924688</v>
      </c>
      <c r="D23" s="45">
        <f t="shared" si="1"/>
        <v>-6.8093471600473091E-2</v>
      </c>
      <c r="G23" s="12"/>
      <c r="H23" s="12"/>
    </row>
    <row r="24" spans="1:8" x14ac:dyDescent="0.3">
      <c r="A24" s="18" t="s">
        <v>54</v>
      </c>
      <c r="B24" s="14">
        <v>435123458</v>
      </c>
      <c r="C24" s="14">
        <v>435123458</v>
      </c>
      <c r="D24" s="17"/>
      <c r="H24" s="11"/>
    </row>
    <row r="25" spans="1:8" x14ac:dyDescent="0.3">
      <c r="A25" s="18" t="s">
        <v>71</v>
      </c>
      <c r="B25" s="33">
        <f>+B22/+(B24/1000000)</f>
        <v>9348.0480659353452</v>
      </c>
      <c r="C25" s="33">
        <f>+C22/+(C24/1000000)</f>
        <v>8657.0441807805255</v>
      </c>
      <c r="D25" s="17"/>
      <c r="H25" s="11"/>
    </row>
    <row r="26" spans="1:8" x14ac:dyDescent="0.3">
      <c r="G26" s="13"/>
      <c r="H26" s="13"/>
    </row>
    <row r="27" spans="1:8" x14ac:dyDescent="0.3">
      <c r="A27" s="6" t="s">
        <v>70</v>
      </c>
      <c r="B27" s="6">
        <v>2006</v>
      </c>
      <c r="C27" s="6">
        <v>2007</v>
      </c>
      <c r="D27" s="7" t="s">
        <v>46</v>
      </c>
      <c r="H27" s="13"/>
    </row>
    <row r="28" spans="1:8" x14ac:dyDescent="0.3">
      <c r="A28" s="19" t="s">
        <v>66</v>
      </c>
      <c r="B28" s="14"/>
      <c r="C28" s="17"/>
      <c r="D28" s="34"/>
    </row>
    <row r="29" spans="1:8" x14ac:dyDescent="0.3">
      <c r="A29" s="19" t="s">
        <v>44</v>
      </c>
      <c r="B29" s="14"/>
      <c r="C29" s="17"/>
      <c r="D29" s="34"/>
    </row>
    <row r="30" spans="1:8" x14ac:dyDescent="0.3">
      <c r="A30" s="19" t="s">
        <v>45</v>
      </c>
      <c r="B30" s="14"/>
      <c r="C30" s="17"/>
      <c r="D30" s="34"/>
    </row>
    <row r="31" spans="1:8" s="9" customFormat="1" x14ac:dyDescent="0.3">
      <c r="A31" s="19" t="s">
        <v>72</v>
      </c>
      <c r="B31" s="30">
        <v>91532</v>
      </c>
      <c r="C31" s="30">
        <v>37425</v>
      </c>
      <c r="D31" s="25">
        <f>IF(C31&lt;&gt;0,(C31-B31)/B31,0)</f>
        <v>-0.59112660053314692</v>
      </c>
      <c r="G31" s="12"/>
    </row>
    <row r="32" spans="1:8" s="9" customFormat="1" x14ac:dyDescent="0.3">
      <c r="A32" s="19" t="s">
        <v>5</v>
      </c>
      <c r="B32" s="14">
        <v>53403</v>
      </c>
      <c r="C32" s="14">
        <v>2701</v>
      </c>
      <c r="D32" s="25">
        <f t="shared" ref="D32:D42" si="2">IF(C32&lt;&gt;0,(C32-B32)/B32,0)</f>
        <v>-0.94942231709829039</v>
      </c>
      <c r="G32" s="12"/>
    </row>
    <row r="33" spans="1:7" s="9" customFormat="1" x14ac:dyDescent="0.3">
      <c r="A33" s="19" t="s">
        <v>57</v>
      </c>
      <c r="B33" s="14">
        <v>8956</v>
      </c>
      <c r="C33" s="14">
        <v>2752</v>
      </c>
      <c r="D33" s="25">
        <f t="shared" si="2"/>
        <v>-0.69271996426976323</v>
      </c>
      <c r="G33" s="12"/>
    </row>
    <row r="34" spans="1:7" s="9" customFormat="1" x14ac:dyDescent="0.3">
      <c r="A34" s="19" t="s">
        <v>56</v>
      </c>
      <c r="B34" s="14">
        <v>1534</v>
      </c>
      <c r="C34" s="14">
        <v>910</v>
      </c>
      <c r="D34" s="25">
        <f t="shared" si="2"/>
        <v>-0.40677966101694918</v>
      </c>
      <c r="G34" s="12"/>
    </row>
    <row r="35" spans="1:7" s="9" customFormat="1" x14ac:dyDescent="0.3">
      <c r="A35" s="35" t="s">
        <v>4</v>
      </c>
      <c r="B35" s="30">
        <f>SUM(B31:B34)</f>
        <v>155425</v>
      </c>
      <c r="C35" s="30">
        <f>SUM(C31:C34)</f>
        <v>43788</v>
      </c>
      <c r="D35" s="25">
        <f t="shared" si="2"/>
        <v>-0.7182692617017854</v>
      </c>
      <c r="G35" s="12"/>
    </row>
    <row r="36" spans="1:7" x14ac:dyDescent="0.3">
      <c r="A36" s="19" t="s">
        <v>58</v>
      </c>
      <c r="B36" s="14">
        <v>-2382</v>
      </c>
      <c r="C36" s="14">
        <v>-1501</v>
      </c>
      <c r="D36" s="25">
        <f t="shared" si="2"/>
        <v>-0.36985726280436609</v>
      </c>
    </row>
    <row r="37" spans="1:7" s="9" customFormat="1" x14ac:dyDescent="0.3">
      <c r="A37" s="35" t="s">
        <v>42</v>
      </c>
      <c r="B37" s="30">
        <f>SUM(B35:B36)</f>
        <v>153043</v>
      </c>
      <c r="C37" s="30">
        <f>SUM(C35:C36)</f>
        <v>42287</v>
      </c>
      <c r="D37" s="25">
        <f t="shared" si="2"/>
        <v>-0.72369203426487982</v>
      </c>
      <c r="G37" s="12"/>
    </row>
    <row r="38" spans="1:7" x14ac:dyDescent="0.3">
      <c r="A38" s="19" t="s">
        <v>10</v>
      </c>
      <c r="B38" s="14">
        <f>82+520</f>
        <v>602</v>
      </c>
      <c r="C38" s="14">
        <v>7</v>
      </c>
      <c r="D38" s="25">
        <f t="shared" si="2"/>
        <v>-0.98837209302325579</v>
      </c>
    </row>
    <row r="39" spans="1:7" s="9" customFormat="1" x14ac:dyDescent="0.3">
      <c r="A39" s="19" t="s">
        <v>13</v>
      </c>
      <c r="B39" s="14">
        <v>-14</v>
      </c>
      <c r="C39" s="14">
        <v>-65</v>
      </c>
      <c r="D39" s="25">
        <f t="shared" si="2"/>
        <v>3.6428571428571428</v>
      </c>
      <c r="G39" s="12"/>
    </row>
    <row r="40" spans="1:7" s="9" customFormat="1" x14ac:dyDescent="0.3">
      <c r="A40" s="35" t="s">
        <v>43</v>
      </c>
      <c r="B40" s="30">
        <f>SUM(B37:B39)</f>
        <v>153631</v>
      </c>
      <c r="C40" s="30">
        <f>SUM(C37:C39)</f>
        <v>42229</v>
      </c>
      <c r="D40" s="25">
        <f t="shared" si="2"/>
        <v>-0.72512709023569466</v>
      </c>
      <c r="G40" s="12"/>
    </row>
    <row r="41" spans="1:7" x14ac:dyDescent="0.3">
      <c r="A41" s="19" t="s">
        <v>15</v>
      </c>
      <c r="B41" s="14">
        <v>-264</v>
      </c>
      <c r="C41" s="14">
        <v>-54</v>
      </c>
      <c r="D41" s="25">
        <f t="shared" si="2"/>
        <v>-0.79545454545454541</v>
      </c>
    </row>
    <row r="42" spans="1:7" ht="15.75" thickBot="1" x14ac:dyDescent="0.35">
      <c r="A42" s="36" t="s">
        <v>17</v>
      </c>
      <c r="B42" s="37">
        <f>SUM(B40:B41)</f>
        <v>153367</v>
      </c>
      <c r="C42" s="37">
        <f>SUM(C40:C41)</f>
        <v>42175</v>
      </c>
      <c r="D42" s="28">
        <f t="shared" si="2"/>
        <v>-0.72500603128443541</v>
      </c>
    </row>
    <row r="44" spans="1:7" x14ac:dyDescent="0.3">
      <c r="A44" s="19" t="s">
        <v>53</v>
      </c>
      <c r="B44" s="14"/>
      <c r="C44" s="14"/>
      <c r="D44" s="17"/>
    </row>
  </sheetData>
  <phoneticPr fontId="0" type="noConversion"/>
  <pageMargins left="0.7" right="0.7" top="0.75" bottom="0.75" header="0.3" footer="0.3"/>
  <customProperties>
    <customPr name="_pios_id" r:id="rId1"/>
  </customProperties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8"/>
  <sheetViews>
    <sheetView zoomScale="87" zoomScaleNormal="87" workbookViewId="0">
      <selection activeCell="E44" sqref="E44"/>
    </sheetView>
  </sheetViews>
  <sheetFormatPr baseColWidth="10" defaultColWidth="11.42578125" defaultRowHeight="15" x14ac:dyDescent="0.3"/>
  <cols>
    <col min="1" max="1" width="43.42578125" style="5" customWidth="1"/>
    <col min="2" max="2" width="11.7109375" style="2" bestFit="1" customWidth="1"/>
    <col min="3" max="3" width="14.7109375" style="2" bestFit="1" customWidth="1"/>
    <col min="4" max="4" width="13.28515625" style="3" bestFit="1" customWidth="1"/>
    <col min="5" max="5" width="11.42578125" style="3"/>
    <col min="6" max="6" width="11.5703125" style="4" customWidth="1"/>
    <col min="7" max="7" width="3.42578125" style="4" customWidth="1"/>
    <col min="8" max="16384" width="11.42578125" style="5"/>
  </cols>
  <sheetData>
    <row r="1" spans="1:14" x14ac:dyDescent="0.3">
      <c r="A1" s="38" t="s">
        <v>40</v>
      </c>
      <c r="I1" s="61"/>
      <c r="J1" s="61"/>
      <c r="K1" s="61"/>
      <c r="L1" s="61"/>
      <c r="M1" s="61"/>
      <c r="N1" s="61"/>
    </row>
    <row r="2" spans="1:14" x14ac:dyDescent="0.3">
      <c r="A2" s="38" t="s">
        <v>63</v>
      </c>
      <c r="I2" s="61"/>
      <c r="J2" s="61"/>
      <c r="K2" s="61"/>
      <c r="L2" s="61"/>
      <c r="M2" s="61"/>
      <c r="N2" s="61"/>
    </row>
    <row r="3" spans="1:14" x14ac:dyDescent="0.3">
      <c r="A3" s="24" t="s">
        <v>44</v>
      </c>
    </row>
    <row r="4" spans="1:14" x14ac:dyDescent="0.3">
      <c r="A4" s="24" t="s">
        <v>45</v>
      </c>
    </row>
    <row r="6" spans="1:14" x14ac:dyDescent="0.3">
      <c r="A6" s="6" t="s">
        <v>20</v>
      </c>
      <c r="B6" s="6">
        <v>2009</v>
      </c>
      <c r="C6" s="6">
        <v>2010</v>
      </c>
      <c r="D6" s="7" t="s">
        <v>46</v>
      </c>
      <c r="E6" s="20"/>
      <c r="F6" s="23"/>
    </row>
    <row r="7" spans="1:14" x14ac:dyDescent="0.3">
      <c r="A7" s="18" t="s">
        <v>21</v>
      </c>
      <c r="B7" s="14">
        <v>116344</v>
      </c>
      <c r="C7" s="14">
        <v>119283</v>
      </c>
      <c r="D7" s="17">
        <f>+(C7-B7)/B7</f>
        <v>2.5261294093378257E-2</v>
      </c>
      <c r="E7" s="21"/>
      <c r="F7" s="23"/>
    </row>
    <row r="8" spans="1:14" x14ac:dyDescent="0.3">
      <c r="A8" s="18" t="s">
        <v>22</v>
      </c>
      <c r="B8" s="14">
        <v>352257</v>
      </c>
      <c r="C8" s="14">
        <v>334998</v>
      </c>
      <c r="D8" s="17">
        <f t="shared" ref="D8:D16" si="0">+(C8-B8)/B8</f>
        <v>-4.8995477733586555E-2</v>
      </c>
      <c r="E8" s="21"/>
      <c r="F8" s="23"/>
    </row>
    <row r="9" spans="1:14" x14ac:dyDescent="0.3">
      <c r="A9" s="18" t="s">
        <v>23</v>
      </c>
      <c r="B9" s="14">
        <v>638715</v>
      </c>
      <c r="C9" s="14">
        <v>536436</v>
      </c>
      <c r="D9" s="17">
        <f t="shared" si="0"/>
        <v>-0.16013245344167587</v>
      </c>
      <c r="E9" s="21"/>
      <c r="F9" s="23"/>
    </row>
    <row r="10" spans="1:14" x14ac:dyDescent="0.3">
      <c r="A10" s="18" t="s">
        <v>36</v>
      </c>
      <c r="B10" s="14">
        <v>591574</v>
      </c>
      <c r="C10" s="14">
        <v>511302</v>
      </c>
      <c r="D10" s="17">
        <f t="shared" si="0"/>
        <v>-0.13569223799558466</v>
      </c>
      <c r="E10" s="21"/>
      <c r="F10" s="23"/>
    </row>
    <row r="11" spans="1:14" x14ac:dyDescent="0.3">
      <c r="A11" s="18" t="s">
        <v>60</v>
      </c>
      <c r="B11" s="14">
        <v>841176</v>
      </c>
      <c r="C11" s="14">
        <v>928346</v>
      </c>
      <c r="D11" s="17">
        <f t="shared" si="0"/>
        <v>0.10362872930278562</v>
      </c>
      <c r="E11" s="21"/>
      <c r="F11" s="23"/>
    </row>
    <row r="12" spans="1:14" x14ac:dyDescent="0.3">
      <c r="A12" s="18" t="s">
        <v>47</v>
      </c>
      <c r="B12" s="14">
        <v>734690</v>
      </c>
      <c r="C12" s="14">
        <v>729989</v>
      </c>
      <c r="D12" s="17">
        <f t="shared" si="0"/>
        <v>-6.3986171038124921E-3</v>
      </c>
      <c r="E12" s="21"/>
      <c r="F12" s="23"/>
    </row>
    <row r="13" spans="1:14" x14ac:dyDescent="0.3">
      <c r="A13" s="18" t="s">
        <v>24</v>
      </c>
      <c r="B13" s="14">
        <v>44021</v>
      </c>
      <c r="C13" s="14">
        <f>63639</f>
        <v>63639</v>
      </c>
      <c r="D13" s="17">
        <f t="shared" si="0"/>
        <v>0.44565093932441335</v>
      </c>
      <c r="E13" s="21"/>
      <c r="F13" s="23"/>
    </row>
    <row r="14" spans="1:14" x14ac:dyDescent="0.3">
      <c r="A14" s="18" t="s">
        <v>25</v>
      </c>
      <c r="B14" s="14">
        <v>2859</v>
      </c>
      <c r="C14" s="14">
        <v>967</v>
      </c>
      <c r="D14" s="17">
        <f t="shared" si="0"/>
        <v>-0.66176984959776142</v>
      </c>
      <c r="E14" s="21"/>
      <c r="F14" s="23"/>
    </row>
    <row r="15" spans="1:14" x14ac:dyDescent="0.3">
      <c r="A15" s="18" t="s">
        <v>26</v>
      </c>
      <c r="B15" s="14">
        <v>2729212</v>
      </c>
      <c r="C15" s="14">
        <v>3953164</v>
      </c>
      <c r="D15" s="17">
        <f t="shared" si="0"/>
        <v>0.44846351254501299</v>
      </c>
      <c r="E15" s="21"/>
      <c r="F15" s="23"/>
    </row>
    <row r="16" spans="1:14" ht="15.75" thickBot="1" x14ac:dyDescent="0.35">
      <c r="A16" s="26" t="s">
        <v>27</v>
      </c>
      <c r="B16" s="27">
        <f>SUM(B7:B15)</f>
        <v>6050848</v>
      </c>
      <c r="C16" s="27">
        <f>SUM(C7:C15)</f>
        <v>7178124</v>
      </c>
      <c r="D16" s="45">
        <f t="shared" si="0"/>
        <v>0.18630049870695811</v>
      </c>
      <c r="E16" s="22"/>
      <c r="F16" s="23"/>
    </row>
    <row r="17" spans="1:6" x14ac:dyDescent="0.3">
      <c r="A17" s="1"/>
      <c r="C17" s="14"/>
      <c r="E17" s="21"/>
      <c r="F17" s="23"/>
    </row>
    <row r="18" spans="1:6" x14ac:dyDescent="0.3">
      <c r="A18" s="6" t="s">
        <v>48</v>
      </c>
      <c r="B18" s="6">
        <v>2009</v>
      </c>
      <c r="C18" s="6">
        <v>2010</v>
      </c>
      <c r="D18" s="7" t="s">
        <v>46</v>
      </c>
      <c r="E18" s="20"/>
      <c r="F18" s="23"/>
    </row>
    <row r="19" spans="1:6" x14ac:dyDescent="0.3">
      <c r="A19" s="18" t="s">
        <v>28</v>
      </c>
      <c r="B19" s="14">
        <v>1057684</v>
      </c>
      <c r="C19" s="14">
        <v>909586</v>
      </c>
      <c r="D19" s="17">
        <f t="shared" ref="D19:D30" si="1">+(C19-B19)/B19</f>
        <v>-0.14002102707424902</v>
      </c>
      <c r="E19" s="21"/>
      <c r="F19" s="23"/>
    </row>
    <row r="20" spans="1:6" x14ac:dyDescent="0.3">
      <c r="A20" s="18" t="s">
        <v>49</v>
      </c>
      <c r="B20" s="14">
        <v>82294</v>
      </c>
      <c r="C20" s="14">
        <v>108192</v>
      </c>
      <c r="D20" s="17">
        <f t="shared" si="1"/>
        <v>0.31470095025153716</v>
      </c>
      <c r="E20" s="21"/>
      <c r="F20" s="23"/>
    </row>
    <row r="21" spans="1:6" x14ac:dyDescent="0.3">
      <c r="A21" s="18" t="s">
        <v>38</v>
      </c>
      <c r="B21" s="14">
        <v>254732</v>
      </c>
      <c r="C21" s="14">
        <v>255329</v>
      </c>
      <c r="D21" s="17">
        <f t="shared" si="1"/>
        <v>2.3436395898434434E-3</v>
      </c>
      <c r="E21" s="21"/>
      <c r="F21" s="23"/>
    </row>
    <row r="22" spans="1:6" x14ac:dyDescent="0.3">
      <c r="A22" s="18" t="s">
        <v>30</v>
      </c>
      <c r="B22" s="14">
        <v>88871</v>
      </c>
      <c r="C22" s="14">
        <v>59321</v>
      </c>
      <c r="D22" s="17">
        <f t="shared" si="1"/>
        <v>-0.3325044165138234</v>
      </c>
      <c r="E22" s="21"/>
      <c r="F22" s="23"/>
    </row>
    <row r="23" spans="1:6" x14ac:dyDescent="0.3">
      <c r="A23" s="18" t="s">
        <v>31</v>
      </c>
      <c r="B23" s="14">
        <v>47073</v>
      </c>
      <c r="C23" s="14">
        <v>39290</v>
      </c>
      <c r="D23" s="17">
        <f t="shared" si="1"/>
        <v>-0.16533894164382978</v>
      </c>
      <c r="E23" s="21"/>
      <c r="F23" s="23"/>
    </row>
    <row r="24" spans="1:6" x14ac:dyDescent="0.3">
      <c r="A24" s="18" t="s">
        <v>32</v>
      </c>
      <c r="B24" s="14">
        <v>171964</v>
      </c>
      <c r="C24" s="14">
        <v>160042</v>
      </c>
      <c r="D24" s="17">
        <f t="shared" si="1"/>
        <v>-6.9328464097136611E-2</v>
      </c>
      <c r="E24" s="21"/>
      <c r="F24" s="23"/>
    </row>
    <row r="25" spans="1:6" x14ac:dyDescent="0.3">
      <c r="A25" s="18" t="s">
        <v>24</v>
      </c>
      <c r="B25" s="14">
        <v>41880</v>
      </c>
      <c r="C25" s="14">
        <v>51362</v>
      </c>
      <c r="D25" s="17">
        <f t="shared" si="1"/>
        <v>0.22640878701050621</v>
      </c>
      <c r="E25" s="21"/>
      <c r="F25" s="23"/>
    </row>
    <row r="26" spans="1:6" x14ac:dyDescent="0.3">
      <c r="A26" s="18" t="s">
        <v>0</v>
      </c>
      <c r="B26" s="14">
        <v>1430</v>
      </c>
      <c r="C26" s="14">
        <v>2980</v>
      </c>
      <c r="D26" s="17">
        <f t="shared" si="1"/>
        <v>1.083916083916084</v>
      </c>
      <c r="E26" s="21"/>
      <c r="F26" s="23"/>
    </row>
    <row r="27" spans="1:6" x14ac:dyDescent="0.3">
      <c r="A27" s="18" t="s">
        <v>33</v>
      </c>
      <c r="B27" s="30">
        <f>SUM(B19:B26)</f>
        <v>1745928</v>
      </c>
      <c r="C27" s="30">
        <f>SUM(C19:C26)</f>
        <v>1586102</v>
      </c>
      <c r="D27" s="17">
        <f t="shared" si="1"/>
        <v>-9.1542148358924311E-2</v>
      </c>
      <c r="E27" s="21"/>
      <c r="F27" s="23"/>
    </row>
    <row r="28" spans="1:6" x14ac:dyDescent="0.3">
      <c r="A28" s="18" t="s">
        <v>39</v>
      </c>
      <c r="B28" s="14">
        <v>3040</v>
      </c>
      <c r="C28" s="14">
        <v>3835</v>
      </c>
      <c r="D28" s="17">
        <f t="shared" si="1"/>
        <v>0.26151315789473684</v>
      </c>
      <c r="E28" s="21"/>
      <c r="F28" s="23"/>
    </row>
    <row r="29" spans="1:6" x14ac:dyDescent="0.3">
      <c r="A29" s="32" t="s">
        <v>34</v>
      </c>
      <c r="B29" s="32">
        <v>4301880</v>
      </c>
      <c r="C29" s="32">
        <v>5588187</v>
      </c>
      <c r="D29" s="47">
        <f t="shared" si="1"/>
        <v>0.29901043264805155</v>
      </c>
      <c r="E29" s="22"/>
      <c r="F29" s="22"/>
    </row>
    <row r="30" spans="1:6" ht="15.75" thickBot="1" x14ac:dyDescent="0.35">
      <c r="A30" s="27" t="s">
        <v>35</v>
      </c>
      <c r="B30" s="27">
        <f>+B27+B28+B29</f>
        <v>6050848</v>
      </c>
      <c r="C30" s="27">
        <f>+C27+C28+C29</f>
        <v>7178124</v>
      </c>
      <c r="D30" s="45">
        <f t="shared" si="1"/>
        <v>0.18630049870695811</v>
      </c>
      <c r="E30" s="22"/>
      <c r="F30" s="22"/>
    </row>
    <row r="31" spans="1:6" x14ac:dyDescent="0.3">
      <c r="A31" s="19"/>
      <c r="B31" s="14"/>
      <c r="C31" s="14"/>
      <c r="D31" s="17"/>
      <c r="E31" s="21"/>
      <c r="F31" s="23"/>
    </row>
    <row r="32" spans="1:6" x14ac:dyDescent="0.3">
      <c r="A32" s="41" t="s">
        <v>3</v>
      </c>
      <c r="B32" s="14"/>
      <c r="C32" s="14"/>
      <c r="D32" s="17"/>
      <c r="E32" s="21"/>
      <c r="F32" s="23"/>
    </row>
    <row r="33" spans="1:21" x14ac:dyDescent="0.3">
      <c r="A33" s="41" t="s">
        <v>64</v>
      </c>
      <c r="B33" s="14"/>
      <c r="C33" s="14"/>
      <c r="D33" s="17"/>
    </row>
    <row r="34" spans="1:21" x14ac:dyDescent="0.3">
      <c r="A34" s="41" t="s">
        <v>44</v>
      </c>
      <c r="B34" s="14"/>
      <c r="C34" s="14"/>
      <c r="D34" s="17"/>
    </row>
    <row r="35" spans="1:21" x14ac:dyDescent="0.3">
      <c r="A35" s="41" t="s">
        <v>45</v>
      </c>
      <c r="B35" s="14"/>
      <c r="C35" s="14"/>
      <c r="D35" s="17"/>
    </row>
    <row r="36" spans="1:21" x14ac:dyDescent="0.3">
      <c r="A36" s="6"/>
      <c r="B36" s="6">
        <v>2009</v>
      </c>
      <c r="C36" s="6" t="s">
        <v>55</v>
      </c>
      <c r="D36" s="6">
        <v>2010</v>
      </c>
      <c r="E36" s="6" t="s">
        <v>55</v>
      </c>
      <c r="F36" s="7" t="s">
        <v>46</v>
      </c>
    </row>
    <row r="37" spans="1:21" s="9" customFormat="1" x14ac:dyDescent="0.3">
      <c r="A37" s="30" t="s">
        <v>4</v>
      </c>
      <c r="B37" s="50">
        <v>2138848</v>
      </c>
      <c r="C37" s="42">
        <v>1</v>
      </c>
      <c r="D37" s="50">
        <v>2078760</v>
      </c>
      <c r="E37" s="42">
        <v>1</v>
      </c>
      <c r="F37" s="17">
        <f>IF(B37&lt;&gt;0,(D37-B37)/B37,0)</f>
        <v>-2.8093627971693173E-2</v>
      </c>
      <c r="G37" s="8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</row>
    <row r="38" spans="1:21" x14ac:dyDescent="0.3">
      <c r="A38" s="14" t="s">
        <v>50</v>
      </c>
      <c r="B38" s="51">
        <v>-1324263</v>
      </c>
      <c r="C38" s="17">
        <f t="shared" ref="C38:C55" si="2">+B38/$B$37</f>
        <v>-0.61914778422777117</v>
      </c>
      <c r="D38" s="51">
        <v>-1257579</v>
      </c>
      <c r="E38" s="17">
        <f>+D38/$D$37</f>
        <v>-0.60496594123419734</v>
      </c>
      <c r="F38" s="17">
        <f t="shared" ref="F38:F53" si="3">IF(B38&lt;&gt;0,(D38-B38)/B38,0)</f>
        <v>-5.0355556260350098E-2</v>
      </c>
    </row>
    <row r="39" spans="1:21" s="9" customFormat="1" x14ac:dyDescent="0.3">
      <c r="A39" s="30" t="s">
        <v>6</v>
      </c>
      <c r="B39" s="30">
        <f>SUM(B37:B38)</f>
        <v>814585</v>
      </c>
      <c r="C39" s="42">
        <f t="shared" si="2"/>
        <v>0.38085221577222877</v>
      </c>
      <c r="D39" s="30">
        <f>SUM(D37:D38)</f>
        <v>821181</v>
      </c>
      <c r="E39" s="42">
        <f t="shared" ref="E39:E55" si="4">+D39/$D$37</f>
        <v>0.39503405876580266</v>
      </c>
      <c r="F39" s="17">
        <f t="shared" si="3"/>
        <v>8.0973747368291837E-3</v>
      </c>
      <c r="G39" s="8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</row>
    <row r="40" spans="1:21" x14ac:dyDescent="0.3">
      <c r="A40" s="14" t="s">
        <v>7</v>
      </c>
      <c r="B40" s="14">
        <v>-108855</v>
      </c>
      <c r="C40" s="17">
        <f t="shared" si="2"/>
        <v>-5.0894219692095934E-2</v>
      </c>
      <c r="D40" s="14">
        <v>-107201</v>
      </c>
      <c r="E40" s="17">
        <f t="shared" si="4"/>
        <v>-5.1569685774211546E-2</v>
      </c>
      <c r="F40" s="17">
        <f t="shared" si="3"/>
        <v>-1.5194524826604197E-2</v>
      </c>
    </row>
    <row r="41" spans="1:21" x14ac:dyDescent="0.3">
      <c r="A41" s="14" t="s">
        <v>8</v>
      </c>
      <c r="B41" s="14">
        <v>-496637</v>
      </c>
      <c r="C41" s="17">
        <f t="shared" si="2"/>
        <v>-0.23219836098684898</v>
      </c>
      <c r="D41" s="14">
        <v>-501112</v>
      </c>
      <c r="E41" s="17">
        <f t="shared" si="4"/>
        <v>-0.241062941368893</v>
      </c>
      <c r="F41" s="17">
        <f t="shared" si="3"/>
        <v>9.010605331459396E-3</v>
      </c>
    </row>
    <row r="42" spans="1:21" s="9" customFormat="1" x14ac:dyDescent="0.3">
      <c r="A42" s="30" t="s">
        <v>9</v>
      </c>
      <c r="B42" s="30">
        <f>SUM(B40:B41)</f>
        <v>-605492</v>
      </c>
      <c r="C42" s="42">
        <f t="shared" si="2"/>
        <v>-0.28309258067894494</v>
      </c>
      <c r="D42" s="30">
        <f>SUM(D40:D41)</f>
        <v>-608313</v>
      </c>
      <c r="E42" s="42">
        <f t="shared" si="4"/>
        <v>-0.29263262714310456</v>
      </c>
      <c r="F42" s="17">
        <f t="shared" si="3"/>
        <v>4.6590210935900066E-3</v>
      </c>
      <c r="G42" s="8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</row>
    <row r="43" spans="1:21" s="9" customFormat="1" x14ac:dyDescent="0.3">
      <c r="A43" s="30" t="s">
        <v>1</v>
      </c>
      <c r="B43" s="30">
        <f>+B39+B42</f>
        <v>209093</v>
      </c>
      <c r="C43" s="42">
        <f t="shared" si="2"/>
        <v>9.7759635093283864E-2</v>
      </c>
      <c r="D43" s="30">
        <f>+D39+D42</f>
        <v>212868</v>
      </c>
      <c r="E43" s="42">
        <f t="shared" si="4"/>
        <v>0.10240143162269814</v>
      </c>
      <c r="F43" s="17">
        <f t="shared" si="3"/>
        <v>1.8054167284414113E-2</v>
      </c>
      <c r="G43" s="8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</row>
    <row r="44" spans="1:21" x14ac:dyDescent="0.3">
      <c r="A44" s="14" t="s">
        <v>51</v>
      </c>
      <c r="B44" s="14">
        <v>5680</v>
      </c>
      <c r="C44" s="17">
        <f t="shared" si="2"/>
        <v>2.6556351830518111E-3</v>
      </c>
      <c r="D44" s="14">
        <v>1962</v>
      </c>
      <c r="E44" s="17">
        <f t="shared" si="4"/>
        <v>9.4383189978641108E-4</v>
      </c>
      <c r="F44" s="17">
        <f t="shared" si="3"/>
        <v>-0.65457746478873235</v>
      </c>
    </row>
    <row r="45" spans="1:21" x14ac:dyDescent="0.3">
      <c r="A45" s="14" t="s">
        <v>11</v>
      </c>
      <c r="B45" s="14">
        <v>-58582</v>
      </c>
      <c r="C45" s="17">
        <f t="shared" si="2"/>
        <v>-2.7389510615060071E-2</v>
      </c>
      <c r="D45" s="14">
        <v>-37169</v>
      </c>
      <c r="E45" s="17">
        <f t="shared" si="4"/>
        <v>-1.7880370990398121E-2</v>
      </c>
      <c r="F45" s="17">
        <f t="shared" si="3"/>
        <v>-0.36552183264483973</v>
      </c>
    </row>
    <row r="46" spans="1:21" x14ac:dyDescent="0.3">
      <c r="A46" s="14" t="s">
        <v>12</v>
      </c>
      <c r="B46" s="14">
        <v>11039</v>
      </c>
      <c r="C46" s="17">
        <f t="shared" si="2"/>
        <v>5.1611895749487571E-3</v>
      </c>
      <c r="D46" s="14">
        <v>-6747</v>
      </c>
      <c r="E46" s="17">
        <f t="shared" si="4"/>
        <v>-3.2456849275529641E-3</v>
      </c>
      <c r="F46" s="17">
        <f t="shared" si="3"/>
        <v>-1.611196666364707</v>
      </c>
    </row>
    <row r="47" spans="1:21" x14ac:dyDescent="0.3">
      <c r="A47" s="14" t="s">
        <v>52</v>
      </c>
      <c r="B47" s="14">
        <v>-61542</v>
      </c>
      <c r="C47" s="17">
        <f t="shared" si="2"/>
        <v>-2.8773433175241999E-2</v>
      </c>
      <c r="D47" s="14">
        <v>-5404</v>
      </c>
      <c r="E47" s="17">
        <f t="shared" si="4"/>
        <v>-2.5996267005330099E-3</v>
      </c>
      <c r="F47" s="17">
        <f t="shared" si="3"/>
        <v>-0.91219004907217838</v>
      </c>
    </row>
    <row r="48" spans="1:21" x14ac:dyDescent="0.3">
      <c r="A48" s="14" t="s">
        <v>14</v>
      </c>
      <c r="B48" s="14">
        <v>14391</v>
      </c>
      <c r="C48" s="17">
        <f t="shared" si="2"/>
        <v>6.7283883660736992E-3</v>
      </c>
      <c r="D48" s="14">
        <v>15210</v>
      </c>
      <c r="E48" s="17">
        <f t="shared" si="4"/>
        <v>7.3168619754084164E-3</v>
      </c>
      <c r="F48" s="17">
        <f t="shared" si="3"/>
        <v>5.6910569105691054E-2</v>
      </c>
    </row>
    <row r="49" spans="1:21" x14ac:dyDescent="0.3">
      <c r="A49" s="14" t="s">
        <v>16</v>
      </c>
      <c r="B49" s="14">
        <v>0</v>
      </c>
      <c r="C49" s="17">
        <f t="shared" si="2"/>
        <v>0</v>
      </c>
      <c r="D49" s="14">
        <v>-160</v>
      </c>
      <c r="E49" s="17">
        <f t="shared" si="4"/>
        <v>-7.6968962265966249E-5</v>
      </c>
      <c r="F49" s="17">
        <f t="shared" si="3"/>
        <v>0</v>
      </c>
    </row>
    <row r="50" spans="1:21" s="9" customFormat="1" x14ac:dyDescent="0.3">
      <c r="A50" s="30" t="s">
        <v>2</v>
      </c>
      <c r="B50" s="30">
        <f>SUM(B44:B49)</f>
        <v>-89014</v>
      </c>
      <c r="C50" s="42">
        <f t="shared" si="2"/>
        <v>-4.1617730666227801E-2</v>
      </c>
      <c r="D50" s="30">
        <f>SUM(D44:D49)</f>
        <v>-32308</v>
      </c>
      <c r="E50" s="42">
        <f t="shared" si="4"/>
        <v>-1.5541957705555234E-2</v>
      </c>
      <c r="F50" s="17">
        <f t="shared" si="3"/>
        <v>-0.63704585795492841</v>
      </c>
      <c r="G50" s="8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</row>
    <row r="51" spans="1:21" s="9" customFormat="1" x14ac:dyDescent="0.3">
      <c r="A51" s="30" t="s">
        <v>41</v>
      </c>
      <c r="B51" s="30">
        <f>+B43+B50</f>
        <v>120079</v>
      </c>
      <c r="C51" s="42">
        <f t="shared" si="2"/>
        <v>5.6141904427056064E-2</v>
      </c>
      <c r="D51" s="30">
        <f>+D43+D50</f>
        <v>180560</v>
      </c>
      <c r="E51" s="42">
        <f t="shared" si="4"/>
        <v>8.685947391714291E-2</v>
      </c>
      <c r="F51" s="17">
        <f t="shared" si="3"/>
        <v>0.5036767461421231</v>
      </c>
      <c r="G51" s="8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</row>
    <row r="52" spans="1:21" x14ac:dyDescent="0.3">
      <c r="A52" s="14" t="s">
        <v>15</v>
      </c>
      <c r="B52" s="14">
        <v>-41797</v>
      </c>
      <c r="C52" s="17">
        <f t="shared" si="2"/>
        <v>-1.9541828124298687E-2</v>
      </c>
      <c r="D52" s="14">
        <v>-55664</v>
      </c>
      <c r="E52" s="17">
        <f t="shared" si="4"/>
        <v>-2.6777501972329656E-2</v>
      </c>
      <c r="F52" s="17">
        <f t="shared" si="3"/>
        <v>0.33177022274325907</v>
      </c>
    </row>
    <row r="53" spans="1:21" x14ac:dyDescent="0.3">
      <c r="A53" s="14" t="s">
        <v>18</v>
      </c>
      <c r="B53" s="14">
        <v>34</v>
      </c>
      <c r="C53" s="17">
        <f t="shared" si="2"/>
        <v>1.5896407785873518E-5</v>
      </c>
      <c r="D53" s="14">
        <v>-299</v>
      </c>
      <c r="E53" s="17">
        <f t="shared" si="4"/>
        <v>-1.4383574823452442E-4</v>
      </c>
      <c r="F53" s="17">
        <f t="shared" si="3"/>
        <v>-9.7941176470588243</v>
      </c>
    </row>
    <row r="54" spans="1:21" s="9" customFormat="1" x14ac:dyDescent="0.3">
      <c r="A54" s="43" t="s">
        <v>17</v>
      </c>
      <c r="B54" s="43">
        <f>+B51+B52+B53</f>
        <v>78316</v>
      </c>
      <c r="C54" s="44">
        <f t="shared" si="2"/>
        <v>3.6615972710543246E-2</v>
      </c>
      <c r="D54" s="43">
        <f>+D51+D52+D53</f>
        <v>124597</v>
      </c>
      <c r="E54" s="44">
        <f t="shared" si="4"/>
        <v>5.9938136196578728E-2</v>
      </c>
      <c r="F54" s="44">
        <f>+(D54-B54)/B54</f>
        <v>0.59095204045150418</v>
      </c>
      <c r="G54" s="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</row>
    <row r="55" spans="1:21" s="9" customFormat="1" ht="15.75" thickBot="1" x14ac:dyDescent="0.35">
      <c r="A55" s="27" t="s">
        <v>19</v>
      </c>
      <c r="B55" s="27">
        <v>253766</v>
      </c>
      <c r="C55" s="45">
        <f t="shared" si="2"/>
        <v>0.11864611229970526</v>
      </c>
      <c r="D55" s="27">
        <v>261229</v>
      </c>
      <c r="E55" s="45">
        <f t="shared" si="4"/>
        <v>0.12566578152360061</v>
      </c>
      <c r="F55" s="45">
        <f>+(D55-B55)/B55</f>
        <v>2.940898307889946E-2</v>
      </c>
      <c r="G55" s="8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</row>
    <row r="56" spans="1:21" x14ac:dyDescent="0.3">
      <c r="A56" s="2"/>
      <c r="C56" s="3"/>
      <c r="D56" s="10"/>
    </row>
    <row r="57" spans="1:21" x14ac:dyDescent="0.3">
      <c r="A57" s="19" t="s">
        <v>53</v>
      </c>
      <c r="B57" s="14"/>
      <c r="C57" s="14"/>
      <c r="D57" s="17"/>
    </row>
    <row r="58" spans="1:21" x14ac:dyDescent="0.3">
      <c r="D58" s="10"/>
    </row>
  </sheetData>
  <pageMargins left="0.70866141732283472" right="0.43307086614173229" top="0.43307086614173229" bottom="0.51181102362204722" header="0.31496062992125984" footer="0.31496062992125984"/>
  <pageSetup scale="87" orientation="portrait" r:id="rId1"/>
  <headerFooter>
    <oddFooter>&amp;C&amp;A</oddFooter>
  </headerFooter>
  <customProperties>
    <customPr name="_pios_id" r:id="rId2"/>
  </customPropertie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7"/>
  <sheetViews>
    <sheetView topLeftCell="A17" zoomScale="86" zoomScaleNormal="86" workbookViewId="0">
      <selection activeCell="A29" sqref="A29:C44"/>
    </sheetView>
  </sheetViews>
  <sheetFormatPr baseColWidth="10" defaultColWidth="11.42578125" defaultRowHeight="15" x14ac:dyDescent="0.3"/>
  <cols>
    <col min="1" max="1" width="43.7109375" style="5" customWidth="1"/>
    <col min="2" max="3" width="11.7109375" style="2" bestFit="1" customWidth="1"/>
    <col min="4" max="4" width="13.28515625" style="3" bestFit="1" customWidth="1"/>
    <col min="5" max="6" width="11.42578125" style="5"/>
    <col min="7" max="7" width="28.5703125" style="11" bestFit="1" customWidth="1"/>
    <col min="8" max="8" width="11.5703125" style="5" bestFit="1" customWidth="1"/>
    <col min="9" max="16384" width="11.42578125" style="5"/>
  </cols>
  <sheetData>
    <row r="1" spans="1:11" x14ac:dyDescent="0.3">
      <c r="A1" s="24" t="s">
        <v>69</v>
      </c>
    </row>
    <row r="2" spans="1:11" x14ac:dyDescent="0.3">
      <c r="A2" s="24" t="s">
        <v>78</v>
      </c>
    </row>
    <row r="3" spans="1:11" x14ac:dyDescent="0.3">
      <c r="A3" s="24" t="s">
        <v>44</v>
      </c>
    </row>
    <row r="4" spans="1:11" x14ac:dyDescent="0.3">
      <c r="A4" s="24" t="s">
        <v>45</v>
      </c>
    </row>
    <row r="5" spans="1:11" ht="12" customHeight="1" x14ac:dyDescent="0.3">
      <c r="G5" s="5"/>
    </row>
    <row r="6" spans="1:11" x14ac:dyDescent="0.3">
      <c r="A6" s="6" t="s">
        <v>20</v>
      </c>
      <c r="B6" s="6">
        <v>2009</v>
      </c>
      <c r="C6" s="6">
        <v>2010</v>
      </c>
      <c r="D6" s="7" t="s">
        <v>46</v>
      </c>
      <c r="G6" s="5"/>
    </row>
    <row r="7" spans="1:11" x14ac:dyDescent="0.3">
      <c r="A7" s="18" t="s">
        <v>21</v>
      </c>
      <c r="B7" s="14">
        <v>351.04640899999998</v>
      </c>
      <c r="C7" s="14">
        <v>618</v>
      </c>
      <c r="D7" s="17">
        <f t="shared" ref="D7:D14" si="0">IF(B7&lt;&gt;0,(C7-B7)/B7,0)</f>
        <v>0.76045099495662416</v>
      </c>
      <c r="G7" s="5"/>
    </row>
    <row r="8" spans="1:11" x14ac:dyDescent="0.3">
      <c r="A8" s="18" t="s">
        <v>22</v>
      </c>
      <c r="B8" s="14">
        <v>3674469</v>
      </c>
      <c r="C8" s="14">
        <v>2628396</v>
      </c>
      <c r="D8" s="17">
        <f t="shared" si="0"/>
        <v>-0.28468684863037352</v>
      </c>
      <c r="G8" s="5"/>
    </row>
    <row r="9" spans="1:11" s="11" customFormat="1" x14ac:dyDescent="0.3">
      <c r="A9" s="18" t="s">
        <v>23</v>
      </c>
      <c r="B9" s="14">
        <v>42390.248979000004</v>
      </c>
      <c r="C9" s="14">
        <v>37824</v>
      </c>
      <c r="D9" s="17">
        <f t="shared" si="0"/>
        <v>-0.10771932434891121</v>
      </c>
      <c r="E9" s="5"/>
      <c r="F9" s="5"/>
      <c r="G9" s="5"/>
      <c r="H9" s="5"/>
      <c r="I9" s="5"/>
      <c r="J9" s="5"/>
      <c r="K9" s="5"/>
    </row>
    <row r="10" spans="1:11" s="11" customFormat="1" x14ac:dyDescent="0.3">
      <c r="A10" s="18" t="s">
        <v>37</v>
      </c>
      <c r="B10" s="14">
        <v>0</v>
      </c>
      <c r="C10" s="14">
        <v>0</v>
      </c>
      <c r="D10" s="17">
        <f t="shared" si="0"/>
        <v>0</v>
      </c>
      <c r="E10" s="5"/>
      <c r="F10" s="5"/>
      <c r="G10" s="5"/>
      <c r="H10" s="5"/>
      <c r="I10" s="5"/>
      <c r="J10" s="5"/>
      <c r="K10" s="5"/>
    </row>
    <row r="11" spans="1:11" s="11" customFormat="1" x14ac:dyDescent="0.3">
      <c r="A11" s="18" t="s">
        <v>24</v>
      </c>
      <c r="B11" s="14">
        <v>491.85170699999998</v>
      </c>
      <c r="C11" s="14">
        <v>0</v>
      </c>
      <c r="D11" s="17">
        <f t="shared" si="0"/>
        <v>-1</v>
      </c>
      <c r="E11" s="5"/>
      <c r="F11" s="5"/>
      <c r="G11" s="5"/>
      <c r="H11" s="5"/>
      <c r="I11" s="5"/>
      <c r="J11" s="5"/>
      <c r="K11" s="5"/>
    </row>
    <row r="12" spans="1:11" s="11" customFormat="1" x14ac:dyDescent="0.3">
      <c r="A12" s="18" t="s">
        <v>59</v>
      </c>
      <c r="B12" s="14">
        <f>155+54</f>
        <v>209</v>
      </c>
      <c r="C12" s="14">
        <f>110+155</f>
        <v>265</v>
      </c>
      <c r="D12" s="17">
        <f t="shared" si="0"/>
        <v>0.26794258373205743</v>
      </c>
      <c r="E12" s="5"/>
      <c r="F12" s="5"/>
      <c r="G12" s="5"/>
      <c r="H12" s="5"/>
      <c r="I12" s="5"/>
      <c r="J12" s="5"/>
      <c r="K12" s="5"/>
    </row>
    <row r="13" spans="1:11" s="11" customFormat="1" x14ac:dyDescent="0.3">
      <c r="A13" s="18" t="s">
        <v>26</v>
      </c>
      <c r="B13" s="14">
        <v>1378868.0053719999</v>
      </c>
      <c r="C13" s="14">
        <v>3880021</v>
      </c>
      <c r="D13" s="17">
        <f t="shared" si="0"/>
        <v>1.8139176374269579</v>
      </c>
      <c r="E13" s="5"/>
      <c r="F13" s="5"/>
      <c r="G13" s="5"/>
      <c r="H13" s="5"/>
      <c r="I13" s="5"/>
      <c r="J13" s="5"/>
      <c r="K13" s="5"/>
    </row>
    <row r="14" spans="1:11" s="11" customFormat="1" ht="15.75" thickBot="1" x14ac:dyDescent="0.35">
      <c r="A14" s="26" t="s">
        <v>27</v>
      </c>
      <c r="B14" s="27">
        <f>SUM(B7:B13)</f>
        <v>5096779.1524669994</v>
      </c>
      <c r="C14" s="27">
        <f>SUM(C7:C13)</f>
        <v>6547124</v>
      </c>
      <c r="D14" s="46">
        <f t="shared" si="0"/>
        <v>0.28456105398072601</v>
      </c>
      <c r="E14" s="5"/>
      <c r="F14" s="5"/>
      <c r="G14" s="5"/>
      <c r="H14" s="5"/>
      <c r="I14" s="5"/>
      <c r="J14" s="5"/>
      <c r="K14" s="5"/>
    </row>
    <row r="15" spans="1:11" x14ac:dyDescent="0.3">
      <c r="G15" s="5"/>
    </row>
    <row r="16" spans="1:11" s="11" customFormat="1" x14ac:dyDescent="0.3">
      <c r="A16" s="6" t="s">
        <v>48</v>
      </c>
      <c r="B16" s="6">
        <v>2009</v>
      </c>
      <c r="C16" s="6">
        <v>2010</v>
      </c>
      <c r="D16" s="7" t="s">
        <v>46</v>
      </c>
      <c r="E16" s="5"/>
      <c r="F16" s="5"/>
      <c r="G16" s="5"/>
      <c r="H16" s="5"/>
      <c r="I16" s="5"/>
      <c r="J16" s="5"/>
      <c r="K16" s="5"/>
    </row>
    <row r="17" spans="1:11" s="11" customFormat="1" x14ac:dyDescent="0.3">
      <c r="A17" s="18" t="s">
        <v>28</v>
      </c>
      <c r="B17" s="14">
        <v>115.76253199999999</v>
      </c>
      <c r="C17" s="14">
        <v>0</v>
      </c>
      <c r="D17" s="17">
        <f t="shared" ref="D17:D25" si="1">IF(B17&lt;&gt;0,(C17-B17)/B17,0)</f>
        <v>-1</v>
      </c>
      <c r="E17" s="5"/>
      <c r="F17" s="5"/>
      <c r="G17" s="5"/>
      <c r="H17" s="5"/>
      <c r="I17" s="5"/>
      <c r="J17" s="5"/>
      <c r="K17" s="5"/>
    </row>
    <row r="18" spans="1:11" s="11" customFormat="1" x14ac:dyDescent="0.3">
      <c r="A18" s="18" t="s">
        <v>29</v>
      </c>
      <c r="B18" s="14">
        <v>141644.109547</v>
      </c>
      <c r="C18" s="14">
        <v>111269</v>
      </c>
      <c r="D18" s="17">
        <f t="shared" si="1"/>
        <v>-0.21444668362238534</v>
      </c>
      <c r="E18" s="5"/>
      <c r="F18" s="5"/>
      <c r="G18" s="5"/>
      <c r="H18" s="5"/>
      <c r="I18" s="5"/>
      <c r="J18" s="5"/>
      <c r="K18" s="5"/>
    </row>
    <row r="19" spans="1:11" x14ac:dyDescent="0.3">
      <c r="A19" s="18" t="s">
        <v>30</v>
      </c>
      <c r="B19" s="14">
        <v>1914.8314620000001</v>
      </c>
      <c r="C19" s="14">
        <v>298</v>
      </c>
      <c r="D19" s="17">
        <f t="shared" si="1"/>
        <v>-0.84437272631360183</v>
      </c>
      <c r="G19" s="5"/>
    </row>
    <row r="20" spans="1:11" x14ac:dyDescent="0.3">
      <c r="A20" s="18" t="s">
        <v>31</v>
      </c>
      <c r="B20" s="14">
        <v>159.08754500000001</v>
      </c>
      <c r="C20" s="14">
        <v>279</v>
      </c>
      <c r="D20" s="17">
        <f t="shared" si="1"/>
        <v>0.75375137003968473</v>
      </c>
      <c r="G20" s="5"/>
    </row>
    <row r="21" spans="1:11" x14ac:dyDescent="0.3">
      <c r="A21" s="18" t="s">
        <v>32</v>
      </c>
      <c r="B21" s="14">
        <v>1177.3063010000001</v>
      </c>
      <c r="C21" s="14">
        <f>3215-C20</f>
        <v>2936</v>
      </c>
      <c r="D21" s="17">
        <f t="shared" si="1"/>
        <v>1.4938284943401485</v>
      </c>
      <c r="G21" s="5"/>
    </row>
    <row r="22" spans="1:11" x14ac:dyDescent="0.3">
      <c r="A22" s="18" t="s">
        <v>24</v>
      </c>
      <c r="B22" s="14">
        <v>6358.6844350000001</v>
      </c>
      <c r="C22" s="14">
        <v>15300</v>
      </c>
      <c r="D22" s="17">
        <f t="shared" si="1"/>
        <v>1.4061580907812421</v>
      </c>
      <c r="G22" s="5"/>
    </row>
    <row r="23" spans="1:11" s="9" customFormat="1" x14ac:dyDescent="0.3">
      <c r="A23" s="29" t="s">
        <v>33</v>
      </c>
      <c r="B23" s="30">
        <f>SUM(B17:B22)</f>
        <v>151369.78182199999</v>
      </c>
      <c r="C23" s="30">
        <f>SUM(C17:C22)</f>
        <v>130082</v>
      </c>
      <c r="D23" s="42">
        <f t="shared" si="1"/>
        <v>-0.1406342901850311</v>
      </c>
      <c r="F23" s="5"/>
      <c r="G23" s="5"/>
      <c r="H23" s="5"/>
      <c r="I23" s="5"/>
      <c r="J23" s="5"/>
      <c r="K23" s="5"/>
    </row>
    <row r="24" spans="1:11" s="9" customFormat="1" x14ac:dyDescent="0.3">
      <c r="A24" s="31" t="s">
        <v>34</v>
      </c>
      <c r="B24" s="32">
        <f>+B14-B23</f>
        <v>4945409.3706449997</v>
      </c>
      <c r="C24" s="32">
        <f>+C14-C23</f>
        <v>6417042</v>
      </c>
      <c r="D24" s="47">
        <f t="shared" si="1"/>
        <v>0.29757549255483862</v>
      </c>
      <c r="E24" s="60"/>
      <c r="F24" s="5"/>
      <c r="G24" s="5"/>
      <c r="H24" s="5"/>
      <c r="I24" s="5"/>
      <c r="J24" s="5"/>
      <c r="K24" s="5"/>
    </row>
    <row r="25" spans="1:11" s="9" customFormat="1" ht="15.75" thickBot="1" x14ac:dyDescent="0.35">
      <c r="A25" s="26" t="s">
        <v>35</v>
      </c>
      <c r="B25" s="27">
        <f>+B23+B24</f>
        <v>5096779.1524669994</v>
      </c>
      <c r="C25" s="27">
        <f>+C23+C24</f>
        <v>6547124</v>
      </c>
      <c r="D25" s="45">
        <f t="shared" si="1"/>
        <v>0.28456105398072601</v>
      </c>
      <c r="F25" s="5"/>
      <c r="G25" s="5"/>
      <c r="H25" s="5"/>
      <c r="I25" s="5"/>
      <c r="J25" s="5"/>
      <c r="K25" s="5"/>
    </row>
    <row r="26" spans="1:11" x14ac:dyDescent="0.3">
      <c r="A26" s="18" t="s">
        <v>54</v>
      </c>
      <c r="B26" s="14">
        <v>435123458</v>
      </c>
      <c r="C26" s="14">
        <v>435123458</v>
      </c>
      <c r="D26" s="17"/>
      <c r="G26" s="5"/>
    </row>
    <row r="27" spans="1:11" x14ac:dyDescent="0.3">
      <c r="A27" s="18" t="s">
        <v>71</v>
      </c>
      <c r="B27" s="33">
        <f>+B24/+(B26/1000000)</f>
        <v>11365.531505417021</v>
      </c>
      <c r="C27" s="33">
        <f>(C24/+(C26/1000000))</f>
        <v>14747.635141289025</v>
      </c>
      <c r="D27" s="17"/>
      <c r="G27" s="5"/>
    </row>
    <row r="28" spans="1:11" x14ac:dyDescent="0.3">
      <c r="G28" s="5"/>
    </row>
    <row r="29" spans="1:11" x14ac:dyDescent="0.3">
      <c r="A29" s="6" t="s">
        <v>70</v>
      </c>
      <c r="B29" s="6">
        <v>2009</v>
      </c>
      <c r="C29" s="6">
        <v>2010</v>
      </c>
      <c r="D29" s="6" t="s">
        <v>46</v>
      </c>
      <c r="G29" s="5"/>
    </row>
    <row r="30" spans="1:11" x14ac:dyDescent="0.3">
      <c r="A30" s="19" t="s">
        <v>62</v>
      </c>
      <c r="B30" s="17"/>
      <c r="C30" s="17"/>
      <c r="D30" s="34"/>
      <c r="G30" s="5"/>
    </row>
    <row r="31" spans="1:11" x14ac:dyDescent="0.3">
      <c r="A31" s="19" t="s">
        <v>44</v>
      </c>
      <c r="B31" s="17"/>
      <c r="C31" s="17"/>
      <c r="D31" s="34"/>
      <c r="G31" s="5"/>
    </row>
    <row r="32" spans="1:11" x14ac:dyDescent="0.3">
      <c r="A32" s="19" t="s">
        <v>45</v>
      </c>
      <c r="B32" s="17"/>
      <c r="C32" s="17"/>
      <c r="D32" s="34"/>
      <c r="G32" s="5"/>
    </row>
    <row r="33" spans="1:11" s="9" customFormat="1" x14ac:dyDescent="0.3">
      <c r="A33" s="19" t="s">
        <v>72</v>
      </c>
      <c r="B33" s="30">
        <f>129491-437</f>
        <v>129054</v>
      </c>
      <c r="C33" s="30">
        <v>157449</v>
      </c>
      <c r="D33" s="17">
        <f>IF(B33&lt;&gt;0,(C33-B33)/B33,0)</f>
        <v>0.2200241759263564</v>
      </c>
      <c r="F33" s="5"/>
      <c r="G33" s="5"/>
      <c r="H33" s="5"/>
      <c r="I33" s="5"/>
      <c r="J33" s="5"/>
      <c r="K33" s="5"/>
    </row>
    <row r="34" spans="1:11" x14ac:dyDescent="0.3">
      <c r="A34" s="19" t="s">
        <v>5</v>
      </c>
      <c r="B34" s="14">
        <v>0</v>
      </c>
      <c r="C34" s="14">
        <v>0</v>
      </c>
      <c r="D34" s="17">
        <f t="shared" ref="D34:D44" si="2">IF(B34&lt;&gt;0,(C34-B34)/B34,0)</f>
        <v>0</v>
      </c>
      <c r="G34" s="5"/>
    </row>
    <row r="35" spans="1:11" s="9" customFormat="1" x14ac:dyDescent="0.3">
      <c r="A35" s="19" t="s">
        <v>57</v>
      </c>
      <c r="B35" s="14">
        <v>9800.1143919999995</v>
      </c>
      <c r="C35" s="14">
        <v>23303</v>
      </c>
      <c r="D35" s="17">
        <f t="shared" si="2"/>
        <v>1.3778293872796665</v>
      </c>
      <c r="F35" s="5"/>
      <c r="G35" s="5"/>
      <c r="H35" s="5"/>
      <c r="I35" s="5"/>
      <c r="J35" s="5"/>
      <c r="K35" s="5"/>
    </row>
    <row r="36" spans="1:11" s="9" customFormat="1" x14ac:dyDescent="0.3">
      <c r="A36" s="19" t="s">
        <v>56</v>
      </c>
      <c r="B36" s="14">
        <f>5677+437</f>
        <v>6114</v>
      </c>
      <c r="C36" s="14">
        <f>6958+1737</f>
        <v>8695</v>
      </c>
      <c r="D36" s="17">
        <f t="shared" si="2"/>
        <v>0.42214589466797514</v>
      </c>
      <c r="F36" s="5"/>
      <c r="G36" s="5"/>
      <c r="H36" s="5"/>
      <c r="I36" s="5"/>
      <c r="J36" s="5"/>
      <c r="K36" s="5"/>
    </row>
    <row r="37" spans="1:11" s="9" customFormat="1" x14ac:dyDescent="0.3">
      <c r="A37" s="35" t="s">
        <v>4</v>
      </c>
      <c r="B37" s="30">
        <f>SUM(B33:B36)</f>
        <v>144968.11439199999</v>
      </c>
      <c r="C37" s="30">
        <f>SUM(C33:C36)</f>
        <v>189447</v>
      </c>
      <c r="D37" s="17">
        <f t="shared" si="2"/>
        <v>0.30681840482333378</v>
      </c>
      <c r="F37" s="5"/>
      <c r="G37" s="5"/>
      <c r="H37" s="5"/>
      <c r="I37" s="5"/>
      <c r="J37" s="5"/>
      <c r="K37" s="5"/>
    </row>
    <row r="38" spans="1:11" x14ac:dyDescent="0.3">
      <c r="A38" s="19" t="s">
        <v>58</v>
      </c>
      <c r="B38" s="14">
        <v>-6753.4162860000006</v>
      </c>
      <c r="C38" s="14">
        <v>-8522</v>
      </c>
      <c r="D38" s="17">
        <f t="shared" si="2"/>
        <v>0.26187986037027178</v>
      </c>
      <c r="G38" s="5"/>
    </row>
    <row r="39" spans="1:11" s="9" customFormat="1" x14ac:dyDescent="0.3">
      <c r="A39" s="35" t="s">
        <v>42</v>
      </c>
      <c r="B39" s="30">
        <f>SUM(B37:B38)</f>
        <v>138214.698106</v>
      </c>
      <c r="C39" s="30">
        <f>SUM(C37:C38)</f>
        <v>180925</v>
      </c>
      <c r="D39" s="17">
        <f t="shared" si="2"/>
        <v>0.30901418213310788</v>
      </c>
      <c r="F39" s="5"/>
      <c r="G39" s="5"/>
      <c r="H39" s="5"/>
      <c r="I39" s="5"/>
      <c r="J39" s="5"/>
      <c r="K39" s="5"/>
    </row>
    <row r="40" spans="1:11" s="9" customFormat="1" x14ac:dyDescent="0.3">
      <c r="A40" s="19" t="s">
        <v>10</v>
      </c>
      <c r="B40" s="14">
        <v>157.40784700000003</v>
      </c>
      <c r="C40" s="14">
        <v>7758</v>
      </c>
      <c r="D40" s="17">
        <f t="shared" si="2"/>
        <v>48.285980005812533</v>
      </c>
      <c r="F40" s="5"/>
      <c r="G40" s="5"/>
      <c r="H40" s="5"/>
      <c r="I40" s="5"/>
      <c r="J40" s="5"/>
      <c r="K40" s="5"/>
    </row>
    <row r="41" spans="1:11" x14ac:dyDescent="0.3">
      <c r="A41" s="19" t="s">
        <v>13</v>
      </c>
      <c r="B41" s="14">
        <v>-528.18213100000003</v>
      </c>
      <c r="C41" s="14">
        <v>-1470</v>
      </c>
      <c r="D41" s="17">
        <f t="shared" si="2"/>
        <v>1.7831308817980438</v>
      </c>
      <c r="G41" s="5"/>
    </row>
    <row r="42" spans="1:11" s="9" customFormat="1" x14ac:dyDescent="0.3">
      <c r="A42" s="35" t="s">
        <v>43</v>
      </c>
      <c r="B42" s="30">
        <f>SUM(B39:B41)</f>
        <v>137843.92382199998</v>
      </c>
      <c r="C42" s="30">
        <f>SUM(C39:C41)</f>
        <v>187213</v>
      </c>
      <c r="D42" s="17">
        <f t="shared" si="2"/>
        <v>0.35815199400265968</v>
      </c>
      <c r="F42" s="5"/>
      <c r="G42" s="5"/>
      <c r="H42" s="5"/>
      <c r="I42" s="5"/>
      <c r="J42" s="5"/>
      <c r="K42" s="5"/>
    </row>
    <row r="43" spans="1:11" x14ac:dyDescent="0.3">
      <c r="A43" s="19" t="s">
        <v>15</v>
      </c>
      <c r="B43" s="14">
        <v>-153.98000000000005</v>
      </c>
      <c r="C43" s="14">
        <v>-1516</v>
      </c>
      <c r="D43" s="17">
        <f t="shared" si="2"/>
        <v>8.8454344720093498</v>
      </c>
      <c r="G43" s="5"/>
    </row>
    <row r="44" spans="1:11" ht="15.75" thickBot="1" x14ac:dyDescent="0.35">
      <c r="A44" s="36" t="s">
        <v>17</v>
      </c>
      <c r="B44" s="37">
        <f>SUM(B42:B43)</f>
        <v>137689.94382199997</v>
      </c>
      <c r="C44" s="37">
        <f>SUM(C42:C43)</f>
        <v>185697</v>
      </c>
      <c r="D44" s="45">
        <f t="shared" si="2"/>
        <v>0.34866058366660113</v>
      </c>
      <c r="G44" s="5"/>
    </row>
    <row r="45" spans="1:11" x14ac:dyDescent="0.3">
      <c r="G45" s="5"/>
    </row>
    <row r="46" spans="1:11" x14ac:dyDescent="0.3">
      <c r="A46" s="19"/>
      <c r="B46" s="14"/>
      <c r="C46" s="14"/>
      <c r="D46" s="17"/>
      <c r="G46" s="5"/>
    </row>
    <row r="47" spans="1:11" x14ac:dyDescent="0.3">
      <c r="A47" s="5" t="s">
        <v>82</v>
      </c>
    </row>
  </sheetData>
  <pageMargins left="0.70866141732283472" right="0.43307086614173229" top="0.47244094488188981" bottom="0.39370078740157483" header="0.31496062992125984" footer="0.18"/>
  <pageSetup orientation="portrait" r:id="rId1"/>
  <headerFooter>
    <oddFooter>&amp;L&amp;A</oddFooter>
  </headerFooter>
  <customProperties>
    <customPr name="_pios_id" r:id="rId2"/>
  </customPropertie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8"/>
  <sheetViews>
    <sheetView topLeftCell="A27" zoomScale="87" zoomScaleNormal="87" workbookViewId="0">
      <selection activeCell="A36" sqref="A36:E55"/>
    </sheetView>
  </sheetViews>
  <sheetFormatPr baseColWidth="10" defaultColWidth="11.42578125" defaultRowHeight="15" x14ac:dyDescent="0.3"/>
  <cols>
    <col min="1" max="1" width="43.42578125" style="5" customWidth="1"/>
    <col min="2" max="2" width="11.7109375" style="2" bestFit="1" customWidth="1"/>
    <col min="3" max="3" width="14.7109375" style="2" bestFit="1" customWidth="1"/>
    <col min="4" max="4" width="13.28515625" style="3" bestFit="1" customWidth="1"/>
    <col min="5" max="5" width="11.42578125" style="3"/>
    <col min="6" max="6" width="11.5703125" style="4" customWidth="1"/>
    <col min="7" max="7" width="3.42578125" style="4" customWidth="1"/>
    <col min="8" max="8" width="11.42578125" style="5"/>
    <col min="9" max="9" width="18.28515625" style="5" customWidth="1"/>
    <col min="10" max="16384" width="11.42578125" style="5"/>
  </cols>
  <sheetData>
    <row r="1" spans="1:14" x14ac:dyDescent="0.3">
      <c r="A1" s="38" t="s">
        <v>40</v>
      </c>
      <c r="I1" s="4"/>
      <c r="J1" s="2"/>
      <c r="K1" s="2"/>
      <c r="L1" s="3"/>
      <c r="M1" s="21"/>
      <c r="N1" s="4"/>
    </row>
    <row r="2" spans="1:14" x14ac:dyDescent="0.3">
      <c r="A2" s="38" t="s">
        <v>61</v>
      </c>
      <c r="H2" s="4"/>
      <c r="I2" s="4"/>
      <c r="J2" s="4"/>
      <c r="K2" s="4"/>
      <c r="L2" s="4"/>
      <c r="M2" s="4"/>
      <c r="N2" s="4"/>
    </row>
    <row r="3" spans="1:14" x14ac:dyDescent="0.3">
      <c r="A3" s="24" t="s">
        <v>44</v>
      </c>
      <c r="H3" s="4"/>
      <c r="I3" s="4"/>
      <c r="J3" s="4"/>
      <c r="K3" s="4"/>
      <c r="L3" s="4"/>
      <c r="M3" s="4"/>
      <c r="N3" s="4"/>
    </row>
    <row r="4" spans="1:14" x14ac:dyDescent="0.3">
      <c r="A4" s="24" t="s">
        <v>45</v>
      </c>
      <c r="H4" s="4"/>
      <c r="I4" s="4"/>
      <c r="J4" s="4"/>
      <c r="K4" s="4"/>
      <c r="L4" s="4"/>
      <c r="M4" s="4"/>
      <c r="N4" s="4"/>
    </row>
    <row r="5" spans="1:14" x14ac:dyDescent="0.3">
      <c r="H5" s="4"/>
      <c r="I5" s="4"/>
      <c r="J5" s="4"/>
      <c r="K5" s="4"/>
      <c r="L5" s="4"/>
      <c r="M5" s="4"/>
      <c r="N5" s="4"/>
    </row>
    <row r="6" spans="1:14" x14ac:dyDescent="0.3">
      <c r="A6" s="6" t="s">
        <v>20</v>
      </c>
      <c r="B6" s="6">
        <v>2009</v>
      </c>
      <c r="C6" s="6">
        <v>2010</v>
      </c>
      <c r="D6" s="7" t="s">
        <v>46</v>
      </c>
      <c r="H6" s="4"/>
      <c r="I6" s="4"/>
      <c r="J6" s="4"/>
      <c r="K6" s="4"/>
      <c r="L6" s="4"/>
      <c r="M6" s="4"/>
      <c r="N6" s="4"/>
    </row>
    <row r="7" spans="1:14" x14ac:dyDescent="0.3">
      <c r="A7" s="18" t="s">
        <v>21</v>
      </c>
      <c r="B7" s="2">
        <v>135155</v>
      </c>
      <c r="C7" s="2">
        <v>104390</v>
      </c>
      <c r="D7" s="17">
        <f>+(C7-B7)/B7</f>
        <v>-0.2276275387518035</v>
      </c>
      <c r="H7" s="4"/>
      <c r="I7" s="4"/>
      <c r="J7" s="4"/>
      <c r="K7" s="4"/>
      <c r="L7" s="4"/>
      <c r="M7" s="4"/>
      <c r="N7" s="4"/>
    </row>
    <row r="8" spans="1:14" x14ac:dyDescent="0.3">
      <c r="A8" s="18" t="s">
        <v>22</v>
      </c>
      <c r="B8" s="2">
        <v>339888</v>
      </c>
      <c r="C8" s="2">
        <v>325972</v>
      </c>
      <c r="D8" s="17">
        <f t="shared" ref="D8:D16" si="0">+(C8-B8)/B8</f>
        <v>-4.0942898837264041E-2</v>
      </c>
      <c r="H8" s="4"/>
      <c r="I8" s="4"/>
      <c r="J8" s="4"/>
      <c r="K8" s="4"/>
      <c r="L8" s="4"/>
      <c r="M8" s="4"/>
      <c r="N8" s="4"/>
    </row>
    <row r="9" spans="1:14" x14ac:dyDescent="0.3">
      <c r="A9" s="18" t="s">
        <v>23</v>
      </c>
      <c r="B9" s="2">
        <v>570273</v>
      </c>
      <c r="C9" s="2">
        <v>579826</v>
      </c>
      <c r="D9" s="17">
        <f t="shared" si="0"/>
        <v>1.6751625975629215E-2</v>
      </c>
      <c r="H9" s="4"/>
      <c r="I9" s="4"/>
      <c r="J9" s="4"/>
      <c r="K9" s="4"/>
      <c r="L9" s="4"/>
      <c r="M9" s="4"/>
      <c r="N9" s="4"/>
    </row>
    <row r="10" spans="1:14" x14ac:dyDescent="0.3">
      <c r="A10" s="18" t="s">
        <v>36</v>
      </c>
      <c r="B10" s="2">
        <v>568119</v>
      </c>
      <c r="C10" s="2">
        <v>531192</v>
      </c>
      <c r="D10" s="17">
        <f t="shared" si="0"/>
        <v>-6.4998706256963773E-2</v>
      </c>
      <c r="H10" s="4"/>
      <c r="I10" s="4"/>
      <c r="J10" s="4"/>
      <c r="K10" s="4"/>
      <c r="L10" s="4"/>
      <c r="M10" s="4"/>
      <c r="N10" s="4"/>
    </row>
    <row r="11" spans="1:14" x14ac:dyDescent="0.3">
      <c r="A11" s="18" t="s">
        <v>60</v>
      </c>
      <c r="B11" s="2">
        <v>886647</v>
      </c>
      <c r="C11" s="2">
        <v>953860</v>
      </c>
      <c r="D11" s="17">
        <f t="shared" si="0"/>
        <v>7.580581674555939E-2</v>
      </c>
      <c r="H11" s="4"/>
      <c r="I11" s="4"/>
      <c r="J11" s="4"/>
      <c r="K11" s="4"/>
      <c r="L11" s="4"/>
      <c r="M11" s="4"/>
      <c r="N11" s="4"/>
    </row>
    <row r="12" spans="1:14" x14ac:dyDescent="0.3">
      <c r="A12" s="18" t="s">
        <v>47</v>
      </c>
      <c r="B12" s="2">
        <v>711221</v>
      </c>
      <c r="C12" s="2">
        <v>725070</v>
      </c>
      <c r="D12" s="17">
        <f t="shared" si="0"/>
        <v>1.9472147194753809E-2</v>
      </c>
      <c r="H12" s="4"/>
      <c r="I12" s="4"/>
      <c r="J12" s="4"/>
      <c r="K12" s="4"/>
      <c r="L12" s="4"/>
      <c r="M12" s="4"/>
      <c r="N12" s="4"/>
    </row>
    <row r="13" spans="1:14" x14ac:dyDescent="0.3">
      <c r="A13" s="18" t="s">
        <v>24</v>
      </c>
      <c r="B13" s="2">
        <v>52847</v>
      </c>
      <c r="C13" s="2">
        <v>62998</v>
      </c>
      <c r="D13" s="17">
        <f t="shared" si="0"/>
        <v>0.19208280507881242</v>
      </c>
      <c r="H13" s="4"/>
      <c r="I13" s="4"/>
      <c r="J13" s="4"/>
      <c r="K13" s="4"/>
      <c r="L13" s="4"/>
      <c r="M13" s="4"/>
      <c r="N13" s="4"/>
    </row>
    <row r="14" spans="1:14" x14ac:dyDescent="0.3">
      <c r="A14" s="18" t="s">
        <v>25</v>
      </c>
      <c r="B14" s="2">
        <v>1207</v>
      </c>
      <c r="C14" s="2">
        <v>968</v>
      </c>
      <c r="D14" s="17">
        <f t="shared" si="0"/>
        <v>-0.19801159900579951</v>
      </c>
      <c r="H14" s="4"/>
      <c r="I14" s="4"/>
      <c r="J14" s="4"/>
      <c r="K14" s="4"/>
      <c r="L14" s="4"/>
      <c r="M14" s="4"/>
      <c r="N14" s="4"/>
    </row>
    <row r="15" spans="1:14" x14ac:dyDescent="0.3">
      <c r="A15" s="18" t="s">
        <v>26</v>
      </c>
      <c r="B15" s="2">
        <v>3343736</v>
      </c>
      <c r="C15" s="2">
        <v>4210570</v>
      </c>
      <c r="D15" s="17">
        <f t="shared" si="0"/>
        <v>0.25924116018728749</v>
      </c>
      <c r="H15" s="4"/>
      <c r="I15" s="4"/>
      <c r="J15" s="4"/>
      <c r="K15" s="4"/>
      <c r="L15" s="4"/>
      <c r="M15" s="4"/>
      <c r="N15" s="4"/>
    </row>
    <row r="16" spans="1:14" ht="15.75" thickBot="1" x14ac:dyDescent="0.35">
      <c r="A16" s="26" t="s">
        <v>27</v>
      </c>
      <c r="B16" s="27">
        <f>SUM(B7:B15)</f>
        <v>6609093</v>
      </c>
      <c r="C16" s="64">
        <f>SUM(C7:C15)</f>
        <v>7494846</v>
      </c>
      <c r="D16" s="45">
        <f t="shared" si="0"/>
        <v>0.13402035649974967</v>
      </c>
      <c r="H16" s="4"/>
      <c r="I16" s="4"/>
      <c r="J16" s="4"/>
      <c r="K16" s="4"/>
      <c r="L16" s="4"/>
      <c r="M16" s="4"/>
      <c r="N16" s="4"/>
    </row>
    <row r="17" spans="1:14" x14ac:dyDescent="0.3">
      <c r="A17" s="1"/>
      <c r="H17" s="4"/>
      <c r="I17" s="4"/>
      <c r="J17" s="4"/>
      <c r="K17" s="4"/>
      <c r="L17" s="4"/>
      <c r="M17" s="4"/>
      <c r="N17" s="4"/>
    </row>
    <row r="18" spans="1:14" x14ac:dyDescent="0.3">
      <c r="A18" s="6" t="s">
        <v>48</v>
      </c>
      <c r="B18" s="6">
        <v>2009</v>
      </c>
      <c r="C18" s="6">
        <v>2010</v>
      </c>
      <c r="D18" s="7" t="s">
        <v>46</v>
      </c>
      <c r="H18" s="4"/>
      <c r="I18" s="4"/>
      <c r="J18" s="4"/>
      <c r="K18" s="4"/>
      <c r="L18" s="4"/>
      <c r="M18" s="4"/>
      <c r="N18" s="4"/>
    </row>
    <row r="19" spans="1:14" x14ac:dyDescent="0.3">
      <c r="A19" s="18" t="s">
        <v>28</v>
      </c>
      <c r="B19" s="2">
        <v>1054632.5706948291</v>
      </c>
      <c r="C19" s="2">
        <v>915955</v>
      </c>
      <c r="D19" s="17">
        <f t="shared" ref="D19:D30" si="1">+(C19-B19)/B19</f>
        <v>-0.13149373018459257</v>
      </c>
      <c r="H19" s="4"/>
      <c r="I19" s="4"/>
      <c r="J19" s="4"/>
      <c r="K19" s="4"/>
      <c r="L19" s="4"/>
      <c r="M19" s="4"/>
      <c r="N19" s="4"/>
    </row>
    <row r="20" spans="1:14" x14ac:dyDescent="0.3">
      <c r="A20" s="18" t="s">
        <v>49</v>
      </c>
      <c r="B20" s="2">
        <f>81765</f>
        <v>81765</v>
      </c>
      <c r="C20" s="2">
        <v>95069</v>
      </c>
      <c r="D20" s="17">
        <f t="shared" si="1"/>
        <v>0.1627102060783954</v>
      </c>
      <c r="H20" s="4"/>
      <c r="I20" s="4"/>
      <c r="J20" s="4"/>
      <c r="K20" s="4"/>
      <c r="L20" s="4"/>
      <c r="M20" s="4"/>
      <c r="N20" s="4"/>
    </row>
    <row r="21" spans="1:14" x14ac:dyDescent="0.3">
      <c r="A21" s="18" t="s">
        <v>38</v>
      </c>
      <c r="B21" s="2">
        <f>217636-1905.6</f>
        <v>215730.4</v>
      </c>
      <c r="C21" s="2">
        <v>202944</v>
      </c>
      <c r="D21" s="17">
        <f t="shared" si="1"/>
        <v>-5.9270274379503281E-2</v>
      </c>
      <c r="H21" s="4"/>
      <c r="I21" s="4"/>
      <c r="J21" s="4"/>
      <c r="K21" s="4"/>
      <c r="L21" s="4"/>
      <c r="M21" s="4"/>
      <c r="N21" s="4"/>
    </row>
    <row r="22" spans="1:14" x14ac:dyDescent="0.3">
      <c r="A22" s="18" t="s">
        <v>30</v>
      </c>
      <c r="B22" s="2">
        <v>37357</v>
      </c>
      <c r="C22" s="2">
        <v>42375</v>
      </c>
      <c r="D22" s="17">
        <f t="shared" si="1"/>
        <v>0.13432556147442246</v>
      </c>
      <c r="H22" s="4"/>
      <c r="I22" s="4"/>
      <c r="J22" s="4"/>
      <c r="K22" s="4"/>
      <c r="L22" s="4"/>
      <c r="M22" s="4"/>
      <c r="N22" s="4"/>
    </row>
    <row r="23" spans="1:14" x14ac:dyDescent="0.3">
      <c r="A23" s="18" t="s">
        <v>31</v>
      </c>
      <c r="B23" s="2">
        <v>45206</v>
      </c>
      <c r="C23" s="2">
        <v>40564</v>
      </c>
      <c r="D23" s="17">
        <f t="shared" si="1"/>
        <v>-0.10268548422775738</v>
      </c>
      <c r="H23" s="4"/>
      <c r="I23" s="4"/>
      <c r="J23" s="4"/>
      <c r="K23" s="4"/>
      <c r="L23" s="4"/>
      <c r="M23" s="4"/>
      <c r="N23" s="4"/>
    </row>
    <row r="24" spans="1:14" x14ac:dyDescent="0.3">
      <c r="A24" s="18" t="s">
        <v>32</v>
      </c>
      <c r="B24" s="2">
        <v>209845</v>
      </c>
      <c r="C24" s="2">
        <v>224882</v>
      </c>
      <c r="D24" s="17">
        <f t="shared" si="1"/>
        <v>7.1657652076532685E-2</v>
      </c>
      <c r="H24" s="4"/>
      <c r="I24" s="4"/>
      <c r="J24" s="4"/>
      <c r="K24" s="4"/>
      <c r="L24" s="4"/>
      <c r="M24" s="4"/>
      <c r="N24" s="4"/>
    </row>
    <row r="25" spans="1:14" x14ac:dyDescent="0.3">
      <c r="A25" s="18" t="s">
        <v>24</v>
      </c>
      <c r="B25" s="2">
        <v>52938</v>
      </c>
      <c r="C25" s="2">
        <v>73846</v>
      </c>
      <c r="D25" s="17">
        <f t="shared" si="1"/>
        <v>0.39495258604405153</v>
      </c>
      <c r="H25" s="4"/>
      <c r="I25" s="4"/>
      <c r="J25" s="4"/>
      <c r="K25" s="4"/>
      <c r="L25" s="4"/>
      <c r="M25" s="4"/>
      <c r="N25" s="4"/>
    </row>
    <row r="26" spans="1:14" x14ac:dyDescent="0.3">
      <c r="A26" s="18" t="s">
        <v>0</v>
      </c>
      <c r="B26" s="2">
        <v>470</v>
      </c>
      <c r="C26" s="2">
        <v>4730</v>
      </c>
      <c r="D26" s="17">
        <f t="shared" si="1"/>
        <v>9.0638297872340434</v>
      </c>
      <c r="H26" s="4"/>
      <c r="I26" s="4"/>
      <c r="J26" s="4"/>
      <c r="K26" s="4"/>
      <c r="L26" s="4"/>
      <c r="M26" s="4"/>
      <c r="N26" s="4"/>
    </row>
    <row r="27" spans="1:14" x14ac:dyDescent="0.3">
      <c r="A27" s="18" t="s">
        <v>33</v>
      </c>
      <c r="B27" s="30">
        <f>SUM(B19:B26)</f>
        <v>1697943.970694829</v>
      </c>
      <c r="C27" s="60">
        <f>SUM(C19:C26)</f>
        <v>1600365</v>
      </c>
      <c r="D27" s="17">
        <f t="shared" si="1"/>
        <v>-5.7468899079689863E-2</v>
      </c>
      <c r="H27" s="4"/>
      <c r="I27" s="4"/>
      <c r="J27" s="4"/>
      <c r="K27" s="4"/>
      <c r="L27" s="4"/>
      <c r="M27" s="4"/>
      <c r="N27" s="4"/>
    </row>
    <row r="28" spans="1:14" x14ac:dyDescent="0.3">
      <c r="A28" s="18" t="s">
        <v>39</v>
      </c>
      <c r="B28" s="2">
        <v>3220</v>
      </c>
      <c r="C28" s="2">
        <v>11411</v>
      </c>
      <c r="D28" s="17">
        <f t="shared" si="1"/>
        <v>2.5437888198757763</v>
      </c>
      <c r="H28" s="4"/>
      <c r="I28" s="4"/>
      <c r="J28" s="4"/>
      <c r="K28" s="4"/>
      <c r="L28" s="4"/>
      <c r="M28" s="4"/>
      <c r="N28" s="4"/>
    </row>
    <row r="29" spans="1:14" x14ac:dyDescent="0.3">
      <c r="A29" s="32" t="s">
        <v>34</v>
      </c>
      <c r="B29" s="65">
        <v>4907929</v>
      </c>
      <c r="C29" s="65">
        <v>5883070</v>
      </c>
      <c r="D29" s="47">
        <f t="shared" si="1"/>
        <v>0.1986868595694844</v>
      </c>
      <c r="H29" s="4"/>
      <c r="I29" s="4"/>
      <c r="J29" s="4"/>
      <c r="K29" s="4"/>
      <c r="L29" s="4"/>
      <c r="M29" s="4"/>
      <c r="N29" s="4"/>
    </row>
    <row r="30" spans="1:14" ht="15.75" thickBot="1" x14ac:dyDescent="0.35">
      <c r="A30" s="27" t="s">
        <v>35</v>
      </c>
      <c r="B30" s="64">
        <f>+B27+B28+B29</f>
        <v>6609092.9706948288</v>
      </c>
      <c r="C30" s="64">
        <f>+C27+C28+C29</f>
        <v>7494846</v>
      </c>
      <c r="D30" s="45">
        <f t="shared" si="1"/>
        <v>0.13402036152807364</v>
      </c>
      <c r="H30" s="4"/>
      <c r="I30" s="4"/>
      <c r="J30" s="4"/>
      <c r="K30" s="4"/>
      <c r="L30" s="4"/>
      <c r="M30" s="4"/>
      <c r="N30" s="4"/>
    </row>
    <row r="31" spans="1:14" x14ac:dyDescent="0.3">
      <c r="A31" s="19"/>
      <c r="B31" s="14"/>
      <c r="C31" s="14"/>
      <c r="D31" s="17"/>
      <c r="H31" s="4"/>
      <c r="I31" s="4"/>
      <c r="J31" s="4"/>
      <c r="K31" s="4"/>
      <c r="L31" s="4"/>
      <c r="M31" s="4"/>
      <c r="N31" s="4"/>
    </row>
    <row r="32" spans="1:14" x14ac:dyDescent="0.3">
      <c r="A32" s="41" t="s">
        <v>3</v>
      </c>
      <c r="B32" s="4"/>
      <c r="C32" s="4"/>
      <c r="D32" s="4"/>
      <c r="E32" s="4"/>
      <c r="I32" s="4"/>
      <c r="J32" s="4"/>
      <c r="K32" s="4"/>
      <c r="L32" s="4"/>
      <c r="M32" s="4"/>
      <c r="N32" s="4"/>
    </row>
    <row r="33" spans="1:21" x14ac:dyDescent="0.3">
      <c r="A33" s="41" t="s">
        <v>62</v>
      </c>
      <c r="B33" s="4"/>
      <c r="C33" s="4"/>
      <c r="D33" s="4"/>
      <c r="E33" s="4"/>
      <c r="I33" s="4"/>
      <c r="J33" s="4"/>
      <c r="K33" s="4"/>
      <c r="L33" s="4"/>
      <c r="M33" s="4"/>
      <c r="N33" s="4"/>
    </row>
    <row r="34" spans="1:21" x14ac:dyDescent="0.3">
      <c r="A34" s="41" t="s">
        <v>44</v>
      </c>
      <c r="B34" s="4"/>
      <c r="C34" s="4"/>
      <c r="D34" s="4"/>
      <c r="E34" s="4"/>
      <c r="I34" s="4"/>
      <c r="J34" s="4"/>
      <c r="K34" s="4"/>
      <c r="L34" s="4"/>
      <c r="M34" s="4"/>
      <c r="N34" s="4"/>
    </row>
    <row r="35" spans="1:21" x14ac:dyDescent="0.3">
      <c r="A35" s="41" t="s">
        <v>45</v>
      </c>
      <c r="B35" s="4"/>
      <c r="C35" s="4"/>
      <c r="D35" s="4"/>
      <c r="E35" s="4"/>
      <c r="I35" s="4"/>
      <c r="J35" s="4"/>
      <c r="K35" s="4"/>
      <c r="L35" s="4"/>
      <c r="M35" s="4"/>
      <c r="N35" s="4"/>
    </row>
    <row r="36" spans="1:21" x14ac:dyDescent="0.3">
      <c r="A36" s="6"/>
      <c r="B36" s="6">
        <v>2009</v>
      </c>
      <c r="C36" s="6" t="s">
        <v>55</v>
      </c>
      <c r="D36" s="6">
        <v>2010</v>
      </c>
      <c r="E36" s="6" t="s">
        <v>55</v>
      </c>
      <c r="F36" s="7" t="s">
        <v>46</v>
      </c>
      <c r="I36" s="4"/>
      <c r="J36" s="4"/>
      <c r="K36" s="4"/>
      <c r="L36" s="4"/>
      <c r="M36" s="4"/>
      <c r="N36" s="4"/>
    </row>
    <row r="37" spans="1:21" s="9" customFormat="1" x14ac:dyDescent="0.3">
      <c r="A37" s="30" t="s">
        <v>4</v>
      </c>
      <c r="B37" s="62">
        <v>3294452</v>
      </c>
      <c r="C37" s="42">
        <v>1</v>
      </c>
      <c r="D37" s="62">
        <v>3166200</v>
      </c>
      <c r="E37" s="42">
        <v>1</v>
      </c>
      <c r="F37" s="17">
        <f>IF(B37&lt;&gt;0,(D37-B37)/B37,0)</f>
        <v>-3.8929691493456271E-2</v>
      </c>
      <c r="G37" s="8"/>
      <c r="H37" s="5"/>
      <c r="I37" s="4"/>
      <c r="J37" s="4"/>
      <c r="K37" s="4"/>
      <c r="L37" s="4"/>
      <c r="M37" s="4"/>
      <c r="N37" s="4"/>
      <c r="O37" s="5"/>
      <c r="P37" s="5"/>
      <c r="Q37" s="5"/>
      <c r="R37" s="5"/>
      <c r="S37" s="5"/>
      <c r="T37" s="5"/>
      <c r="U37" s="5"/>
    </row>
    <row r="38" spans="1:21" x14ac:dyDescent="0.3">
      <c r="A38" s="14" t="s">
        <v>50</v>
      </c>
      <c r="B38" s="10">
        <v>-2044306</v>
      </c>
      <c r="C38" s="17">
        <f t="shared" ref="C38:C55" si="2">+B38/$B$37</f>
        <v>-0.62052990907137207</v>
      </c>
      <c r="D38" s="10">
        <v>-1915336</v>
      </c>
      <c r="E38" s="17">
        <f>+D38/$D$37</f>
        <v>-0.604932095256143</v>
      </c>
      <c r="F38" s="17">
        <f t="shared" ref="F38:F53" si="3">IF(B38&lt;&gt;0,(D38-B38)/B38,0)</f>
        <v>-6.3087424289710051E-2</v>
      </c>
      <c r="I38" s="4"/>
      <c r="J38" s="4"/>
      <c r="K38" s="4"/>
      <c r="L38" s="4"/>
      <c r="M38" s="4"/>
      <c r="N38" s="4"/>
    </row>
    <row r="39" spans="1:21" s="9" customFormat="1" x14ac:dyDescent="0.3">
      <c r="A39" s="30" t="s">
        <v>6</v>
      </c>
      <c r="B39" s="60">
        <f>SUM(B37:B38)</f>
        <v>1250146</v>
      </c>
      <c r="C39" s="42">
        <f t="shared" si="2"/>
        <v>0.37947009092862788</v>
      </c>
      <c r="D39" s="60">
        <f>SUM(D37:D38)</f>
        <v>1250864</v>
      </c>
      <c r="E39" s="42">
        <f t="shared" ref="E39:E55" si="4">+D39/$D$37</f>
        <v>0.395067904743857</v>
      </c>
      <c r="F39" s="17">
        <f t="shared" si="3"/>
        <v>5.7433291791518753E-4</v>
      </c>
      <c r="G39" s="8"/>
      <c r="H39" s="5"/>
      <c r="I39" s="4"/>
      <c r="J39" s="4"/>
      <c r="K39" s="4"/>
      <c r="L39" s="4"/>
      <c r="M39" s="4"/>
      <c r="N39" s="4"/>
      <c r="O39" s="5"/>
      <c r="P39" s="5"/>
      <c r="Q39" s="5"/>
      <c r="R39" s="5"/>
      <c r="S39" s="5"/>
      <c r="T39" s="5"/>
      <c r="U39" s="5"/>
    </row>
    <row r="40" spans="1:21" x14ac:dyDescent="0.3">
      <c r="A40" s="14" t="s">
        <v>7</v>
      </c>
      <c r="B40" s="2">
        <v>-161228</v>
      </c>
      <c r="C40" s="17">
        <f t="shared" si="2"/>
        <v>-4.8939246952148643E-2</v>
      </c>
      <c r="D40" s="2">
        <v>-159947</v>
      </c>
      <c r="E40" s="17">
        <f t="shared" si="4"/>
        <v>-5.051702356136694E-2</v>
      </c>
      <c r="F40" s="17">
        <f t="shared" si="3"/>
        <v>-7.9452700523482273E-3</v>
      </c>
      <c r="I40" s="4"/>
      <c r="J40" s="4"/>
      <c r="K40" s="4"/>
      <c r="L40" s="4"/>
      <c r="M40" s="4"/>
      <c r="N40" s="4"/>
    </row>
    <row r="41" spans="1:21" x14ac:dyDescent="0.3">
      <c r="A41" s="14" t="s">
        <v>8</v>
      </c>
      <c r="B41" s="2">
        <v>-776011</v>
      </c>
      <c r="C41" s="17">
        <f t="shared" si="2"/>
        <v>-0.23555085944490919</v>
      </c>
      <c r="D41" s="2">
        <v>-775471</v>
      </c>
      <c r="E41" s="17">
        <f t="shared" si="4"/>
        <v>-0.24492167266755099</v>
      </c>
      <c r="F41" s="17">
        <f t="shared" si="3"/>
        <v>-6.958664245738785E-4</v>
      </c>
      <c r="I41" s="4"/>
      <c r="J41" s="4"/>
      <c r="K41" s="4"/>
      <c r="L41" s="4"/>
      <c r="M41" s="4"/>
      <c r="N41" s="4"/>
    </row>
    <row r="42" spans="1:21" s="9" customFormat="1" x14ac:dyDescent="0.3">
      <c r="A42" s="30" t="s">
        <v>9</v>
      </c>
      <c r="B42" s="60">
        <f>SUM(B40:B41)</f>
        <v>-937239</v>
      </c>
      <c r="C42" s="42">
        <f t="shared" si="2"/>
        <v>-0.28449010639705785</v>
      </c>
      <c r="D42" s="60">
        <f>SUM(D40:D41)</f>
        <v>-935418</v>
      </c>
      <c r="E42" s="42">
        <f t="shared" si="4"/>
        <v>-0.29543869622891794</v>
      </c>
      <c r="F42" s="17">
        <f t="shared" si="3"/>
        <v>-1.9429409147506665E-3</v>
      </c>
      <c r="G42" s="8"/>
      <c r="H42" s="5"/>
      <c r="I42" s="4"/>
      <c r="J42" s="4"/>
      <c r="K42" s="4"/>
      <c r="L42" s="4"/>
      <c r="M42" s="4"/>
      <c r="N42" s="4"/>
      <c r="O42" s="5"/>
      <c r="P42" s="5"/>
      <c r="Q42" s="5"/>
      <c r="R42" s="5"/>
      <c r="S42" s="5"/>
      <c r="T42" s="5"/>
      <c r="U42" s="5"/>
    </row>
    <row r="43" spans="1:21" s="9" customFormat="1" x14ac:dyDescent="0.3">
      <c r="A43" s="30" t="s">
        <v>1</v>
      </c>
      <c r="B43" s="60">
        <f>+B39+B42</f>
        <v>312907</v>
      </c>
      <c r="C43" s="42">
        <f t="shared" si="2"/>
        <v>9.4979984531570041E-2</v>
      </c>
      <c r="D43" s="60">
        <f>+D39+D42</f>
        <v>315446</v>
      </c>
      <c r="E43" s="42">
        <f t="shared" si="4"/>
        <v>9.9629208514939047E-2</v>
      </c>
      <c r="F43" s="17">
        <f t="shared" si="3"/>
        <v>8.1142320242116664E-3</v>
      </c>
      <c r="G43" s="8"/>
      <c r="H43" s="5"/>
      <c r="I43" s="4"/>
      <c r="J43" s="4"/>
      <c r="K43" s="4"/>
      <c r="L43" s="4"/>
      <c r="M43" s="4"/>
      <c r="N43" s="4"/>
      <c r="O43" s="5"/>
      <c r="P43" s="5"/>
      <c r="Q43" s="5"/>
      <c r="R43" s="5"/>
      <c r="S43" s="5"/>
      <c r="T43" s="5"/>
      <c r="U43" s="5"/>
    </row>
    <row r="44" spans="1:21" x14ac:dyDescent="0.3">
      <c r="A44" s="14" t="s">
        <v>51</v>
      </c>
      <c r="B44" s="2">
        <v>7179</v>
      </c>
      <c r="C44" s="17">
        <f t="shared" si="2"/>
        <v>2.1791181052266051E-3</v>
      </c>
      <c r="D44" s="2">
        <v>3954</v>
      </c>
      <c r="E44" s="17">
        <f t="shared" si="4"/>
        <v>1.2488156149327268E-3</v>
      </c>
      <c r="F44" s="17">
        <f t="shared" si="3"/>
        <v>-0.44922691182615965</v>
      </c>
      <c r="I44" s="4"/>
      <c r="J44" s="4"/>
      <c r="K44" s="4"/>
      <c r="L44" s="4"/>
      <c r="M44" s="4"/>
      <c r="N44" s="4"/>
    </row>
    <row r="45" spans="1:21" x14ac:dyDescent="0.3">
      <c r="A45" s="14" t="s">
        <v>11</v>
      </c>
      <c r="B45" s="2">
        <v>-86299</v>
      </c>
      <c r="C45" s="17">
        <f t="shared" si="2"/>
        <v>-2.6195251896218248E-2</v>
      </c>
      <c r="D45" s="2">
        <v>-54663</v>
      </c>
      <c r="E45" s="17">
        <f t="shared" si="4"/>
        <v>-1.7264544248626112E-2</v>
      </c>
      <c r="F45" s="17">
        <f t="shared" si="3"/>
        <v>-0.36658593958215041</v>
      </c>
      <c r="I45" s="4"/>
      <c r="J45" s="4"/>
      <c r="K45" s="4"/>
      <c r="L45" s="4"/>
      <c r="M45" s="4"/>
      <c r="N45" s="4"/>
    </row>
    <row r="46" spans="1:21" x14ac:dyDescent="0.3">
      <c r="A46" s="14" t="s">
        <v>12</v>
      </c>
      <c r="B46" s="2">
        <v>5828</v>
      </c>
      <c r="C46" s="17">
        <f t="shared" si="2"/>
        <v>1.7690347286893238E-3</v>
      </c>
      <c r="D46" s="2">
        <v>-7403</v>
      </c>
      <c r="E46" s="17">
        <f t="shared" si="4"/>
        <v>-2.3381340408060135E-3</v>
      </c>
      <c r="F46" s="17">
        <f t="shared" si="3"/>
        <v>-2.2702470830473578</v>
      </c>
      <c r="I46" s="4"/>
      <c r="J46" s="4"/>
      <c r="K46" s="4"/>
      <c r="L46" s="4"/>
      <c r="M46" s="4"/>
      <c r="N46" s="4"/>
    </row>
    <row r="47" spans="1:21" x14ac:dyDescent="0.3">
      <c r="A47" s="14" t="s">
        <v>52</v>
      </c>
      <c r="B47" s="2">
        <v>-71990</v>
      </c>
      <c r="C47" s="17">
        <f t="shared" si="2"/>
        <v>-2.1851889176105768E-2</v>
      </c>
      <c r="D47" s="2">
        <v>-12596</v>
      </c>
      <c r="E47" s="17">
        <f t="shared" si="4"/>
        <v>-3.9782704819657632E-3</v>
      </c>
      <c r="F47" s="17">
        <f t="shared" si="3"/>
        <v>-0.82503125434088065</v>
      </c>
      <c r="I47" s="4"/>
      <c r="J47" s="4"/>
      <c r="K47" s="4"/>
      <c r="L47" s="4"/>
      <c r="M47" s="4"/>
      <c r="N47" s="4"/>
    </row>
    <row r="48" spans="1:21" x14ac:dyDescent="0.3">
      <c r="A48" s="14" t="s">
        <v>14</v>
      </c>
      <c r="B48" s="2">
        <v>21700</v>
      </c>
      <c r="C48" s="17">
        <f t="shared" si="2"/>
        <v>6.5868314366091842E-3</v>
      </c>
      <c r="D48" s="2">
        <v>23311</v>
      </c>
      <c r="E48" s="17">
        <f t="shared" si="4"/>
        <v>7.3624534141873543E-3</v>
      </c>
      <c r="F48" s="17">
        <f t="shared" si="3"/>
        <v>7.4239631336405529E-2</v>
      </c>
      <c r="I48" s="4"/>
      <c r="J48" s="4"/>
      <c r="K48" s="4"/>
      <c r="L48" s="4"/>
      <c r="M48" s="4"/>
      <c r="N48" s="4"/>
    </row>
    <row r="49" spans="1:21" x14ac:dyDescent="0.3">
      <c r="A49" s="14" t="s">
        <v>16</v>
      </c>
      <c r="B49" s="2">
        <v>2124</v>
      </c>
      <c r="C49" s="17">
        <f t="shared" si="2"/>
        <v>6.4472027517778376E-4</v>
      </c>
      <c r="D49" s="2">
        <v>-156</v>
      </c>
      <c r="E49" s="17">
        <f t="shared" si="4"/>
        <v>-4.927041879855979E-5</v>
      </c>
      <c r="F49" s="17">
        <f t="shared" si="3"/>
        <v>-1.0734463276836159</v>
      </c>
      <c r="I49" s="4"/>
      <c r="J49" s="4"/>
      <c r="K49" s="4"/>
      <c r="L49" s="4"/>
      <c r="M49" s="4"/>
      <c r="N49" s="4"/>
    </row>
    <row r="50" spans="1:21" s="9" customFormat="1" x14ac:dyDescent="0.3">
      <c r="A50" s="30" t="s">
        <v>2</v>
      </c>
      <c r="B50" s="60">
        <f>SUM(B44:B49)</f>
        <v>-121458</v>
      </c>
      <c r="C50" s="42">
        <f t="shared" si="2"/>
        <v>-3.6867436526621118E-2</v>
      </c>
      <c r="D50" s="60">
        <f>SUM(D44:D49)</f>
        <v>-47553</v>
      </c>
      <c r="E50" s="42">
        <f t="shared" si="4"/>
        <v>-1.5018950161076369E-2</v>
      </c>
      <c r="F50" s="17">
        <f t="shared" si="3"/>
        <v>-0.60848194437583358</v>
      </c>
      <c r="G50" s="8"/>
      <c r="H50" s="5"/>
      <c r="I50" s="4"/>
      <c r="J50" s="4"/>
      <c r="K50" s="4"/>
      <c r="L50" s="4"/>
      <c r="M50" s="4"/>
      <c r="N50" s="4"/>
      <c r="O50" s="5"/>
      <c r="P50" s="5"/>
      <c r="Q50" s="5"/>
      <c r="R50" s="5"/>
      <c r="S50" s="5"/>
      <c r="T50" s="5"/>
      <c r="U50" s="5"/>
    </row>
    <row r="51" spans="1:21" s="9" customFormat="1" x14ac:dyDescent="0.3">
      <c r="A51" s="30" t="s">
        <v>41</v>
      </c>
      <c r="B51" s="60">
        <f>+B43+B50</f>
        <v>191449</v>
      </c>
      <c r="C51" s="42">
        <f t="shared" si="2"/>
        <v>5.8112548004948923E-2</v>
      </c>
      <c r="D51" s="60">
        <f>+D43+D50</f>
        <v>267893</v>
      </c>
      <c r="E51" s="42">
        <f t="shared" si="4"/>
        <v>8.4610258353862669E-2</v>
      </c>
      <c r="F51" s="17">
        <f t="shared" si="3"/>
        <v>0.39929171737642921</v>
      </c>
      <c r="G51" s="8"/>
      <c r="H51" s="5"/>
      <c r="I51" s="4"/>
      <c r="J51" s="4"/>
      <c r="K51" s="4"/>
      <c r="L51" s="4"/>
      <c r="M51" s="4"/>
      <c r="N51" s="4"/>
      <c r="O51" s="5"/>
      <c r="P51" s="5"/>
      <c r="Q51" s="5"/>
      <c r="R51" s="5"/>
      <c r="S51" s="5"/>
      <c r="T51" s="5"/>
      <c r="U51" s="5"/>
    </row>
    <row r="52" spans="1:21" x14ac:dyDescent="0.3">
      <c r="A52" s="14" t="s">
        <v>15</v>
      </c>
      <c r="B52" s="2">
        <v>-69551</v>
      </c>
      <c r="C52" s="17">
        <f t="shared" si="2"/>
        <v>-2.1111553605880431E-2</v>
      </c>
      <c r="D52" s="2">
        <v>-78617</v>
      </c>
      <c r="E52" s="17">
        <f t="shared" si="4"/>
        <v>-2.4830080222348557E-2</v>
      </c>
      <c r="F52" s="17">
        <f t="shared" si="3"/>
        <v>0.13035039036103002</v>
      </c>
      <c r="I52" s="4"/>
      <c r="J52" s="4"/>
      <c r="K52" s="4"/>
      <c r="L52" s="4"/>
      <c r="M52" s="4"/>
      <c r="N52" s="4"/>
    </row>
    <row r="53" spans="1:21" x14ac:dyDescent="0.3">
      <c r="A53" s="14" t="s">
        <v>18</v>
      </c>
      <c r="B53" s="2">
        <v>-146</v>
      </c>
      <c r="C53" s="17">
        <f t="shared" si="2"/>
        <v>-4.4316930402992667E-5</v>
      </c>
      <c r="D53" s="2">
        <v>-522</v>
      </c>
      <c r="E53" s="17">
        <f t="shared" si="4"/>
        <v>-1.648664013644116E-4</v>
      </c>
      <c r="F53" s="17">
        <f t="shared" si="3"/>
        <v>2.5753424657534247</v>
      </c>
      <c r="I53" s="4"/>
      <c r="J53" s="4"/>
      <c r="K53" s="4"/>
      <c r="L53" s="4"/>
      <c r="M53" s="4"/>
      <c r="N53" s="4"/>
    </row>
    <row r="54" spans="1:21" s="9" customFormat="1" x14ac:dyDescent="0.3">
      <c r="A54" s="43" t="s">
        <v>17</v>
      </c>
      <c r="B54" s="63">
        <f>+B51+B52+B53</f>
        <v>121752</v>
      </c>
      <c r="C54" s="44">
        <f t="shared" si="2"/>
        <v>3.6956677468665503E-2</v>
      </c>
      <c r="D54" s="63">
        <f>+D51+D52+D53</f>
        <v>188754</v>
      </c>
      <c r="E54" s="44">
        <f t="shared" si="4"/>
        <v>5.9615311730149709E-2</v>
      </c>
      <c r="F54" s="44">
        <f>+(D54-B54)/B54</f>
        <v>0.55031539522964712</v>
      </c>
      <c r="G54" s="8"/>
      <c r="H54" s="5"/>
      <c r="I54" s="4"/>
      <c r="J54" s="4"/>
      <c r="K54" s="4"/>
      <c r="L54" s="4"/>
      <c r="M54" s="4"/>
      <c r="N54" s="4"/>
      <c r="O54" s="5"/>
      <c r="P54" s="5"/>
      <c r="Q54" s="5"/>
      <c r="R54" s="5"/>
      <c r="S54" s="5"/>
      <c r="T54" s="5"/>
      <c r="U54" s="5"/>
    </row>
    <row r="55" spans="1:21" s="9" customFormat="1" ht="15.75" thickBot="1" x14ac:dyDescent="0.35">
      <c r="A55" s="27" t="s">
        <v>19</v>
      </c>
      <c r="B55" s="64">
        <v>379670</v>
      </c>
      <c r="C55" s="45">
        <f t="shared" si="2"/>
        <v>0.11524526689112484</v>
      </c>
      <c r="D55" s="64">
        <v>390030</v>
      </c>
      <c r="E55" s="45">
        <f t="shared" si="4"/>
        <v>0.12318552207693766</v>
      </c>
      <c r="F55" s="45">
        <f>+(D55-B55)/B55</f>
        <v>2.7286854373534911E-2</v>
      </c>
      <c r="G55" s="8"/>
      <c r="H55" s="5"/>
      <c r="I55" s="4"/>
      <c r="J55" s="4"/>
      <c r="K55" s="4"/>
      <c r="L55" s="4"/>
      <c r="M55" s="4"/>
      <c r="N55" s="4"/>
      <c r="O55" s="5"/>
      <c r="P55" s="5"/>
      <c r="Q55" s="5"/>
      <c r="R55" s="5"/>
      <c r="S55" s="5"/>
      <c r="T55" s="5"/>
      <c r="U55" s="5"/>
    </row>
    <row r="56" spans="1:21" x14ac:dyDescent="0.3">
      <c r="A56" s="2"/>
      <c r="C56" s="3"/>
      <c r="D56" s="10"/>
      <c r="I56" s="4"/>
      <c r="J56" s="4"/>
      <c r="K56" s="4"/>
      <c r="L56" s="4"/>
      <c r="M56" s="4"/>
      <c r="N56" s="4"/>
    </row>
    <row r="57" spans="1:21" x14ac:dyDescent="0.3">
      <c r="A57" s="19" t="s">
        <v>53</v>
      </c>
      <c r="B57" s="14"/>
      <c r="C57" s="14"/>
      <c r="D57" s="17"/>
      <c r="I57" s="4"/>
      <c r="J57" s="4"/>
      <c r="K57" s="4"/>
      <c r="L57" s="4"/>
      <c r="M57" s="4"/>
      <c r="N57" s="4"/>
    </row>
    <row r="58" spans="1:21" x14ac:dyDescent="0.3">
      <c r="D58" s="10"/>
    </row>
  </sheetData>
  <pageMargins left="0.70866141732283472" right="0.43307086614173229" top="0.43307086614173229" bottom="0.51181102362204722" header="0.31496062992125984" footer="0.31496062992125984"/>
  <pageSetup scale="87" orientation="portrait" r:id="rId1"/>
  <headerFooter>
    <oddFooter>&amp;C&amp;A</oddFooter>
  </headerFooter>
  <customProperties>
    <customPr name="_pios_id" r:id="rId2"/>
  </customPropertie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6"/>
  <sheetViews>
    <sheetView topLeftCell="A22" zoomScale="86" zoomScaleNormal="86" workbookViewId="0">
      <selection activeCell="C43" sqref="B43:C43"/>
    </sheetView>
  </sheetViews>
  <sheetFormatPr baseColWidth="10" defaultColWidth="11.42578125" defaultRowHeight="15" x14ac:dyDescent="0.3"/>
  <cols>
    <col min="1" max="1" width="43.7109375" style="5" customWidth="1"/>
    <col min="2" max="3" width="11.7109375" style="14" bestFit="1" customWidth="1"/>
    <col min="4" max="4" width="13.28515625" style="3" bestFit="1" customWidth="1"/>
    <col min="5" max="6" width="11.42578125" style="5"/>
    <col min="7" max="7" width="28.5703125" style="11" bestFit="1" customWidth="1"/>
    <col min="8" max="8" width="11.5703125" style="5" bestFit="1" customWidth="1"/>
    <col min="9" max="16384" width="11.42578125" style="5"/>
  </cols>
  <sheetData>
    <row r="1" spans="1:11" x14ac:dyDescent="0.3">
      <c r="A1" s="24" t="s">
        <v>69</v>
      </c>
    </row>
    <row r="2" spans="1:11" x14ac:dyDescent="0.3">
      <c r="A2" s="24" t="s">
        <v>80</v>
      </c>
    </row>
    <row r="3" spans="1:11" x14ac:dyDescent="0.3">
      <c r="A3" s="24" t="s">
        <v>44</v>
      </c>
    </row>
    <row r="4" spans="1:11" x14ac:dyDescent="0.3">
      <c r="A4" s="24" t="s">
        <v>45</v>
      </c>
    </row>
    <row r="5" spans="1:11" ht="12" customHeight="1" x14ac:dyDescent="0.3">
      <c r="G5" s="5"/>
    </row>
    <row r="6" spans="1:11" x14ac:dyDescent="0.3">
      <c r="A6" s="6" t="s">
        <v>20</v>
      </c>
      <c r="B6" s="6">
        <v>2009</v>
      </c>
      <c r="C6" s="6">
        <v>2010</v>
      </c>
      <c r="D6" s="7" t="s">
        <v>46</v>
      </c>
      <c r="G6" s="5"/>
    </row>
    <row r="7" spans="1:11" x14ac:dyDescent="0.3">
      <c r="A7" s="18" t="s">
        <v>21</v>
      </c>
      <c r="B7" s="14">
        <v>191</v>
      </c>
      <c r="C7" s="14">
        <v>225</v>
      </c>
      <c r="D7" s="17">
        <f t="shared" ref="D7:D14" si="0">IF(B7&lt;&gt;0,(C7-B7)/B7,0)</f>
        <v>0.17801047120418848</v>
      </c>
      <c r="G7" s="5"/>
    </row>
    <row r="8" spans="1:11" x14ac:dyDescent="0.3">
      <c r="A8" s="18" t="s">
        <v>22</v>
      </c>
      <c r="B8" s="14">
        <v>3601952</v>
      </c>
      <c r="C8" s="14">
        <v>2716228</v>
      </c>
      <c r="D8" s="17">
        <f t="shared" si="0"/>
        <v>-0.24590111139737564</v>
      </c>
      <c r="G8" s="5"/>
    </row>
    <row r="9" spans="1:11" s="11" customFormat="1" x14ac:dyDescent="0.3">
      <c r="A9" s="18" t="s">
        <v>23</v>
      </c>
      <c r="B9" s="14">
        <v>43410</v>
      </c>
      <c r="C9" s="14">
        <v>90361</v>
      </c>
      <c r="D9" s="17">
        <f t="shared" si="0"/>
        <v>1.081571066574522</v>
      </c>
      <c r="E9" s="5"/>
      <c r="F9" s="5"/>
      <c r="G9" s="5"/>
      <c r="H9" s="5"/>
      <c r="I9" s="5"/>
      <c r="J9" s="5"/>
      <c r="K9" s="5"/>
    </row>
    <row r="10" spans="1:11" s="11" customFormat="1" hidden="1" x14ac:dyDescent="0.3">
      <c r="A10" s="18" t="s">
        <v>37</v>
      </c>
      <c r="B10" s="14">
        <v>0</v>
      </c>
      <c r="C10" s="14">
        <v>0</v>
      </c>
      <c r="D10" s="17">
        <f t="shared" si="0"/>
        <v>0</v>
      </c>
      <c r="E10" s="5"/>
      <c r="F10" s="5"/>
      <c r="G10" s="5"/>
      <c r="H10" s="5"/>
      <c r="I10" s="5"/>
      <c r="J10" s="5"/>
      <c r="K10" s="5"/>
    </row>
    <row r="11" spans="1:11" s="11" customFormat="1" hidden="1" x14ac:dyDescent="0.3">
      <c r="A11" s="18" t="s">
        <v>24</v>
      </c>
      <c r="B11" s="14">
        <v>0</v>
      </c>
      <c r="C11" s="14">
        <v>0</v>
      </c>
      <c r="D11" s="17">
        <f t="shared" si="0"/>
        <v>0</v>
      </c>
      <c r="E11" s="5"/>
      <c r="F11" s="5"/>
      <c r="G11" s="5"/>
      <c r="H11" s="5"/>
      <c r="I11" s="5"/>
      <c r="J11" s="5"/>
      <c r="K11" s="5"/>
    </row>
    <row r="12" spans="1:11" s="11" customFormat="1" x14ac:dyDescent="0.3">
      <c r="A12" s="18" t="s">
        <v>59</v>
      </c>
      <c r="B12" s="14">
        <v>209</v>
      </c>
      <c r="C12" s="14">
        <v>155</v>
      </c>
      <c r="D12" s="17">
        <f t="shared" si="0"/>
        <v>-0.25837320574162681</v>
      </c>
      <c r="E12" s="5"/>
      <c r="F12" s="5"/>
      <c r="G12" s="5"/>
      <c r="H12" s="5"/>
      <c r="I12" s="5"/>
      <c r="J12" s="5"/>
      <c r="K12" s="5"/>
    </row>
    <row r="13" spans="1:11" s="11" customFormat="1" x14ac:dyDescent="0.3">
      <c r="A13" s="18" t="s">
        <v>26</v>
      </c>
      <c r="B13" s="14">
        <v>1869198</v>
      </c>
      <c r="C13" s="14">
        <v>3596772</v>
      </c>
      <c r="D13" s="17">
        <f t="shared" si="0"/>
        <v>0.92423274580863024</v>
      </c>
      <c r="E13" s="5"/>
      <c r="F13" s="5"/>
      <c r="G13" s="5"/>
      <c r="H13" s="5"/>
      <c r="I13" s="5"/>
      <c r="J13" s="5"/>
      <c r="K13" s="5"/>
    </row>
    <row r="14" spans="1:11" s="11" customFormat="1" ht="15.75" thickBot="1" x14ac:dyDescent="0.35">
      <c r="A14" s="26" t="s">
        <v>27</v>
      </c>
      <c r="B14" s="27">
        <f>SUM(B7:B13)</f>
        <v>5514960</v>
      </c>
      <c r="C14" s="27">
        <f>SUM(C7:C13)</f>
        <v>6403741</v>
      </c>
      <c r="D14" s="46">
        <f t="shared" si="0"/>
        <v>0.1611581951637002</v>
      </c>
      <c r="E14" s="5"/>
      <c r="F14" s="5"/>
      <c r="G14" s="5"/>
      <c r="H14" s="5"/>
      <c r="I14" s="5"/>
      <c r="J14" s="5"/>
      <c r="K14" s="5"/>
    </row>
    <row r="15" spans="1:11" x14ac:dyDescent="0.3">
      <c r="G15" s="5"/>
    </row>
    <row r="16" spans="1:11" s="11" customFormat="1" x14ac:dyDescent="0.3">
      <c r="A16" s="6" t="s">
        <v>48</v>
      </c>
      <c r="B16" s="6">
        <v>2009</v>
      </c>
      <c r="C16" s="6">
        <v>2010</v>
      </c>
      <c r="D16" s="7" t="s">
        <v>46</v>
      </c>
      <c r="E16" s="5"/>
      <c r="F16" s="5"/>
      <c r="G16" s="5"/>
      <c r="H16" s="5"/>
      <c r="I16" s="5"/>
      <c r="J16" s="5"/>
      <c r="K16" s="5"/>
    </row>
    <row r="17" spans="1:11" s="11" customFormat="1" x14ac:dyDescent="0.3">
      <c r="A17" s="18" t="s">
        <v>28</v>
      </c>
      <c r="B17" s="14">
        <v>0</v>
      </c>
      <c r="C17" s="14">
        <v>445</v>
      </c>
      <c r="D17" s="17">
        <f t="shared" ref="D17:D25" si="1">IF(B17&lt;&gt;0,(C17-B17)/B17,0)</f>
        <v>0</v>
      </c>
      <c r="E17" s="5"/>
      <c r="F17" s="5"/>
      <c r="G17" s="5"/>
      <c r="H17" s="5"/>
      <c r="I17" s="5"/>
      <c r="J17" s="5"/>
      <c r="K17" s="5"/>
    </row>
    <row r="18" spans="1:11" s="11" customFormat="1" x14ac:dyDescent="0.3">
      <c r="A18" s="18" t="s">
        <v>29</v>
      </c>
      <c r="B18" s="14">
        <f>70725+40773</f>
        <v>111498</v>
      </c>
      <c r="C18" s="14">
        <f>70262+158</f>
        <v>70420</v>
      </c>
      <c r="D18" s="17">
        <f t="shared" si="1"/>
        <v>-0.36841916446931783</v>
      </c>
      <c r="E18" s="5"/>
      <c r="F18" s="5"/>
      <c r="G18" s="5"/>
      <c r="H18" s="5"/>
      <c r="I18" s="5"/>
      <c r="J18" s="5"/>
      <c r="K18" s="5"/>
    </row>
    <row r="19" spans="1:11" x14ac:dyDescent="0.3">
      <c r="A19" s="18" t="s">
        <v>30</v>
      </c>
      <c r="B19" s="14">
        <v>430</v>
      </c>
      <c r="C19" s="14">
        <v>604</v>
      </c>
      <c r="D19" s="17">
        <f t="shared" si="1"/>
        <v>0.40465116279069768</v>
      </c>
      <c r="G19" s="5"/>
    </row>
    <row r="20" spans="1:11" x14ac:dyDescent="0.3">
      <c r="A20" s="18" t="s">
        <v>31</v>
      </c>
      <c r="B20" s="14">
        <v>650</v>
      </c>
      <c r="C20" s="14">
        <v>947</v>
      </c>
      <c r="D20" s="17">
        <f t="shared" si="1"/>
        <v>0.45692307692307693</v>
      </c>
      <c r="G20" s="5"/>
    </row>
    <row r="21" spans="1:11" hidden="1" x14ac:dyDescent="0.3">
      <c r="A21" s="18" t="s">
        <v>32</v>
      </c>
      <c r="B21" s="14">
        <v>0</v>
      </c>
      <c r="C21" s="14">
        <v>0</v>
      </c>
      <c r="D21" s="17">
        <f t="shared" si="1"/>
        <v>0</v>
      </c>
      <c r="G21" s="5"/>
    </row>
    <row r="22" spans="1:11" x14ac:dyDescent="0.3">
      <c r="A22" s="18" t="s">
        <v>24</v>
      </c>
      <c r="B22" s="14">
        <v>3179</v>
      </c>
      <c r="C22" s="14">
        <v>7650</v>
      </c>
      <c r="D22" s="17">
        <f t="shared" si="1"/>
        <v>1.4064171122994653</v>
      </c>
      <c r="G22" s="5"/>
    </row>
    <row r="23" spans="1:11" s="9" customFormat="1" x14ac:dyDescent="0.3">
      <c r="A23" s="29" t="s">
        <v>33</v>
      </c>
      <c r="B23" s="30">
        <f>SUM(B17:B22)</f>
        <v>115757</v>
      </c>
      <c r="C23" s="30">
        <f>SUM(C17:C22)</f>
        <v>80066</v>
      </c>
      <c r="D23" s="42">
        <f t="shared" si="1"/>
        <v>-0.30832692623340274</v>
      </c>
      <c r="F23" s="5"/>
      <c r="G23" s="5"/>
      <c r="H23" s="5"/>
      <c r="I23" s="5"/>
      <c r="J23" s="5"/>
      <c r="K23" s="5"/>
    </row>
    <row r="24" spans="1:11" s="9" customFormat="1" x14ac:dyDescent="0.3">
      <c r="A24" s="31" t="s">
        <v>34</v>
      </c>
      <c r="B24" s="32">
        <f>+B14-B23</f>
        <v>5399203</v>
      </c>
      <c r="C24" s="32">
        <f>+C14-C23</f>
        <v>6323675</v>
      </c>
      <c r="D24" s="47">
        <f t="shared" si="1"/>
        <v>0.17122378988158066</v>
      </c>
      <c r="E24" s="60"/>
      <c r="F24" s="5"/>
      <c r="G24" s="5"/>
      <c r="H24" s="5"/>
      <c r="I24" s="5"/>
      <c r="J24" s="5"/>
      <c r="K24" s="5"/>
    </row>
    <row r="25" spans="1:11" s="9" customFormat="1" ht="15.75" thickBot="1" x14ac:dyDescent="0.35">
      <c r="A25" s="26" t="s">
        <v>35</v>
      </c>
      <c r="B25" s="27">
        <f>+B23+B24</f>
        <v>5514960</v>
      </c>
      <c r="C25" s="27">
        <f>+C23+C24</f>
        <v>6403741</v>
      </c>
      <c r="D25" s="45">
        <f t="shared" si="1"/>
        <v>0.1611581951637002</v>
      </c>
      <c r="F25" s="5"/>
      <c r="G25" s="5"/>
      <c r="H25" s="5"/>
      <c r="I25" s="5"/>
      <c r="J25" s="5"/>
      <c r="K25" s="5"/>
    </row>
    <row r="26" spans="1:11" x14ac:dyDescent="0.3">
      <c r="A26" s="18" t="s">
        <v>54</v>
      </c>
      <c r="B26" s="14">
        <v>435123458</v>
      </c>
      <c r="C26" s="14">
        <v>435123458</v>
      </c>
      <c r="D26" s="17"/>
      <c r="G26" s="5"/>
    </row>
    <row r="27" spans="1:11" x14ac:dyDescent="0.3">
      <c r="A27" s="18" t="s">
        <v>71</v>
      </c>
      <c r="B27" s="33">
        <f>+B24/+(B26/1000000)</f>
        <v>12408.439261851976</v>
      </c>
      <c r="C27" s="33">
        <f>+C24/+(C26/1000000)</f>
        <v>14533.059258781675</v>
      </c>
      <c r="D27" s="17"/>
      <c r="G27" s="5"/>
    </row>
    <row r="28" spans="1:11" x14ac:dyDescent="0.3">
      <c r="G28" s="5"/>
    </row>
    <row r="29" spans="1:11" x14ac:dyDescent="0.3">
      <c r="A29" s="6" t="s">
        <v>70</v>
      </c>
      <c r="B29" s="6">
        <v>2009</v>
      </c>
      <c r="C29" s="6">
        <v>2010</v>
      </c>
      <c r="D29" s="6" t="s">
        <v>46</v>
      </c>
      <c r="G29" s="5"/>
    </row>
    <row r="30" spans="1:11" x14ac:dyDescent="0.3">
      <c r="A30" s="19" t="s">
        <v>68</v>
      </c>
      <c r="B30" s="17"/>
      <c r="C30" s="17"/>
      <c r="D30" s="34"/>
      <c r="G30" s="5"/>
    </row>
    <row r="31" spans="1:11" x14ac:dyDescent="0.3">
      <c r="A31" s="19" t="s">
        <v>44</v>
      </c>
      <c r="B31" s="17"/>
      <c r="C31" s="17"/>
      <c r="D31" s="34"/>
      <c r="G31" s="5"/>
    </row>
    <row r="32" spans="1:11" x14ac:dyDescent="0.3">
      <c r="A32" s="19" t="s">
        <v>45</v>
      </c>
      <c r="B32" s="17"/>
      <c r="C32" s="17"/>
      <c r="D32" s="34"/>
      <c r="G32" s="5"/>
    </row>
    <row r="33" spans="1:11" s="9" customFormat="1" x14ac:dyDescent="0.3">
      <c r="A33" s="19" t="s">
        <v>72</v>
      </c>
      <c r="B33" s="30">
        <v>212895</v>
      </c>
      <c r="C33" s="30">
        <v>239836</v>
      </c>
      <c r="D33" s="17">
        <f>IF(B33&lt;&gt;0,(C33-B33)/B33,0)</f>
        <v>0.12654594988139695</v>
      </c>
      <c r="F33" s="5"/>
      <c r="G33" s="5"/>
      <c r="H33" s="5"/>
      <c r="I33" s="5"/>
      <c r="J33" s="5"/>
      <c r="K33" s="5"/>
    </row>
    <row r="34" spans="1:11" x14ac:dyDescent="0.3">
      <c r="A34" s="19" t="s">
        <v>5</v>
      </c>
      <c r="B34" s="14">
        <v>0</v>
      </c>
      <c r="C34" s="14">
        <v>1579</v>
      </c>
      <c r="D34" s="17">
        <f t="shared" ref="D34:D44" si="2">IF(B34&lt;&gt;0,(C34-B34)/B34,0)</f>
        <v>0</v>
      </c>
      <c r="G34" s="5"/>
    </row>
    <row r="35" spans="1:11" s="9" customFormat="1" x14ac:dyDescent="0.3">
      <c r="A35" s="19" t="s">
        <v>57</v>
      </c>
      <c r="B35" s="14">
        <v>12979</v>
      </c>
      <c r="C35" s="14">
        <v>30953</v>
      </c>
      <c r="D35" s="17">
        <f t="shared" si="2"/>
        <v>1.3848524539640958</v>
      </c>
      <c r="F35" s="5"/>
      <c r="G35" s="5"/>
      <c r="H35" s="5"/>
      <c r="I35" s="5"/>
      <c r="J35" s="5"/>
      <c r="K35" s="5"/>
    </row>
    <row r="36" spans="1:11" s="9" customFormat="1" x14ac:dyDescent="0.3">
      <c r="A36" s="19" t="s">
        <v>56</v>
      </c>
      <c r="B36" s="14">
        <v>10094</v>
      </c>
      <c r="C36" s="14">
        <v>13131</v>
      </c>
      <c r="D36" s="17">
        <f t="shared" si="2"/>
        <v>0.30087180503269267</v>
      </c>
      <c r="F36" s="5"/>
      <c r="G36" s="5"/>
      <c r="H36" s="5"/>
      <c r="I36" s="5"/>
      <c r="J36" s="5"/>
      <c r="K36" s="5"/>
    </row>
    <row r="37" spans="1:11" s="9" customFormat="1" x14ac:dyDescent="0.3">
      <c r="A37" s="35" t="s">
        <v>4</v>
      </c>
      <c r="B37" s="30">
        <f>SUM(B33:B36)</f>
        <v>235968</v>
      </c>
      <c r="C37" s="30">
        <f>SUM(C33:C36)</f>
        <v>285499</v>
      </c>
      <c r="D37" s="17">
        <f t="shared" si="2"/>
        <v>0.20990558041768376</v>
      </c>
      <c r="F37" s="5"/>
      <c r="G37" s="5"/>
      <c r="H37" s="5"/>
      <c r="I37" s="5"/>
      <c r="J37" s="5"/>
      <c r="K37" s="5"/>
    </row>
    <row r="38" spans="1:11" x14ac:dyDescent="0.3">
      <c r="A38" s="19" t="s">
        <v>58</v>
      </c>
      <c r="B38" s="14">
        <v>-8740</v>
      </c>
      <c r="C38" s="14">
        <v>-11563</v>
      </c>
      <c r="D38" s="17">
        <f t="shared" si="2"/>
        <v>0.32299771167048053</v>
      </c>
      <c r="G38" s="5"/>
    </row>
    <row r="39" spans="1:11" s="9" customFormat="1" x14ac:dyDescent="0.3">
      <c r="A39" s="35" t="s">
        <v>42</v>
      </c>
      <c r="B39" s="30">
        <f>SUM(B37:B38)</f>
        <v>227228</v>
      </c>
      <c r="C39" s="30">
        <f>SUM(C37:C38)</f>
        <v>273936</v>
      </c>
      <c r="D39" s="17">
        <f t="shared" si="2"/>
        <v>0.20555565335257978</v>
      </c>
      <c r="F39" s="5"/>
      <c r="G39" s="5"/>
      <c r="H39" s="5"/>
      <c r="I39" s="5"/>
      <c r="J39" s="5"/>
      <c r="K39" s="5"/>
    </row>
    <row r="40" spans="1:11" s="9" customFormat="1" x14ac:dyDescent="0.3">
      <c r="A40" s="19" t="s">
        <v>10</v>
      </c>
      <c r="B40" s="14">
        <v>214.21695600000001</v>
      </c>
      <c r="C40" s="14">
        <v>7839</v>
      </c>
      <c r="D40" s="17">
        <f t="shared" si="2"/>
        <v>35.59374190715323</v>
      </c>
      <c r="F40" s="5"/>
      <c r="G40" s="5"/>
      <c r="H40" s="5"/>
      <c r="I40" s="5"/>
      <c r="J40" s="5"/>
      <c r="K40" s="5"/>
    </row>
    <row r="41" spans="1:11" x14ac:dyDescent="0.3">
      <c r="A41" s="19" t="s">
        <v>13</v>
      </c>
      <c r="B41" s="14">
        <v>-1741.084503</v>
      </c>
      <c r="C41" s="14">
        <v>-1496</v>
      </c>
      <c r="D41" s="17">
        <f t="shared" si="2"/>
        <v>-0.14076542670829806</v>
      </c>
      <c r="G41" s="5"/>
    </row>
    <row r="42" spans="1:11" s="9" customFormat="1" x14ac:dyDescent="0.3">
      <c r="A42" s="35" t="s">
        <v>43</v>
      </c>
      <c r="B42" s="30">
        <f>SUM(B39:B41)</f>
        <v>225701.132453</v>
      </c>
      <c r="C42" s="30">
        <f>SUM(C39:C41)</f>
        <v>280279</v>
      </c>
      <c r="D42" s="17">
        <f t="shared" si="2"/>
        <v>0.24181477050570535</v>
      </c>
      <c r="F42" s="5"/>
      <c r="G42" s="5"/>
      <c r="H42" s="5"/>
      <c r="I42" s="5"/>
      <c r="J42" s="5"/>
      <c r="K42" s="5"/>
    </row>
    <row r="43" spans="1:11" x14ac:dyDescent="0.3">
      <c r="A43" s="19" t="s">
        <v>15</v>
      </c>
      <c r="B43" s="14">
        <v>-205</v>
      </c>
      <c r="C43" s="14">
        <v>-1876</v>
      </c>
      <c r="D43" s="17">
        <f t="shared" si="2"/>
        <v>8.1512195121951212</v>
      </c>
      <c r="G43" s="5"/>
    </row>
    <row r="44" spans="1:11" ht="15.75" thickBot="1" x14ac:dyDescent="0.35">
      <c r="A44" s="36" t="s">
        <v>17</v>
      </c>
      <c r="B44" s="37">
        <f>SUM(B42:B43)</f>
        <v>225496.132453</v>
      </c>
      <c r="C44" s="37">
        <f>SUM(C42:C43)</f>
        <v>278403</v>
      </c>
      <c r="D44" s="45">
        <f t="shared" si="2"/>
        <v>0.2346242792347108</v>
      </c>
      <c r="G44" s="5"/>
    </row>
    <row r="45" spans="1:11" x14ac:dyDescent="0.3">
      <c r="G45" s="5"/>
    </row>
    <row r="46" spans="1:11" x14ac:dyDescent="0.3">
      <c r="A46" s="19"/>
      <c r="D46" s="17"/>
      <c r="G46" s="5"/>
    </row>
  </sheetData>
  <pageMargins left="0.70866141732283472" right="0.43307086614173229" top="0.47244094488188981" bottom="0.39370078740157483" header="0.31496062992125984" footer="0.18"/>
  <pageSetup orientation="portrait" r:id="rId1"/>
  <headerFooter>
    <oddFooter>&amp;L&amp;A</oddFooter>
  </headerFooter>
  <customProperties>
    <customPr name="_pios_id" r:id="rId2"/>
  </customPropertie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8"/>
  <sheetViews>
    <sheetView topLeftCell="A30" workbookViewId="0">
      <selection activeCell="I39" sqref="I39"/>
    </sheetView>
  </sheetViews>
  <sheetFormatPr baseColWidth="10" defaultColWidth="11.42578125" defaultRowHeight="15" x14ac:dyDescent="0.3"/>
  <cols>
    <col min="1" max="1" width="43.42578125" style="5" customWidth="1"/>
    <col min="2" max="3" width="11.7109375" style="2" bestFit="1" customWidth="1"/>
    <col min="4" max="4" width="13.28515625" style="3" bestFit="1" customWidth="1"/>
    <col min="5" max="5" width="11.5703125" style="3" bestFit="1" customWidth="1"/>
    <col min="6" max="6" width="9.28515625" style="4" bestFit="1" customWidth="1"/>
    <col min="7" max="7" width="8.28515625" style="5" customWidth="1"/>
    <col min="8" max="8" width="12.42578125" style="5" bestFit="1" customWidth="1"/>
    <col min="9" max="9" width="8.5703125" style="5" bestFit="1" customWidth="1"/>
    <col min="10" max="10" width="12.42578125" style="5" bestFit="1" customWidth="1"/>
    <col min="11" max="11" width="8.5703125" style="5" bestFit="1" customWidth="1"/>
    <col min="12" max="16384" width="11.42578125" style="5"/>
  </cols>
  <sheetData>
    <row r="1" spans="1:7" x14ac:dyDescent="0.3">
      <c r="A1" s="38" t="s">
        <v>40</v>
      </c>
      <c r="E1" s="21"/>
    </row>
    <row r="2" spans="1:7" x14ac:dyDescent="0.3">
      <c r="A2" s="38" t="s">
        <v>67</v>
      </c>
      <c r="E2" s="21"/>
    </row>
    <row r="3" spans="1:7" x14ac:dyDescent="0.3">
      <c r="A3" s="24" t="s">
        <v>44</v>
      </c>
      <c r="D3" s="17"/>
      <c r="E3" s="21"/>
    </row>
    <row r="4" spans="1:7" x14ac:dyDescent="0.3">
      <c r="A4" s="24" t="s">
        <v>45</v>
      </c>
      <c r="E4" s="21"/>
      <c r="G4" s="66"/>
    </row>
    <row r="5" spans="1:7" x14ac:dyDescent="0.3">
      <c r="E5" s="21"/>
      <c r="G5" s="66"/>
    </row>
    <row r="6" spans="1:7" x14ac:dyDescent="0.3">
      <c r="A6" s="6" t="s">
        <v>20</v>
      </c>
      <c r="B6" s="6">
        <v>2009</v>
      </c>
      <c r="C6" s="6">
        <v>2010</v>
      </c>
      <c r="D6" s="6" t="s">
        <v>46</v>
      </c>
      <c r="E6" s="21"/>
      <c r="G6" s="69"/>
    </row>
    <row r="7" spans="1:7" x14ac:dyDescent="0.3">
      <c r="A7" s="18" t="s">
        <v>21</v>
      </c>
      <c r="B7" s="14">
        <v>152572</v>
      </c>
      <c r="C7" s="14">
        <v>133389</v>
      </c>
      <c r="D7" s="17">
        <f t="shared" ref="D7:D16" si="0">+(C7-B7)/B7</f>
        <v>-0.12573080250635765</v>
      </c>
      <c r="E7" s="21"/>
      <c r="G7" s="67"/>
    </row>
    <row r="8" spans="1:7" x14ac:dyDescent="0.3">
      <c r="A8" s="18" t="s">
        <v>22</v>
      </c>
      <c r="B8" s="14">
        <v>335272</v>
      </c>
      <c r="C8" s="14">
        <f>330481</f>
        <v>330481</v>
      </c>
      <c r="D8" s="17">
        <f t="shared" si="0"/>
        <v>-1.4289889999761388E-2</v>
      </c>
      <c r="E8" s="21"/>
      <c r="G8" s="67"/>
    </row>
    <row r="9" spans="1:7" x14ac:dyDescent="0.3">
      <c r="A9" s="18" t="s">
        <v>23</v>
      </c>
      <c r="B9" s="14">
        <f>510929+12600</f>
        <v>523529</v>
      </c>
      <c r="C9" s="14">
        <f>568234+18022</f>
        <v>586256</v>
      </c>
      <c r="D9" s="17">
        <f t="shared" si="0"/>
        <v>0.11981571221460512</v>
      </c>
      <c r="E9" s="21"/>
      <c r="G9" s="67"/>
    </row>
    <row r="10" spans="1:7" x14ac:dyDescent="0.3">
      <c r="A10" s="18" t="s">
        <v>36</v>
      </c>
      <c r="B10" s="14">
        <v>494120</v>
      </c>
      <c r="C10" s="14">
        <v>553016</v>
      </c>
      <c r="D10" s="17">
        <f t="shared" si="0"/>
        <v>0.11919371812515178</v>
      </c>
      <c r="E10" s="21"/>
      <c r="G10" s="67"/>
    </row>
    <row r="11" spans="1:7" x14ac:dyDescent="0.3">
      <c r="A11" s="18" t="s">
        <v>60</v>
      </c>
      <c r="B11" s="14">
        <v>977261</v>
      </c>
      <c r="C11" s="14">
        <v>988793</v>
      </c>
      <c r="D11" s="17">
        <f t="shared" si="0"/>
        <v>1.1800327650443433E-2</v>
      </c>
      <c r="E11" s="21"/>
      <c r="G11" s="67"/>
    </row>
    <row r="12" spans="1:7" x14ac:dyDescent="0.3">
      <c r="A12" s="18" t="s">
        <v>47</v>
      </c>
      <c r="B12" s="14">
        <v>748013</v>
      </c>
      <c r="C12" s="14">
        <v>853564</v>
      </c>
      <c r="D12" s="17">
        <f t="shared" si="0"/>
        <v>0.14110851014621403</v>
      </c>
      <c r="E12" s="21"/>
      <c r="G12" s="67"/>
    </row>
    <row r="13" spans="1:7" x14ac:dyDescent="0.3">
      <c r="A13" s="18" t="s">
        <v>24</v>
      </c>
      <c r="B13" s="2">
        <f>24723+54623</f>
        <v>79346</v>
      </c>
      <c r="C13" s="14">
        <f>8089+58913</f>
        <v>67002</v>
      </c>
      <c r="D13" s="17">
        <f t="shared" si="0"/>
        <v>-0.15557179946059033</v>
      </c>
      <c r="E13" s="21"/>
      <c r="G13" s="67"/>
    </row>
    <row r="14" spans="1:7" x14ac:dyDescent="0.3">
      <c r="A14" s="18" t="s">
        <v>25</v>
      </c>
      <c r="B14" s="14">
        <f>742+18351+3</f>
        <v>19096</v>
      </c>
      <c r="C14" s="14">
        <f>15109+987+806</f>
        <v>16902</v>
      </c>
      <c r="D14" s="17">
        <f t="shared" si="0"/>
        <v>-0.11489317134478425</v>
      </c>
      <c r="E14" s="21"/>
      <c r="G14" s="67"/>
    </row>
    <row r="15" spans="1:7" x14ac:dyDescent="0.3">
      <c r="A15" s="18" t="s">
        <v>26</v>
      </c>
      <c r="B15" s="14">
        <v>3599917</v>
      </c>
      <c r="C15" s="14">
        <v>4555288</v>
      </c>
      <c r="D15" s="17">
        <f t="shared" si="0"/>
        <v>0.26538695197694834</v>
      </c>
      <c r="E15" s="21"/>
      <c r="G15" s="67"/>
    </row>
    <row r="16" spans="1:7" ht="15.75" thickBot="1" x14ac:dyDescent="0.35">
      <c r="A16" s="26" t="s">
        <v>27</v>
      </c>
      <c r="B16" s="27">
        <f>SUM(B7:B15)</f>
        <v>6929126</v>
      </c>
      <c r="C16" s="27">
        <f>SUM(C7:C15)</f>
        <v>8084691</v>
      </c>
      <c r="D16" s="45">
        <f t="shared" si="0"/>
        <v>0.16676922890419368</v>
      </c>
      <c r="E16" s="21"/>
      <c r="G16" s="68"/>
    </row>
    <row r="17" spans="1:7" x14ac:dyDescent="0.3">
      <c r="A17" s="1"/>
      <c r="E17" s="21"/>
      <c r="G17" s="67"/>
    </row>
    <row r="18" spans="1:7" x14ac:dyDescent="0.3">
      <c r="A18" s="6" t="s">
        <v>48</v>
      </c>
      <c r="B18" s="6">
        <v>2009</v>
      </c>
      <c r="C18" s="6">
        <v>2010</v>
      </c>
      <c r="D18" s="6" t="s">
        <v>46</v>
      </c>
      <c r="E18" s="21"/>
      <c r="G18" s="69"/>
    </row>
    <row r="19" spans="1:7" x14ac:dyDescent="0.3">
      <c r="A19" s="18" t="s">
        <v>28</v>
      </c>
      <c r="B19" s="14">
        <f>210544+804613</f>
        <v>1015157</v>
      </c>
      <c r="C19" s="14">
        <f>259639+866687</f>
        <v>1126326</v>
      </c>
      <c r="D19" s="17">
        <f t="shared" ref="D19:D30" si="1">+(C19-B19)/B19</f>
        <v>0.10950916951762141</v>
      </c>
      <c r="E19" s="21"/>
      <c r="G19" s="67"/>
    </row>
    <row r="20" spans="1:7" x14ac:dyDescent="0.3">
      <c r="A20" s="18" t="s">
        <v>49</v>
      </c>
      <c r="B20" s="14">
        <v>124270</v>
      </c>
      <c r="C20" s="14">
        <v>165155</v>
      </c>
      <c r="D20" s="17">
        <f t="shared" si="1"/>
        <v>0.3290013679890561</v>
      </c>
      <c r="E20" s="21"/>
      <c r="G20" s="67"/>
    </row>
    <row r="21" spans="1:7" x14ac:dyDescent="0.3">
      <c r="A21" s="18" t="s">
        <v>38</v>
      </c>
      <c r="B21" s="14">
        <f>138138+3475</f>
        <v>141613</v>
      </c>
      <c r="C21" s="14">
        <f>208876+162</f>
        <v>209038</v>
      </c>
      <c r="D21" s="17">
        <f t="shared" si="1"/>
        <v>0.47612154251375227</v>
      </c>
      <c r="E21" s="21"/>
      <c r="G21" s="67"/>
    </row>
    <row r="22" spans="1:7" x14ac:dyDescent="0.3">
      <c r="A22" s="18" t="s">
        <v>30</v>
      </c>
      <c r="B22" s="14">
        <v>78144</v>
      </c>
      <c r="C22" s="14">
        <v>68247</v>
      </c>
      <c r="D22" s="17">
        <f t="shared" si="1"/>
        <v>-0.12665079852579852</v>
      </c>
      <c r="E22" s="21"/>
      <c r="G22" s="67"/>
    </row>
    <row r="23" spans="1:7" x14ac:dyDescent="0.3">
      <c r="A23" s="18" t="s">
        <v>31</v>
      </c>
      <c r="B23" s="14">
        <v>84236</v>
      </c>
      <c r="C23" s="14">
        <f>78624+9763</f>
        <v>88387</v>
      </c>
      <c r="D23" s="17">
        <f t="shared" si="1"/>
        <v>4.9278218338952469E-2</v>
      </c>
      <c r="E23" s="21"/>
      <c r="G23" s="67"/>
    </row>
    <row r="24" spans="1:7" x14ac:dyDescent="0.3">
      <c r="A24" s="18" t="s">
        <v>32</v>
      </c>
      <c r="B24" s="14">
        <v>33316</v>
      </c>
      <c r="C24" s="14">
        <f>11540+20111</f>
        <v>31651</v>
      </c>
      <c r="D24" s="17">
        <f t="shared" si="1"/>
        <v>-4.9975987513507021E-2</v>
      </c>
      <c r="E24" s="21"/>
      <c r="G24" s="67"/>
    </row>
    <row r="25" spans="1:7" x14ac:dyDescent="0.3">
      <c r="A25" s="18" t="s">
        <v>24</v>
      </c>
      <c r="B25" s="14">
        <v>59601</v>
      </c>
      <c r="C25" s="14">
        <v>58990</v>
      </c>
      <c r="D25" s="17">
        <f t="shared" si="1"/>
        <v>-1.0251505847217329E-2</v>
      </c>
      <c r="E25" s="21"/>
      <c r="G25" s="67"/>
    </row>
    <row r="26" spans="1:7" x14ac:dyDescent="0.3">
      <c r="A26" s="18" t="s">
        <v>0</v>
      </c>
      <c r="B26" s="14">
        <v>2549</v>
      </c>
      <c r="C26" s="14">
        <v>1983</v>
      </c>
      <c r="D26" s="17">
        <f t="shared" si="1"/>
        <v>-0.22204786190663006</v>
      </c>
      <c r="E26" s="21"/>
      <c r="G26" s="67"/>
    </row>
    <row r="27" spans="1:7" x14ac:dyDescent="0.3">
      <c r="A27" s="18" t="s">
        <v>33</v>
      </c>
      <c r="B27" s="14">
        <f>SUM(B19:B26)</f>
        <v>1538886</v>
      </c>
      <c r="C27" s="14">
        <f>SUM(C19:C26)</f>
        <v>1749777</v>
      </c>
      <c r="D27" s="17">
        <f t="shared" si="1"/>
        <v>0.13704134029421283</v>
      </c>
      <c r="E27" s="21"/>
      <c r="G27" s="67"/>
    </row>
    <row r="28" spans="1:7" x14ac:dyDescent="0.3">
      <c r="A28" s="18" t="s">
        <v>39</v>
      </c>
      <c r="B28" s="14">
        <v>3611</v>
      </c>
      <c r="C28" s="14">
        <v>11268</v>
      </c>
      <c r="D28" s="17">
        <f t="shared" si="1"/>
        <v>2.1204652450844641</v>
      </c>
      <c r="E28" s="21"/>
      <c r="G28" s="67"/>
    </row>
    <row r="29" spans="1:7" ht="15.75" thickBot="1" x14ac:dyDescent="0.35">
      <c r="A29" s="26" t="s">
        <v>34</v>
      </c>
      <c r="B29" s="27">
        <v>5386629</v>
      </c>
      <c r="C29" s="27">
        <v>6323646</v>
      </c>
      <c r="D29" s="45">
        <f t="shared" si="1"/>
        <v>0.17395239211759339</v>
      </c>
      <c r="E29" s="21"/>
      <c r="G29" s="68"/>
    </row>
    <row r="30" spans="1:7" ht="15.75" thickBot="1" x14ac:dyDescent="0.35">
      <c r="A30" s="26" t="s">
        <v>81</v>
      </c>
      <c r="B30" s="27">
        <f>+B27+B28+B29</f>
        <v>6929126</v>
      </c>
      <c r="C30" s="27">
        <f>+C27+C28+C29</f>
        <v>8084691</v>
      </c>
      <c r="D30" s="45">
        <f t="shared" si="1"/>
        <v>0.16676922890419368</v>
      </c>
      <c r="E30" s="21"/>
      <c r="G30" s="68"/>
    </row>
    <row r="31" spans="1:7" x14ac:dyDescent="0.3">
      <c r="A31" s="19"/>
      <c r="B31" s="14"/>
      <c r="C31" s="14"/>
      <c r="D31" s="17"/>
      <c r="E31" s="21"/>
    </row>
    <row r="32" spans="1:7" x14ac:dyDescent="0.3">
      <c r="A32" s="41" t="s">
        <v>3</v>
      </c>
      <c r="B32" s="14"/>
      <c r="C32" s="14"/>
      <c r="D32" s="17"/>
    </row>
    <row r="33" spans="1:13" x14ac:dyDescent="0.3">
      <c r="A33" s="41" t="s">
        <v>68</v>
      </c>
      <c r="B33" s="14"/>
      <c r="C33" s="14"/>
      <c r="D33" s="17"/>
    </row>
    <row r="34" spans="1:13" x14ac:dyDescent="0.3">
      <c r="A34" s="41" t="s">
        <v>44</v>
      </c>
      <c r="B34" s="14"/>
      <c r="C34" s="14"/>
      <c r="D34" s="17"/>
    </row>
    <row r="35" spans="1:13" x14ac:dyDescent="0.3">
      <c r="A35" s="41" t="s">
        <v>45</v>
      </c>
      <c r="B35" s="14"/>
      <c r="C35" s="14"/>
      <c r="D35" s="17"/>
    </row>
    <row r="36" spans="1:13" x14ac:dyDescent="0.3">
      <c r="A36" s="6"/>
      <c r="B36" s="6">
        <v>2009</v>
      </c>
      <c r="C36" s="6" t="s">
        <v>55</v>
      </c>
      <c r="D36" s="6">
        <v>2010</v>
      </c>
      <c r="E36" s="6" t="s">
        <v>55</v>
      </c>
      <c r="F36" s="6" t="s">
        <v>46</v>
      </c>
    </row>
    <row r="37" spans="1:13" s="9" customFormat="1" x14ac:dyDescent="0.3">
      <c r="A37" s="30" t="s">
        <v>4</v>
      </c>
      <c r="B37" s="50">
        <v>4588366</v>
      </c>
      <c r="C37" s="42">
        <f t="shared" ref="C37:C55" si="2">+B37/$B$37</f>
        <v>1</v>
      </c>
      <c r="D37" s="50">
        <v>4458858</v>
      </c>
      <c r="E37" s="42">
        <f>+D37/$D$37</f>
        <v>1</v>
      </c>
      <c r="F37" s="42">
        <f t="shared" ref="F37:F55" si="3">+(D37-B37)/B37</f>
        <v>-2.8225298504957974E-2</v>
      </c>
      <c r="H37" s="5"/>
      <c r="I37" s="5"/>
      <c r="J37" s="5"/>
      <c r="K37" s="5"/>
      <c r="L37" s="5"/>
      <c r="M37" s="5"/>
    </row>
    <row r="38" spans="1:13" x14ac:dyDescent="0.3">
      <c r="A38" s="14" t="s">
        <v>50</v>
      </c>
      <c r="B38" s="51">
        <v>-2818189</v>
      </c>
      <c r="C38" s="17">
        <f t="shared" si="2"/>
        <v>-0.61420318257087603</v>
      </c>
      <c r="D38" s="51">
        <v>-2709521</v>
      </c>
      <c r="E38" s="17">
        <f>+D38/$D$37</f>
        <v>-0.6076715158903917</v>
      </c>
      <c r="F38" s="17">
        <f t="shared" si="3"/>
        <v>-3.8559514638656242E-2</v>
      </c>
    </row>
    <row r="39" spans="1:13" s="9" customFormat="1" x14ac:dyDescent="0.3">
      <c r="A39" s="30" t="s">
        <v>6</v>
      </c>
      <c r="B39" s="30">
        <f>SUM(B37:B38)</f>
        <v>1770177</v>
      </c>
      <c r="C39" s="42">
        <f t="shared" si="2"/>
        <v>0.38579681742912403</v>
      </c>
      <c r="D39" s="30">
        <f>SUM(D37:D38)</f>
        <v>1749337</v>
      </c>
      <c r="E39" s="42">
        <f t="shared" ref="E39:E55" si="4">+D39/$D$37</f>
        <v>0.39232848410960836</v>
      </c>
      <c r="F39" s="42">
        <f t="shared" si="3"/>
        <v>-1.1772834016033426E-2</v>
      </c>
      <c r="H39" s="5"/>
      <c r="I39" s="5"/>
      <c r="J39" s="5"/>
      <c r="K39" s="5"/>
      <c r="L39" s="5"/>
      <c r="M39" s="5"/>
    </row>
    <row r="40" spans="1:13" x14ac:dyDescent="0.3">
      <c r="A40" s="14" t="s">
        <v>7</v>
      </c>
      <c r="B40" s="14">
        <v>-218875</v>
      </c>
      <c r="C40" s="17">
        <f t="shared" si="2"/>
        <v>-4.7702166740839769E-2</v>
      </c>
      <c r="D40" s="14">
        <v>-212941</v>
      </c>
      <c r="E40" s="17">
        <f t="shared" si="4"/>
        <v>-4.7756847156828049E-2</v>
      </c>
      <c r="F40" s="17">
        <f t="shared" si="3"/>
        <v>-2.7111364934323243E-2</v>
      </c>
    </row>
    <row r="41" spans="1:13" x14ac:dyDescent="0.3">
      <c r="A41" s="14" t="s">
        <v>8</v>
      </c>
      <c r="B41" s="14">
        <v>-1102578</v>
      </c>
      <c r="C41" s="17">
        <f t="shared" si="2"/>
        <v>-0.24029861610865394</v>
      </c>
      <c r="D41" s="14">
        <v>-1103652</v>
      </c>
      <c r="E41" s="17">
        <f t="shared" si="4"/>
        <v>-0.24751898356036456</v>
      </c>
      <c r="F41" s="17">
        <f t="shared" si="3"/>
        <v>9.7408074530781492E-4</v>
      </c>
    </row>
    <row r="42" spans="1:13" s="9" customFormat="1" x14ac:dyDescent="0.3">
      <c r="A42" s="30" t="s">
        <v>9</v>
      </c>
      <c r="B42" s="30">
        <f>SUM(B40:B41)</f>
        <v>-1321453</v>
      </c>
      <c r="C42" s="42">
        <f t="shared" si="2"/>
        <v>-0.28800078284949371</v>
      </c>
      <c r="D42" s="30">
        <f>SUM(D40:D41)</f>
        <v>-1316593</v>
      </c>
      <c r="E42" s="42">
        <f t="shared" si="4"/>
        <v>-0.2952758307171926</v>
      </c>
      <c r="F42" s="42">
        <f t="shared" si="3"/>
        <v>-3.6777698487952277E-3</v>
      </c>
      <c r="H42" s="5"/>
      <c r="I42" s="5"/>
      <c r="J42" s="5"/>
      <c r="K42" s="5"/>
      <c r="L42" s="5"/>
      <c r="M42" s="5"/>
    </row>
    <row r="43" spans="1:13" s="9" customFormat="1" x14ac:dyDescent="0.3">
      <c r="A43" s="30" t="s">
        <v>1</v>
      </c>
      <c r="B43" s="30">
        <f>+B39+B42</f>
        <v>448724</v>
      </c>
      <c r="C43" s="42">
        <f t="shared" si="2"/>
        <v>9.7796034579630306E-2</v>
      </c>
      <c r="D43" s="30">
        <f>+D39+D42</f>
        <v>432744</v>
      </c>
      <c r="E43" s="42">
        <f t="shared" si="4"/>
        <v>9.7052653392415728E-2</v>
      </c>
      <c r="F43" s="42">
        <f t="shared" si="3"/>
        <v>-3.5612091174084738E-2</v>
      </c>
      <c r="H43" s="5"/>
      <c r="I43" s="5"/>
      <c r="J43" s="5"/>
      <c r="K43" s="5"/>
      <c r="L43" s="5"/>
      <c r="M43" s="5"/>
    </row>
    <row r="44" spans="1:13" x14ac:dyDescent="0.3">
      <c r="A44" s="14" t="s">
        <v>51</v>
      </c>
      <c r="B44" s="14">
        <v>9537</v>
      </c>
      <c r="C44" s="17">
        <f t="shared" si="2"/>
        <v>2.078517711969795E-3</v>
      </c>
      <c r="D44" s="14">
        <v>7426</v>
      </c>
      <c r="E44" s="17">
        <f t="shared" si="4"/>
        <v>1.6654488660549406E-3</v>
      </c>
      <c r="F44" s="17">
        <f t="shared" si="3"/>
        <v>-0.22134843242109678</v>
      </c>
    </row>
    <row r="45" spans="1:13" x14ac:dyDescent="0.3">
      <c r="A45" s="14" t="s">
        <v>11</v>
      </c>
      <c r="B45" s="14">
        <f>-80314-23017</f>
        <v>-103331</v>
      </c>
      <c r="C45" s="17">
        <f t="shared" si="2"/>
        <v>-2.2520217436882761E-2</v>
      </c>
      <c r="D45" s="14">
        <v>-79867</v>
      </c>
      <c r="E45" s="17">
        <f t="shared" si="4"/>
        <v>-1.7911985535309715E-2</v>
      </c>
      <c r="F45" s="17">
        <f t="shared" si="3"/>
        <v>-0.2270760952666673</v>
      </c>
    </row>
    <row r="46" spans="1:13" x14ac:dyDescent="0.3">
      <c r="A46" s="14" t="s">
        <v>12</v>
      </c>
      <c r="B46" s="14">
        <f>15641-17428</f>
        <v>-1787</v>
      </c>
      <c r="C46" s="17">
        <f t="shared" si="2"/>
        <v>-3.894632642644462E-4</v>
      </c>
      <c r="D46" s="14">
        <v>-28268</v>
      </c>
      <c r="E46" s="17">
        <f t="shared" si="4"/>
        <v>-6.3397399064962371E-3</v>
      </c>
      <c r="F46" s="17">
        <f t="shared" si="3"/>
        <v>14.818690542809177</v>
      </c>
    </row>
    <row r="47" spans="1:13" x14ac:dyDescent="0.3">
      <c r="A47" s="14" t="s">
        <v>52</v>
      </c>
      <c r="B47" s="14">
        <v>-89202</v>
      </c>
      <c r="C47" s="17">
        <f t="shared" si="2"/>
        <v>-1.9440907721833874E-2</v>
      </c>
      <c r="D47" s="14">
        <v>-23551</v>
      </c>
      <c r="E47" s="17">
        <f t="shared" si="4"/>
        <v>-5.2818457102693115E-3</v>
      </c>
      <c r="F47" s="17">
        <f t="shared" si="3"/>
        <v>-0.73598125602564968</v>
      </c>
    </row>
    <row r="48" spans="1:13" x14ac:dyDescent="0.3">
      <c r="A48" s="14" t="s">
        <v>14</v>
      </c>
      <c r="B48" s="14">
        <v>28975</v>
      </c>
      <c r="C48" s="17">
        <f t="shared" si="2"/>
        <v>6.3148842093241906E-3</v>
      </c>
      <c r="D48" s="14">
        <v>30996</v>
      </c>
      <c r="E48" s="17">
        <f t="shared" si="4"/>
        <v>6.9515557571019305E-3</v>
      </c>
      <c r="F48" s="17">
        <f t="shared" si="3"/>
        <v>6.9749784296807588E-2</v>
      </c>
    </row>
    <row r="49" spans="1:13" x14ac:dyDescent="0.3">
      <c r="A49" s="14" t="s">
        <v>16</v>
      </c>
      <c r="B49" s="14">
        <v>2124</v>
      </c>
      <c r="C49" s="17">
        <f t="shared" si="2"/>
        <v>4.6290988992595623E-4</v>
      </c>
      <c r="D49" s="14">
        <v>1514</v>
      </c>
      <c r="E49" s="17">
        <f t="shared" si="4"/>
        <v>3.3954882617925935E-4</v>
      </c>
      <c r="F49" s="17">
        <f t="shared" si="3"/>
        <v>-0.2871939736346516</v>
      </c>
    </row>
    <row r="50" spans="1:13" s="9" customFormat="1" x14ac:dyDescent="0.3">
      <c r="A50" s="30" t="s">
        <v>2</v>
      </c>
      <c r="B50" s="30">
        <f>SUM(B44:B49)</f>
        <v>-153684</v>
      </c>
      <c r="C50" s="42">
        <f t="shared" si="2"/>
        <v>-3.3494276611761138E-2</v>
      </c>
      <c r="D50" s="30">
        <f>SUM(D44:D49)</f>
        <v>-91750</v>
      </c>
      <c r="E50" s="42">
        <f t="shared" si="4"/>
        <v>-2.057701770273913E-2</v>
      </c>
      <c r="F50" s="42">
        <f t="shared" si="3"/>
        <v>-0.40299575752843497</v>
      </c>
      <c r="H50" s="5"/>
      <c r="I50" s="5"/>
      <c r="J50" s="5"/>
      <c r="K50" s="5"/>
      <c r="L50" s="5"/>
      <c r="M50" s="5"/>
    </row>
    <row r="51" spans="1:13" s="9" customFormat="1" x14ac:dyDescent="0.3">
      <c r="A51" s="30" t="s">
        <v>41</v>
      </c>
      <c r="B51" s="30">
        <f>+B43+B50</f>
        <v>295040</v>
      </c>
      <c r="C51" s="42">
        <f t="shared" si="2"/>
        <v>6.4301757967869175E-2</v>
      </c>
      <c r="D51" s="30">
        <f>+D43+D50</f>
        <v>340994</v>
      </c>
      <c r="E51" s="42">
        <f t="shared" si="4"/>
        <v>7.6475635689676594E-2</v>
      </c>
      <c r="F51" s="42">
        <f t="shared" si="3"/>
        <v>0.15575515184381777</v>
      </c>
      <c r="H51" s="5"/>
      <c r="I51" s="5"/>
      <c r="J51" s="5"/>
      <c r="K51" s="5"/>
      <c r="L51" s="5"/>
      <c r="M51" s="5"/>
    </row>
    <row r="52" spans="1:13" x14ac:dyDescent="0.3">
      <c r="A52" s="14" t="s">
        <v>15</v>
      </c>
      <c r="B52" s="14">
        <f>-77390-3919</f>
        <v>-81309</v>
      </c>
      <c r="C52" s="17">
        <f t="shared" si="2"/>
        <v>-1.7720687495286994E-2</v>
      </c>
      <c r="D52" s="14">
        <v>-76993</v>
      </c>
      <c r="E52" s="17">
        <f t="shared" si="4"/>
        <v>-1.7267425874517645E-2</v>
      </c>
      <c r="F52" s="17">
        <f t="shared" si="3"/>
        <v>-5.3081454697511958E-2</v>
      </c>
    </row>
    <row r="53" spans="1:13" x14ac:dyDescent="0.3">
      <c r="A53" s="14" t="s">
        <v>18</v>
      </c>
      <c r="B53" s="14">
        <v>-457</v>
      </c>
      <c r="C53" s="17">
        <f t="shared" si="2"/>
        <v>-9.9599726787270238E-5</v>
      </c>
      <c r="D53" s="14">
        <v>-762</v>
      </c>
      <c r="E53" s="17">
        <f t="shared" si="4"/>
        <v>-1.7089577645217676E-4</v>
      </c>
      <c r="F53" s="17">
        <f t="shared" si="3"/>
        <v>0.66739606126914663</v>
      </c>
    </row>
    <row r="54" spans="1:13" s="9" customFormat="1" x14ac:dyDescent="0.3">
      <c r="A54" s="43" t="s">
        <v>17</v>
      </c>
      <c r="B54" s="43">
        <f>+B51+B52+B53</f>
        <v>213274</v>
      </c>
      <c r="C54" s="44">
        <f t="shared" si="2"/>
        <v>4.6481470745794909E-2</v>
      </c>
      <c r="D54" s="43">
        <f>+D51+D52+D53</f>
        <v>263239</v>
      </c>
      <c r="E54" s="44">
        <f t="shared" si="4"/>
        <v>5.9037314038706774E-2</v>
      </c>
      <c r="F54" s="44">
        <f t="shared" si="3"/>
        <v>0.2342760955390718</v>
      </c>
      <c r="H54" s="5"/>
      <c r="I54" s="5"/>
      <c r="J54" s="5"/>
      <c r="K54" s="5"/>
      <c r="L54" s="5"/>
      <c r="M54" s="5"/>
    </row>
    <row r="55" spans="1:13" s="9" customFormat="1" ht="15.75" thickBot="1" x14ac:dyDescent="0.35">
      <c r="A55" s="27" t="s">
        <v>19</v>
      </c>
      <c r="B55" s="27">
        <v>551034</v>
      </c>
      <c r="C55" s="45">
        <f t="shared" si="2"/>
        <v>0.12009373271443473</v>
      </c>
      <c r="D55" s="27">
        <v>538165</v>
      </c>
      <c r="E55" s="45">
        <f t="shared" si="4"/>
        <v>0.12069570280103112</v>
      </c>
      <c r="F55" s="45">
        <f t="shared" si="3"/>
        <v>-2.3354275779715952E-2</v>
      </c>
      <c r="H55" s="5"/>
      <c r="I55" s="5"/>
      <c r="J55" s="5"/>
      <c r="K55" s="5"/>
      <c r="L55" s="5"/>
      <c r="M55" s="5"/>
    </row>
    <row r="56" spans="1:13" x14ac:dyDescent="0.3">
      <c r="A56" s="2"/>
      <c r="C56" s="3"/>
      <c r="D56" s="10"/>
    </row>
    <row r="57" spans="1:13" x14ac:dyDescent="0.3">
      <c r="A57" s="19"/>
      <c r="B57" s="14"/>
      <c r="C57" s="17"/>
      <c r="D57" s="10"/>
    </row>
    <row r="58" spans="1:13" x14ac:dyDescent="0.3">
      <c r="D58" s="10"/>
    </row>
  </sheetData>
  <pageMargins left="0.7" right="0.7" top="0.75" bottom="0.75" header="0.3" footer="0.3"/>
  <customProperties>
    <customPr name="_pios_id" r:id="rId1"/>
  </customPropertie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44"/>
  <sheetViews>
    <sheetView zoomScale="86" zoomScaleNormal="86" workbookViewId="0">
      <selection sqref="A1:IV65536"/>
    </sheetView>
  </sheetViews>
  <sheetFormatPr baseColWidth="10" defaultColWidth="11.42578125" defaultRowHeight="15" x14ac:dyDescent="0.3"/>
  <cols>
    <col min="1" max="1" width="43.7109375" style="5" customWidth="1"/>
    <col min="2" max="3" width="11.7109375" style="2" bestFit="1" customWidth="1"/>
    <col min="4" max="4" width="13.28515625" style="3" bestFit="1" customWidth="1"/>
    <col min="5" max="16384" width="11.42578125" style="5"/>
  </cols>
  <sheetData>
    <row r="1" spans="1:6" x14ac:dyDescent="0.3">
      <c r="A1" s="24" t="s">
        <v>69</v>
      </c>
    </row>
    <row r="2" spans="1:6" x14ac:dyDescent="0.3">
      <c r="A2" s="24" t="s">
        <v>76</v>
      </c>
    </row>
    <row r="3" spans="1:6" x14ac:dyDescent="0.3">
      <c r="A3" s="24" t="s">
        <v>44</v>
      </c>
    </row>
    <row r="4" spans="1:6" x14ac:dyDescent="0.3">
      <c r="A4" s="24" t="s">
        <v>45</v>
      </c>
    </row>
    <row r="5" spans="1:6" ht="12" customHeight="1" x14ac:dyDescent="0.3"/>
    <row r="6" spans="1:6" x14ac:dyDescent="0.3">
      <c r="A6" s="6" t="s">
        <v>20</v>
      </c>
      <c r="B6" s="6">
        <v>2010</v>
      </c>
      <c r="C6" s="6">
        <v>2011</v>
      </c>
      <c r="D6" s="7" t="s">
        <v>46</v>
      </c>
    </row>
    <row r="7" spans="1:6" x14ac:dyDescent="0.3">
      <c r="A7" s="18" t="s">
        <v>21</v>
      </c>
      <c r="B7" s="14">
        <v>197</v>
      </c>
      <c r="C7" s="14">
        <v>130</v>
      </c>
      <c r="D7" s="17">
        <f t="shared" ref="D7:D12" si="0">IF(B7&lt;&gt;0,(C7-B7)/B7,0)</f>
        <v>-0.34010152284263961</v>
      </c>
    </row>
    <row r="8" spans="1:6" x14ac:dyDescent="0.3">
      <c r="A8" s="18" t="s">
        <v>22</v>
      </c>
      <c r="B8" s="14">
        <v>3736859</v>
      </c>
      <c r="C8" s="14">
        <v>2761293</v>
      </c>
      <c r="D8" s="17">
        <f t="shared" si="0"/>
        <v>-0.26106577743500625</v>
      </c>
      <c r="F8" s="2"/>
    </row>
    <row r="9" spans="1:6" x14ac:dyDescent="0.3">
      <c r="A9" s="18" t="s">
        <v>23</v>
      </c>
      <c r="B9" s="14">
        <v>22426</v>
      </c>
      <c r="C9" s="14">
        <v>115108</v>
      </c>
      <c r="D9" s="17">
        <f t="shared" si="0"/>
        <v>4.1327922946579863</v>
      </c>
    </row>
    <row r="10" spans="1:6" x14ac:dyDescent="0.3">
      <c r="A10" s="18" t="s">
        <v>83</v>
      </c>
      <c r="B10" s="14">
        <v>155</v>
      </c>
      <c r="C10" s="14">
        <f>155+514</f>
        <v>669</v>
      </c>
      <c r="D10" s="17">
        <f t="shared" si="0"/>
        <v>3.3161290322580643</v>
      </c>
    </row>
    <row r="11" spans="1:6" x14ac:dyDescent="0.3">
      <c r="A11" s="18" t="s">
        <v>26</v>
      </c>
      <c r="B11" s="14">
        <v>1924896</v>
      </c>
      <c r="C11" s="14">
        <v>3491549</v>
      </c>
      <c r="D11" s="17">
        <f t="shared" si="0"/>
        <v>0.81388968546872142</v>
      </c>
    </row>
    <row r="12" spans="1:6" ht="15.75" thickBot="1" x14ac:dyDescent="0.35">
      <c r="A12" s="26" t="s">
        <v>27</v>
      </c>
      <c r="B12" s="27">
        <f>SUM(B7:B11)</f>
        <v>5684533</v>
      </c>
      <c r="C12" s="27">
        <f>SUM(C7:C11)</f>
        <v>6368749</v>
      </c>
      <c r="D12" s="46">
        <f t="shared" si="0"/>
        <v>0.1203645048766539</v>
      </c>
    </row>
    <row r="14" spans="1:6" x14ac:dyDescent="0.3">
      <c r="A14" s="6" t="s">
        <v>48</v>
      </c>
      <c r="B14" s="6">
        <v>2010</v>
      </c>
      <c r="C14" s="6">
        <v>2011</v>
      </c>
      <c r="D14" s="7" t="s">
        <v>46</v>
      </c>
    </row>
    <row r="15" spans="1:6" x14ac:dyDescent="0.3">
      <c r="A15" s="18" t="s">
        <v>28</v>
      </c>
      <c r="B15" s="14">
        <v>19</v>
      </c>
      <c r="C15" s="14">
        <v>0</v>
      </c>
      <c r="D15" s="17">
        <f t="shared" ref="D15:D23" si="1">IF(B15&lt;&gt;0,(C15-B15)/B15,0)</f>
        <v>-1</v>
      </c>
    </row>
    <row r="16" spans="1:6" x14ac:dyDescent="0.3">
      <c r="A16" s="18" t="s">
        <v>29</v>
      </c>
      <c r="B16" s="14">
        <v>193634</v>
      </c>
      <c r="C16" s="14">
        <v>209621</v>
      </c>
      <c r="D16" s="17">
        <f t="shared" si="1"/>
        <v>8.2562979642005013E-2</v>
      </c>
    </row>
    <row r="17" spans="1:6" x14ac:dyDescent="0.3">
      <c r="A17" s="18" t="s">
        <v>30</v>
      </c>
      <c r="B17" s="14">
        <v>405</v>
      </c>
      <c r="C17" s="14">
        <v>928</v>
      </c>
      <c r="D17" s="17">
        <f t="shared" si="1"/>
        <v>1.2913580246913581</v>
      </c>
    </row>
    <row r="18" spans="1:6" x14ac:dyDescent="0.3">
      <c r="A18" s="18" t="s">
        <v>31</v>
      </c>
      <c r="B18" s="14">
        <v>545</v>
      </c>
      <c r="C18" s="14">
        <v>908</v>
      </c>
      <c r="D18" s="17">
        <f t="shared" si="1"/>
        <v>0.66605504587155961</v>
      </c>
    </row>
    <row r="19" spans="1:6" x14ac:dyDescent="0.3">
      <c r="A19" s="18" t="s">
        <v>32</v>
      </c>
      <c r="B19" s="14">
        <v>448</v>
      </c>
      <c r="C19" s="14">
        <v>676</v>
      </c>
      <c r="D19" s="17">
        <f t="shared" si="1"/>
        <v>0.5089285714285714</v>
      </c>
    </row>
    <row r="20" spans="1:6" x14ac:dyDescent="0.3">
      <c r="A20" s="18" t="s">
        <v>24</v>
      </c>
      <c r="B20" s="14">
        <v>14069</v>
      </c>
      <c r="C20" s="14">
        <v>33412</v>
      </c>
      <c r="D20" s="17">
        <f t="shared" si="1"/>
        <v>1.3748667282678229</v>
      </c>
    </row>
    <row r="21" spans="1:6" s="9" customFormat="1" x14ac:dyDescent="0.3">
      <c r="A21" s="29" t="s">
        <v>33</v>
      </c>
      <c r="B21" s="30">
        <f>SUM(B15:B20)</f>
        <v>209120</v>
      </c>
      <c r="C21" s="30">
        <f>SUM(C15:C20)</f>
        <v>245545</v>
      </c>
      <c r="D21" s="42">
        <f t="shared" si="1"/>
        <v>0.17418228768171384</v>
      </c>
    </row>
    <row r="22" spans="1:6" s="9" customFormat="1" x14ac:dyDescent="0.3">
      <c r="A22" s="31" t="s">
        <v>34</v>
      </c>
      <c r="B22" s="32">
        <v>5475413</v>
      </c>
      <c r="C22" s="32">
        <v>6123205</v>
      </c>
      <c r="D22" s="47">
        <f t="shared" si="1"/>
        <v>0.11830924900094295</v>
      </c>
    </row>
    <row r="23" spans="1:6" s="9" customFormat="1" ht="15.75" thickBot="1" x14ac:dyDescent="0.35">
      <c r="A23" s="26" t="s">
        <v>35</v>
      </c>
      <c r="B23" s="27">
        <f>+B21+B22</f>
        <v>5684533</v>
      </c>
      <c r="C23" s="27">
        <f>+C21+C22</f>
        <v>6368750</v>
      </c>
      <c r="D23" s="45">
        <f t="shared" si="1"/>
        <v>0.12036468079259985</v>
      </c>
      <c r="F23" s="60"/>
    </row>
    <row r="24" spans="1:6" x14ac:dyDescent="0.3">
      <c r="A24" s="18" t="s">
        <v>54</v>
      </c>
      <c r="B24" s="14">
        <v>435123458</v>
      </c>
      <c r="C24" s="14">
        <v>435123458</v>
      </c>
      <c r="D24" s="17"/>
    </row>
    <row r="25" spans="1:6" x14ac:dyDescent="0.3">
      <c r="A25" s="18" t="s">
        <v>71</v>
      </c>
      <c r="B25" s="33">
        <f>+B22/+(B24/1000000)</f>
        <v>12583.584955789718</v>
      </c>
      <c r="C25" s="33">
        <f>+C22/+(C24/1000000)</f>
        <v>14072.339441648764</v>
      </c>
      <c r="D25" s="17"/>
    </row>
    <row r="27" spans="1:6" ht="15.75" customHeight="1" x14ac:dyDescent="0.3">
      <c r="A27" s="6" t="s">
        <v>70</v>
      </c>
      <c r="B27" s="6">
        <v>2010</v>
      </c>
      <c r="C27" s="6">
        <v>2011</v>
      </c>
      <c r="D27" s="6" t="s">
        <v>46</v>
      </c>
    </row>
    <row r="28" spans="1:6" x14ac:dyDescent="0.3">
      <c r="A28" s="19" t="s">
        <v>66</v>
      </c>
      <c r="B28" s="17"/>
      <c r="C28" s="17"/>
      <c r="D28" s="34"/>
    </row>
    <row r="29" spans="1:6" x14ac:dyDescent="0.3">
      <c r="A29" s="19" t="s">
        <v>44</v>
      </c>
      <c r="B29" s="17"/>
      <c r="C29" s="17"/>
      <c r="D29" s="34"/>
    </row>
    <row r="30" spans="1:6" x14ac:dyDescent="0.3">
      <c r="A30" s="19" t="s">
        <v>45</v>
      </c>
      <c r="B30" s="17"/>
      <c r="C30" s="17"/>
      <c r="D30" s="34"/>
    </row>
    <row r="31" spans="1:6" s="9" customFormat="1" x14ac:dyDescent="0.3">
      <c r="A31" s="19" t="s">
        <v>72</v>
      </c>
      <c r="B31" s="30">
        <v>64690</v>
      </c>
      <c r="C31" s="30">
        <v>60625</v>
      </c>
      <c r="D31" s="17">
        <f>IF(B31&lt;&gt;0,(C31-B31)/B31,0)</f>
        <v>-6.2838151182562987E-2</v>
      </c>
    </row>
    <row r="32" spans="1:6" x14ac:dyDescent="0.3">
      <c r="A32" s="19" t="s">
        <v>5</v>
      </c>
      <c r="B32" s="14">
        <v>0</v>
      </c>
      <c r="C32" s="14">
        <v>0</v>
      </c>
      <c r="D32" s="17">
        <f t="shared" ref="D32:D42" si="2">IF(B32&lt;&gt;0,(C32-B32)/B32,0)</f>
        <v>0</v>
      </c>
    </row>
    <row r="33" spans="1:6" s="9" customFormat="1" x14ac:dyDescent="0.3">
      <c r="A33" s="19" t="s">
        <v>57</v>
      </c>
      <c r="B33" s="14">
        <v>3179</v>
      </c>
      <c r="C33" s="14">
        <v>7650</v>
      </c>
      <c r="D33" s="17">
        <f t="shared" si="2"/>
        <v>1.4064171122994653</v>
      </c>
    </row>
    <row r="34" spans="1:6" s="9" customFormat="1" x14ac:dyDescent="0.3">
      <c r="A34" s="19" t="s">
        <v>56</v>
      </c>
      <c r="B34" s="14">
        <v>2704</v>
      </c>
      <c r="C34" s="14">
        <v>1782</v>
      </c>
      <c r="D34" s="17">
        <f t="shared" si="2"/>
        <v>-0.34097633136094674</v>
      </c>
    </row>
    <row r="35" spans="1:6" s="9" customFormat="1" x14ac:dyDescent="0.3">
      <c r="A35" s="35" t="s">
        <v>4</v>
      </c>
      <c r="B35" s="30">
        <f>SUM(B31:B34)</f>
        <v>70573</v>
      </c>
      <c r="C35" s="30">
        <f>SUM(C31:C34)</f>
        <v>70057</v>
      </c>
      <c r="D35" s="17">
        <f t="shared" si="2"/>
        <v>-7.311578082269423E-3</v>
      </c>
    </row>
    <row r="36" spans="1:6" x14ac:dyDescent="0.3">
      <c r="A36" s="19" t="s">
        <v>58</v>
      </c>
      <c r="B36" s="14">
        <v>-5158</v>
      </c>
      <c r="C36" s="14">
        <v>-6318</v>
      </c>
      <c r="D36" s="17">
        <f t="shared" si="2"/>
        <v>0.22489336952307096</v>
      </c>
    </row>
    <row r="37" spans="1:6" s="9" customFormat="1" x14ac:dyDescent="0.3">
      <c r="A37" s="35" t="s">
        <v>42</v>
      </c>
      <c r="B37" s="30">
        <f>SUM(B35:B36)</f>
        <v>65415</v>
      </c>
      <c r="C37" s="30">
        <f>SUM(C35:C36)</f>
        <v>63739</v>
      </c>
      <c r="D37" s="17">
        <f t="shared" si="2"/>
        <v>-2.5621034930826264E-2</v>
      </c>
    </row>
    <row r="38" spans="1:6" s="9" customFormat="1" x14ac:dyDescent="0.3">
      <c r="A38" s="19" t="s">
        <v>10</v>
      </c>
      <c r="B38" s="14">
        <v>28</v>
      </c>
      <c r="C38" s="14">
        <v>30</v>
      </c>
      <c r="D38" s="17">
        <f t="shared" si="2"/>
        <v>7.1428571428571425E-2</v>
      </c>
      <c r="F38" s="60"/>
    </row>
    <row r="39" spans="1:6" x14ac:dyDescent="0.3">
      <c r="A39" s="19" t="s">
        <v>13</v>
      </c>
      <c r="B39" s="14">
        <f>-388-133</f>
        <v>-521</v>
      </c>
      <c r="C39" s="14">
        <v>-346</v>
      </c>
      <c r="D39" s="17">
        <f t="shared" si="2"/>
        <v>-0.33589251439539347</v>
      </c>
    </row>
    <row r="40" spans="1:6" s="9" customFormat="1" x14ac:dyDescent="0.3">
      <c r="A40" s="35" t="s">
        <v>43</v>
      </c>
      <c r="B40" s="30">
        <f>SUM(B37:B39)</f>
        <v>64922</v>
      </c>
      <c r="C40" s="30">
        <f>SUM(C37:C39)</f>
        <v>63423</v>
      </c>
      <c r="D40" s="17">
        <f t="shared" si="2"/>
        <v>-2.3089245556205909E-2</v>
      </c>
    </row>
    <row r="41" spans="1:6" x14ac:dyDescent="0.3">
      <c r="A41" s="19" t="s">
        <v>15</v>
      </c>
      <c r="B41" s="14">
        <v>-100</v>
      </c>
      <c r="C41" s="14">
        <v>-483</v>
      </c>
      <c r="D41" s="17">
        <f t="shared" si="2"/>
        <v>3.83</v>
      </c>
    </row>
    <row r="42" spans="1:6" ht="15.75" thickBot="1" x14ac:dyDescent="0.35">
      <c r="A42" s="36" t="s">
        <v>17</v>
      </c>
      <c r="B42" s="37">
        <f>SUM(B40:B41)</f>
        <v>64822</v>
      </c>
      <c r="C42" s="37">
        <f>SUM(C40:C41)</f>
        <v>62940</v>
      </c>
      <c r="D42" s="45">
        <f t="shared" si="2"/>
        <v>-2.9033352874024251E-2</v>
      </c>
    </row>
    <row r="44" spans="1:6" x14ac:dyDescent="0.3">
      <c r="A44" s="19"/>
      <c r="B44" s="14"/>
      <c r="C44" s="14"/>
      <c r="D44" s="17"/>
    </row>
  </sheetData>
  <pageMargins left="0.70866141732283472" right="0.43307086614173229" top="0.47244094488188981" bottom="0.39370078740157483" header="0.31496062992125984" footer="0.18"/>
  <pageSetup orientation="portrait" r:id="rId1"/>
  <headerFooter>
    <oddFooter>&amp;L&amp;A</oddFooter>
  </headerFooter>
  <customProperties>
    <customPr name="_pios_id" r:id="rId2"/>
  </customPropertie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9"/>
  <sheetViews>
    <sheetView topLeftCell="A29" zoomScale="87" zoomScaleNormal="87" workbookViewId="0">
      <selection activeCell="L51" sqref="L51"/>
    </sheetView>
  </sheetViews>
  <sheetFormatPr baseColWidth="10" defaultColWidth="11.42578125" defaultRowHeight="15" x14ac:dyDescent="0.3"/>
  <cols>
    <col min="1" max="1" width="29" style="5" customWidth="1"/>
    <col min="2" max="2" width="15.5703125" style="2" customWidth="1"/>
    <col min="3" max="3" width="14.7109375" style="2" bestFit="1" customWidth="1"/>
    <col min="4" max="4" width="13.28515625" style="3" bestFit="1" customWidth="1"/>
    <col min="5" max="5" width="11.42578125" style="3"/>
    <col min="6" max="6" width="11.5703125" style="4" customWidth="1"/>
    <col min="7" max="7" width="3.42578125" style="4" customWidth="1"/>
    <col min="8" max="8" width="11.42578125" style="5"/>
    <col min="9" max="9" width="4.42578125" style="5" customWidth="1"/>
    <col min="10" max="10" width="11.42578125" style="5"/>
    <col min="11" max="11" width="11.42578125" style="5" customWidth="1"/>
    <col min="12" max="16384" width="11.42578125" style="5"/>
  </cols>
  <sheetData>
    <row r="1" spans="1:6" x14ac:dyDescent="0.3">
      <c r="A1" s="38" t="s">
        <v>40</v>
      </c>
    </row>
    <row r="2" spans="1:6" x14ac:dyDescent="0.3">
      <c r="A2" s="38" t="s">
        <v>65</v>
      </c>
    </row>
    <row r="3" spans="1:6" x14ac:dyDescent="0.3">
      <c r="A3" s="24" t="s">
        <v>44</v>
      </c>
    </row>
    <row r="4" spans="1:6" x14ac:dyDescent="0.3">
      <c r="A4" s="24" t="s">
        <v>45</v>
      </c>
    </row>
    <row r="6" spans="1:6" x14ac:dyDescent="0.3">
      <c r="A6" s="6" t="s">
        <v>20</v>
      </c>
      <c r="B6" s="6">
        <v>2010</v>
      </c>
      <c r="C6" s="6">
        <v>2011</v>
      </c>
      <c r="D6" s="7" t="s">
        <v>46</v>
      </c>
      <c r="E6" s="20"/>
      <c r="F6" s="23"/>
    </row>
    <row r="7" spans="1:6" x14ac:dyDescent="0.3">
      <c r="A7" s="18" t="s">
        <v>21</v>
      </c>
      <c r="B7" s="14">
        <v>150928</v>
      </c>
      <c r="C7" s="14">
        <v>142952</v>
      </c>
      <c r="D7" s="17">
        <f>+(C7-B7)/B7</f>
        <v>-5.2846390331813847E-2</v>
      </c>
      <c r="E7" s="21"/>
      <c r="F7" s="23"/>
    </row>
    <row r="8" spans="1:6" x14ac:dyDescent="0.3">
      <c r="A8" s="18" t="s">
        <v>22</v>
      </c>
      <c r="B8" s="14">
        <v>335301</v>
      </c>
      <c r="C8" s="14">
        <v>330081</v>
      </c>
      <c r="D8" s="17">
        <f t="shared" ref="D8:D16" si="0">+(C8-B8)/B8</f>
        <v>-1.5568101496864013E-2</v>
      </c>
      <c r="E8" s="21"/>
      <c r="F8" s="23"/>
    </row>
    <row r="9" spans="1:6" x14ac:dyDescent="0.3">
      <c r="A9" s="18" t="s">
        <v>23</v>
      </c>
      <c r="B9" s="14">
        <v>530092</v>
      </c>
      <c r="C9" s="14">
        <v>580616</v>
      </c>
      <c r="D9" s="17">
        <f t="shared" si="0"/>
        <v>9.5311757204409805E-2</v>
      </c>
      <c r="E9" s="21"/>
      <c r="F9" s="23"/>
    </row>
    <row r="10" spans="1:6" x14ac:dyDescent="0.3">
      <c r="A10" s="18" t="s">
        <v>36</v>
      </c>
      <c r="B10" s="14">
        <v>456838</v>
      </c>
      <c r="C10" s="14">
        <v>603158</v>
      </c>
      <c r="D10" s="17">
        <f t="shared" si="0"/>
        <v>0.3202885924550935</v>
      </c>
      <c r="E10" s="21"/>
      <c r="F10" s="23"/>
    </row>
    <row r="11" spans="1:6" x14ac:dyDescent="0.3">
      <c r="A11" s="18" t="s">
        <v>60</v>
      </c>
      <c r="B11" s="14">
        <v>918614</v>
      </c>
      <c r="C11" s="14">
        <v>991415</v>
      </c>
      <c r="D11" s="17">
        <f t="shared" si="0"/>
        <v>7.9250914965371747E-2</v>
      </c>
      <c r="E11" s="21"/>
      <c r="F11" s="23"/>
    </row>
    <row r="12" spans="1:6" x14ac:dyDescent="0.3">
      <c r="A12" s="18" t="s">
        <v>47</v>
      </c>
      <c r="B12" s="14">
        <v>739413</v>
      </c>
      <c r="C12" s="14">
        <v>914935</v>
      </c>
      <c r="D12" s="17">
        <f t="shared" si="0"/>
        <v>0.23738019212537512</v>
      </c>
      <c r="E12" s="21"/>
      <c r="F12" s="23"/>
    </row>
    <row r="13" spans="1:6" x14ac:dyDescent="0.3">
      <c r="A13" s="18" t="s">
        <v>24</v>
      </c>
      <c r="B13" s="14">
        <v>61190</v>
      </c>
      <c r="C13" s="14">
        <v>127839</v>
      </c>
      <c r="D13" s="17">
        <f t="shared" si="0"/>
        <v>1.0892139238437653</v>
      </c>
      <c r="E13" s="21"/>
      <c r="F13" s="23"/>
    </row>
    <row r="14" spans="1:6" x14ac:dyDescent="0.3">
      <c r="A14" s="18" t="s">
        <v>25</v>
      </c>
      <c r="B14" s="14">
        <v>980</v>
      </c>
      <c r="C14" s="14">
        <v>1918</v>
      </c>
      <c r="D14" s="17">
        <f t="shared" si="0"/>
        <v>0.95714285714285718</v>
      </c>
      <c r="E14" s="21"/>
      <c r="F14" s="23"/>
    </row>
    <row r="15" spans="1:6" x14ac:dyDescent="0.3">
      <c r="A15" s="18" t="s">
        <v>26</v>
      </c>
      <c r="B15" s="14">
        <v>3885263</v>
      </c>
      <c r="C15" s="14">
        <v>4453767</v>
      </c>
      <c r="D15" s="17">
        <f t="shared" si="0"/>
        <v>0.14632317040056234</v>
      </c>
      <c r="E15" s="21"/>
      <c r="F15" s="23"/>
    </row>
    <row r="16" spans="1:6" ht="15.75" thickBot="1" x14ac:dyDescent="0.35">
      <c r="A16" s="26" t="s">
        <v>27</v>
      </c>
      <c r="B16" s="27">
        <f>SUM(B7:B15)</f>
        <v>7078619</v>
      </c>
      <c r="C16" s="27">
        <f>SUM(C7:C15)</f>
        <v>8146681</v>
      </c>
      <c r="D16" s="45">
        <f t="shared" si="0"/>
        <v>0.1508856459148317</v>
      </c>
      <c r="E16" s="22"/>
      <c r="F16" s="23"/>
    </row>
    <row r="17" spans="1:6" x14ac:dyDescent="0.3">
      <c r="A17" s="1"/>
      <c r="E17" s="21"/>
      <c r="F17" s="23"/>
    </row>
    <row r="18" spans="1:6" x14ac:dyDescent="0.3">
      <c r="A18" s="6" t="s">
        <v>48</v>
      </c>
      <c r="B18" s="6">
        <v>2010</v>
      </c>
      <c r="C18" s="6">
        <v>2011</v>
      </c>
      <c r="D18" s="7" t="s">
        <v>46</v>
      </c>
      <c r="E18" s="20"/>
      <c r="F18" s="23"/>
    </row>
    <row r="19" spans="1:6" x14ac:dyDescent="0.3">
      <c r="A19" s="18" t="s">
        <v>28</v>
      </c>
      <c r="B19" s="14">
        <v>962604</v>
      </c>
      <c r="C19" s="14">
        <v>1217196</v>
      </c>
      <c r="D19" s="17">
        <f t="shared" ref="D19:D30" si="1">+(C19-B19)/B19</f>
        <v>0.26448259097198851</v>
      </c>
      <c r="E19" s="21"/>
      <c r="F19" s="23"/>
    </row>
    <row r="20" spans="1:6" x14ac:dyDescent="0.3">
      <c r="A20" s="18" t="s">
        <v>49</v>
      </c>
      <c r="B20" s="14">
        <v>140488</v>
      </c>
      <c r="C20" s="14">
        <v>175140</v>
      </c>
      <c r="D20" s="17">
        <f t="shared" si="1"/>
        <v>0.24665451853539092</v>
      </c>
      <c r="E20" s="21"/>
      <c r="F20" s="23"/>
    </row>
    <row r="21" spans="1:6" x14ac:dyDescent="0.3">
      <c r="A21" s="18" t="s">
        <v>38</v>
      </c>
      <c r="B21" s="14">
        <v>244690</v>
      </c>
      <c r="C21" s="14">
        <v>256621</v>
      </c>
      <c r="D21" s="17">
        <f t="shared" si="1"/>
        <v>4.8759655073766804E-2</v>
      </c>
      <c r="E21" s="21"/>
      <c r="F21" s="23"/>
    </row>
    <row r="22" spans="1:6" x14ac:dyDescent="0.3">
      <c r="A22" s="18" t="s">
        <v>30</v>
      </c>
      <c r="B22" s="14">
        <v>50328</v>
      </c>
      <c r="C22" s="14">
        <v>112082</v>
      </c>
      <c r="D22" s="17">
        <f t="shared" si="1"/>
        <v>1.227030678747417</v>
      </c>
      <c r="E22" s="21"/>
      <c r="F22" s="23"/>
    </row>
    <row r="23" spans="1:6" x14ac:dyDescent="0.3">
      <c r="A23" s="18" t="s">
        <v>31</v>
      </c>
      <c r="B23" s="14">
        <v>38673</v>
      </c>
      <c r="C23" s="14">
        <v>68008</v>
      </c>
      <c r="D23" s="17">
        <f t="shared" si="1"/>
        <v>0.75853954955653813</v>
      </c>
      <c r="E23" s="21"/>
      <c r="F23" s="23"/>
    </row>
    <row r="24" spans="1:6" x14ac:dyDescent="0.3">
      <c r="A24" s="18" t="s">
        <v>32</v>
      </c>
      <c r="B24" s="14">
        <v>123876</v>
      </c>
      <c r="C24" s="14">
        <v>119419</v>
      </c>
      <c r="D24" s="17">
        <f t="shared" si="1"/>
        <v>-3.5979527915011786E-2</v>
      </c>
      <c r="E24" s="21"/>
      <c r="F24" s="23"/>
    </row>
    <row r="25" spans="1:6" x14ac:dyDescent="0.3">
      <c r="A25" s="18" t="s">
        <v>24</v>
      </c>
      <c r="B25" s="14">
        <v>46388</v>
      </c>
      <c r="C25" s="14">
        <v>59708</v>
      </c>
      <c r="D25" s="17">
        <f t="shared" si="1"/>
        <v>0.28714322669655945</v>
      </c>
      <c r="E25" s="21"/>
      <c r="F25" s="23"/>
    </row>
    <row r="26" spans="1:6" x14ac:dyDescent="0.3">
      <c r="A26" s="18" t="s">
        <v>0</v>
      </c>
      <c r="B26" s="14">
        <v>1139</v>
      </c>
      <c r="C26" s="14">
        <v>5690</v>
      </c>
      <c r="D26" s="17">
        <f t="shared" si="1"/>
        <v>3.9956101843722562</v>
      </c>
      <c r="E26" s="21"/>
      <c r="F26" s="23"/>
    </row>
    <row r="27" spans="1:6" x14ac:dyDescent="0.3">
      <c r="A27" s="18" t="s">
        <v>33</v>
      </c>
      <c r="B27" s="14">
        <f>SUM(B19:B26)</f>
        <v>1608186</v>
      </c>
      <c r="C27" s="14">
        <f>SUM(C19:C26)</f>
        <v>2013864</v>
      </c>
      <c r="D27" s="17">
        <f t="shared" si="1"/>
        <v>0.25225813432028382</v>
      </c>
      <c r="E27" s="21"/>
      <c r="F27" s="23"/>
    </row>
    <row r="28" spans="1:6" x14ac:dyDescent="0.3">
      <c r="A28" s="18" t="s">
        <v>39</v>
      </c>
      <c r="B28" s="14">
        <v>3699</v>
      </c>
      <c r="C28" s="14">
        <v>13367</v>
      </c>
      <c r="D28" s="17">
        <f t="shared" si="1"/>
        <v>2.6136793728034604</v>
      </c>
      <c r="E28" s="21"/>
      <c r="F28" s="23"/>
    </row>
    <row r="29" spans="1:6" x14ac:dyDescent="0.3">
      <c r="A29" s="32" t="s">
        <v>34</v>
      </c>
      <c r="B29" s="32">
        <v>5466734</v>
      </c>
      <c r="C29" s="32">
        <v>6119450</v>
      </c>
      <c r="D29" s="47">
        <f t="shared" si="1"/>
        <v>0.1193977976612727</v>
      </c>
      <c r="E29" s="22"/>
      <c r="F29" s="22"/>
    </row>
    <row r="30" spans="1:6" ht="15.75" thickBot="1" x14ac:dyDescent="0.35">
      <c r="A30" s="27" t="s">
        <v>35</v>
      </c>
      <c r="B30" s="27">
        <f>+B27+B28+B29</f>
        <v>7078619</v>
      </c>
      <c r="C30" s="27">
        <f>+C27+C28+C29</f>
        <v>8146681</v>
      </c>
      <c r="D30" s="45">
        <f t="shared" si="1"/>
        <v>0.1508856459148317</v>
      </c>
      <c r="E30" s="22"/>
      <c r="F30" s="22"/>
    </row>
    <row r="31" spans="1:6" x14ac:dyDescent="0.3">
      <c r="A31" s="19"/>
      <c r="B31" s="14"/>
      <c r="C31" s="14"/>
      <c r="D31" s="17"/>
      <c r="E31" s="21"/>
      <c r="F31" s="23"/>
    </row>
    <row r="32" spans="1:6" x14ac:dyDescent="0.3">
      <c r="A32" s="41" t="s">
        <v>3</v>
      </c>
      <c r="B32" s="14"/>
      <c r="C32" s="14"/>
      <c r="D32" s="17"/>
      <c r="E32" s="21"/>
      <c r="F32" s="23"/>
    </row>
    <row r="33" spans="1:8" x14ac:dyDescent="0.3">
      <c r="A33" s="41" t="s">
        <v>66</v>
      </c>
      <c r="B33" s="14"/>
      <c r="C33" s="14"/>
      <c r="D33" s="17"/>
    </row>
    <row r="34" spans="1:8" x14ac:dyDescent="0.3">
      <c r="A34" s="41" t="s">
        <v>44</v>
      </c>
      <c r="B34" s="14"/>
      <c r="C34" s="14"/>
      <c r="D34" s="17"/>
    </row>
    <row r="35" spans="1:8" x14ac:dyDescent="0.3">
      <c r="A35" s="41" t="s">
        <v>45</v>
      </c>
      <c r="B35" s="14"/>
      <c r="C35" s="14"/>
      <c r="D35" s="17"/>
    </row>
    <row r="36" spans="1:8" x14ac:dyDescent="0.3">
      <c r="A36" s="6"/>
      <c r="B36" s="6">
        <v>2010</v>
      </c>
      <c r="C36" s="6" t="s">
        <v>55</v>
      </c>
      <c r="D36" s="6">
        <v>2011</v>
      </c>
      <c r="E36" s="6" t="s">
        <v>55</v>
      </c>
      <c r="F36" s="7" t="s">
        <v>46</v>
      </c>
    </row>
    <row r="37" spans="1:8" s="9" customFormat="1" x14ac:dyDescent="0.3">
      <c r="A37" s="30" t="s">
        <v>4</v>
      </c>
      <c r="B37" s="50">
        <v>1021412</v>
      </c>
      <c r="C37" s="42">
        <v>1</v>
      </c>
      <c r="D37" s="50">
        <v>1149123</v>
      </c>
      <c r="E37" s="42">
        <v>1</v>
      </c>
      <c r="F37" s="17">
        <f>IF(B37&lt;&gt;0,(D37-B37)/B37,0)</f>
        <v>0.125033776771763</v>
      </c>
      <c r="G37" s="8"/>
    </row>
    <row r="38" spans="1:8" x14ac:dyDescent="0.3">
      <c r="A38" s="14" t="s">
        <v>50</v>
      </c>
      <c r="B38" s="51">
        <v>-619750</v>
      </c>
      <c r="C38" s="17">
        <f t="shared" ref="C38:C56" si="2">+B38/$B$37</f>
        <v>-0.60675809565581762</v>
      </c>
      <c r="D38" s="51">
        <v>-686128</v>
      </c>
      <c r="E38" s="17">
        <f>+D38/$D$37</f>
        <v>-0.59708838827523247</v>
      </c>
      <c r="F38" s="17">
        <f t="shared" ref="F38:F54" si="3">IF(B38&lt;&gt;0,(D38-B38)/B38,0)</f>
        <v>0.10710447761194029</v>
      </c>
    </row>
    <row r="39" spans="1:8" s="9" customFormat="1" x14ac:dyDescent="0.3">
      <c r="A39" s="30" t="s">
        <v>6</v>
      </c>
      <c r="B39" s="30">
        <f>SUM(B37:B38)</f>
        <v>401662</v>
      </c>
      <c r="C39" s="42">
        <f t="shared" si="2"/>
        <v>0.39324190434418238</v>
      </c>
      <c r="D39" s="30">
        <f>SUM(D37:D38)</f>
        <v>462995</v>
      </c>
      <c r="E39" s="42">
        <f t="shared" ref="E39:E56" si="4">+D39/$D$37</f>
        <v>0.40291161172476747</v>
      </c>
      <c r="F39" s="17">
        <f t="shared" si="3"/>
        <v>0.1526980396452739</v>
      </c>
      <c r="G39" s="8"/>
    </row>
    <row r="40" spans="1:8" x14ac:dyDescent="0.3">
      <c r="A40" s="14" t="s">
        <v>7</v>
      </c>
      <c r="B40" s="14">
        <v>-51905</v>
      </c>
      <c r="C40" s="17">
        <f t="shared" si="2"/>
        <v>-5.0816908358233506E-2</v>
      </c>
      <c r="D40" s="14">
        <v>-60137</v>
      </c>
      <c r="E40" s="17">
        <f t="shared" si="4"/>
        <v>-5.2332953043320862E-2</v>
      </c>
      <c r="F40" s="17">
        <f t="shared" si="3"/>
        <v>0.15859743762643291</v>
      </c>
    </row>
    <row r="41" spans="1:8" x14ac:dyDescent="0.3">
      <c r="A41" s="14" t="s">
        <v>8</v>
      </c>
      <c r="B41" s="14">
        <v>-238008</v>
      </c>
      <c r="C41" s="17">
        <f t="shared" si="2"/>
        <v>-0.23301860561653867</v>
      </c>
      <c r="D41" s="14">
        <v>-273436</v>
      </c>
      <c r="E41" s="17">
        <f t="shared" si="4"/>
        <v>-0.23795189896991009</v>
      </c>
      <c r="F41" s="17">
        <f t="shared" si="3"/>
        <v>0.14885213942388492</v>
      </c>
    </row>
    <row r="42" spans="1:8" x14ac:dyDescent="0.3">
      <c r="A42" s="14" t="s">
        <v>84</v>
      </c>
      <c r="B42" s="14"/>
      <c r="C42" s="17">
        <f>+B42/$B$37</f>
        <v>0</v>
      </c>
      <c r="D42" s="14">
        <v>-24055</v>
      </c>
      <c r="E42" s="17">
        <f t="shared" si="4"/>
        <v>-2.0933355263100643E-2</v>
      </c>
      <c r="F42" s="17">
        <f t="shared" si="3"/>
        <v>0</v>
      </c>
    </row>
    <row r="43" spans="1:8" s="9" customFormat="1" x14ac:dyDescent="0.3">
      <c r="A43" s="30" t="s">
        <v>9</v>
      </c>
      <c r="B43" s="30">
        <f>SUM(B40:B42)</f>
        <v>-289913</v>
      </c>
      <c r="C43" s="42">
        <f>+B43/$B$37</f>
        <v>-0.28383551397477219</v>
      </c>
      <c r="D43" s="30">
        <f>SUM(D40:D42)</f>
        <v>-357628</v>
      </c>
      <c r="E43" s="42">
        <f t="shared" si="4"/>
        <v>-0.31121820727633159</v>
      </c>
      <c r="F43" s="17">
        <f t="shared" si="3"/>
        <v>0.23357007102130639</v>
      </c>
      <c r="G43" s="8"/>
    </row>
    <row r="44" spans="1:8" s="9" customFormat="1" x14ac:dyDescent="0.3">
      <c r="A44" s="30" t="s">
        <v>1</v>
      </c>
      <c r="B44" s="30">
        <f>+B39+B43</f>
        <v>111749</v>
      </c>
      <c r="C44" s="42">
        <f t="shared" si="2"/>
        <v>0.10940639036941019</v>
      </c>
      <c r="D44" s="30">
        <f>+D39+D43</f>
        <v>105367</v>
      </c>
      <c r="E44" s="42">
        <f t="shared" si="4"/>
        <v>9.1693404448435892E-2</v>
      </c>
      <c r="F44" s="17">
        <f t="shared" si="3"/>
        <v>-5.7110130739424961E-2</v>
      </c>
      <c r="G44" s="8"/>
      <c r="H44" s="60"/>
    </row>
    <row r="45" spans="1:8" x14ac:dyDescent="0.3">
      <c r="A45" s="14" t="s">
        <v>51</v>
      </c>
      <c r="B45" s="14">
        <v>1111</v>
      </c>
      <c r="C45" s="17">
        <f t="shared" si="2"/>
        <v>1.087709954455205E-3</v>
      </c>
      <c r="D45" s="14">
        <v>710.5</v>
      </c>
      <c r="E45" s="17">
        <f t="shared" si="4"/>
        <v>6.182976060874249E-4</v>
      </c>
      <c r="F45" s="17">
        <v>-0.36099999999999999</v>
      </c>
    </row>
    <row r="46" spans="1:8" x14ac:dyDescent="0.3">
      <c r="A46" s="14" t="s">
        <v>11</v>
      </c>
      <c r="B46" s="14">
        <v>-17664</v>
      </c>
      <c r="C46" s="17">
        <f t="shared" si="2"/>
        <v>-1.7293707142661336E-2</v>
      </c>
      <c r="D46" s="14">
        <v>-22186</v>
      </c>
      <c r="E46" s="17">
        <f t="shared" si="4"/>
        <v>-1.9306897520979041E-2</v>
      </c>
      <c r="F46" s="17">
        <f t="shared" si="3"/>
        <v>0.25600090579710144</v>
      </c>
    </row>
    <row r="47" spans="1:8" x14ac:dyDescent="0.3">
      <c r="A47" s="14" t="s">
        <v>12</v>
      </c>
      <c r="B47" s="14">
        <v>-3006</v>
      </c>
      <c r="C47" s="17">
        <f t="shared" si="2"/>
        <v>-2.9429848092640382E-3</v>
      </c>
      <c r="D47" s="14">
        <v>204</v>
      </c>
      <c r="E47" s="17">
        <f t="shared" si="4"/>
        <v>1.7752668774360968E-4</v>
      </c>
      <c r="F47" s="17">
        <f t="shared" si="3"/>
        <v>-1.0678642714570858</v>
      </c>
    </row>
    <row r="48" spans="1:8" x14ac:dyDescent="0.3">
      <c r="A48" s="14" t="s">
        <v>52</v>
      </c>
      <c r="B48" s="14">
        <v>1391</v>
      </c>
      <c r="C48" s="17">
        <f t="shared" si="2"/>
        <v>1.3618402760100722E-3</v>
      </c>
      <c r="D48" s="14">
        <v>1895</v>
      </c>
      <c r="E48" s="17">
        <f t="shared" si="4"/>
        <v>1.6490836925202959E-3</v>
      </c>
      <c r="F48" s="17">
        <f t="shared" si="3"/>
        <v>0.3623292595255212</v>
      </c>
    </row>
    <row r="49" spans="1:7" x14ac:dyDescent="0.3">
      <c r="A49" s="14" t="s">
        <v>14</v>
      </c>
      <c r="B49" s="14">
        <v>7197</v>
      </c>
      <c r="C49" s="17">
        <f t="shared" si="2"/>
        <v>7.0461283008227829E-3</v>
      </c>
      <c r="D49" s="14">
        <v>7703</v>
      </c>
      <c r="E49" s="17">
        <f t="shared" si="4"/>
        <v>6.7033729200442422E-3</v>
      </c>
      <c r="F49" s="17">
        <f t="shared" si="3"/>
        <v>7.0307072391274136E-2</v>
      </c>
    </row>
    <row r="50" spans="1:7" x14ac:dyDescent="0.3">
      <c r="A50" s="14" t="s">
        <v>16</v>
      </c>
      <c r="B50" s="14">
        <v>0</v>
      </c>
      <c r="C50" s="17">
        <f t="shared" si="2"/>
        <v>0</v>
      </c>
      <c r="D50" s="14">
        <v>-5</v>
      </c>
      <c r="E50" s="17">
        <f t="shared" si="4"/>
        <v>-4.3511443074414139E-6</v>
      </c>
      <c r="F50" s="17">
        <f t="shared" si="3"/>
        <v>0</v>
      </c>
    </row>
    <row r="51" spans="1:7" s="9" customFormat="1" x14ac:dyDescent="0.3">
      <c r="A51" s="30" t="s">
        <v>2</v>
      </c>
      <c r="B51" s="30">
        <f>SUM(B45:B50)</f>
        <v>-10971</v>
      </c>
      <c r="C51" s="42">
        <f t="shared" si="2"/>
        <v>-1.0741013420637314E-2</v>
      </c>
      <c r="D51" s="30">
        <f>SUM(D45:D50)</f>
        <v>-11678.5</v>
      </c>
      <c r="E51" s="42">
        <f t="shared" si="4"/>
        <v>-1.016296775889091E-2</v>
      </c>
      <c r="F51" s="17">
        <v>6.5000000000000002E-2</v>
      </c>
      <c r="G51" s="8"/>
    </row>
    <row r="52" spans="1:7" s="9" customFormat="1" x14ac:dyDescent="0.3">
      <c r="A52" s="30" t="s">
        <v>41</v>
      </c>
      <c r="B52" s="30">
        <f>+B44+B51</f>
        <v>100778</v>
      </c>
      <c r="C52" s="42">
        <f t="shared" si="2"/>
        <v>9.8665376948772879E-2</v>
      </c>
      <c r="D52" s="30">
        <f>+D44+D51-1</f>
        <v>93687.5</v>
      </c>
      <c r="E52" s="42">
        <f t="shared" si="4"/>
        <v>8.1529566460683489E-2</v>
      </c>
      <c r="F52" s="17">
        <f t="shared" si="3"/>
        <v>-7.0357617734029251E-2</v>
      </c>
      <c r="G52" s="8"/>
    </row>
    <row r="53" spans="1:7" x14ac:dyDescent="0.3">
      <c r="A53" s="14" t="s">
        <v>15</v>
      </c>
      <c r="B53" s="14">
        <v>-31110</v>
      </c>
      <c r="C53" s="17">
        <f t="shared" si="2"/>
        <v>-3.0457836798471135E-2</v>
      </c>
      <c r="D53" s="14">
        <v>-35670</v>
      </c>
      <c r="E53" s="17">
        <f t="shared" si="4"/>
        <v>-3.1041063489287049E-2</v>
      </c>
      <c r="F53" s="17">
        <f t="shared" si="3"/>
        <v>0.14657666345226616</v>
      </c>
    </row>
    <row r="54" spans="1:7" x14ac:dyDescent="0.3">
      <c r="A54" s="14" t="s">
        <v>18</v>
      </c>
      <c r="B54" s="14">
        <v>-164</v>
      </c>
      <c r="C54" s="17">
        <f t="shared" si="2"/>
        <v>-1.605620454821365E-4</v>
      </c>
      <c r="D54" s="14">
        <v>-373</v>
      </c>
      <c r="E54" s="17">
        <f t="shared" si="4"/>
        <v>-3.245953653351295E-4</v>
      </c>
      <c r="F54" s="17">
        <f t="shared" si="3"/>
        <v>1.274390243902439</v>
      </c>
    </row>
    <row r="55" spans="1:7" s="9" customFormat="1" x14ac:dyDescent="0.3">
      <c r="A55" s="43" t="s">
        <v>17</v>
      </c>
      <c r="B55" s="43">
        <f>+B52+B53+B54</f>
        <v>69504</v>
      </c>
      <c r="C55" s="44">
        <f t="shared" si="2"/>
        <v>6.8046978104819605E-2</v>
      </c>
      <c r="D55" s="43">
        <f>+D52+D53+D54</f>
        <v>57644.5</v>
      </c>
      <c r="E55" s="44">
        <f t="shared" si="4"/>
        <v>5.016390760606132E-2</v>
      </c>
      <c r="F55" s="44">
        <f>+(D55-B55)/B55</f>
        <v>-0.17063046731123388</v>
      </c>
      <c r="G55" s="8"/>
    </row>
    <row r="56" spans="1:7" s="9" customFormat="1" ht="15.75" thickBot="1" x14ac:dyDescent="0.35">
      <c r="A56" s="27" t="s">
        <v>19</v>
      </c>
      <c r="B56" s="27">
        <v>136156</v>
      </c>
      <c r="C56" s="45">
        <f t="shared" si="2"/>
        <v>0.13330174307723033</v>
      </c>
      <c r="D56" s="27">
        <v>138298.12778788002</v>
      </c>
      <c r="E56" s="45">
        <f t="shared" si="4"/>
        <v>0.12035102229080788</v>
      </c>
      <c r="F56" s="45">
        <f>+(D56-B56)/B56</f>
        <v>1.5732893062957325E-2</v>
      </c>
      <c r="G56" s="8"/>
    </row>
    <row r="57" spans="1:7" x14ac:dyDescent="0.3">
      <c r="A57" s="2"/>
      <c r="C57" s="3"/>
      <c r="D57" s="10"/>
    </row>
    <row r="58" spans="1:7" x14ac:dyDescent="0.3">
      <c r="A58" s="19" t="s">
        <v>53</v>
      </c>
      <c r="B58" s="14"/>
      <c r="C58" s="14"/>
      <c r="D58" s="14"/>
    </row>
    <row r="59" spans="1:7" x14ac:dyDescent="0.3">
      <c r="D59" s="10"/>
    </row>
  </sheetData>
  <pageMargins left="0.70866141732283472" right="0.43307086614173229" top="0.43307086614173229" bottom="0.51181102362204722" header="0.31496062992125984" footer="0.31496062992125984"/>
  <pageSetup scale="85" orientation="portrait" r:id="rId1"/>
  <headerFooter>
    <oddFooter>&amp;C&amp;A</oddFooter>
  </headerFooter>
  <customProperties>
    <customPr name="_pios_id" r:id="rId2"/>
  </customPropertie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45"/>
  <sheetViews>
    <sheetView zoomScale="86" zoomScaleNormal="86" workbookViewId="0">
      <selection sqref="A1:IV65536"/>
    </sheetView>
  </sheetViews>
  <sheetFormatPr baseColWidth="10" defaultColWidth="11.42578125" defaultRowHeight="15" x14ac:dyDescent="0.3"/>
  <cols>
    <col min="1" max="1" width="43.7109375" style="5" customWidth="1"/>
    <col min="2" max="3" width="11.7109375" style="2" bestFit="1" customWidth="1"/>
    <col min="4" max="4" width="13.28515625" style="3" bestFit="1" customWidth="1"/>
    <col min="5" max="16384" width="11.42578125" style="5"/>
  </cols>
  <sheetData>
    <row r="1" spans="1:6" x14ac:dyDescent="0.3">
      <c r="A1" s="24" t="s">
        <v>69</v>
      </c>
    </row>
    <row r="2" spans="1:6" x14ac:dyDescent="0.3">
      <c r="A2" s="24" t="s">
        <v>77</v>
      </c>
    </row>
    <row r="3" spans="1:6" x14ac:dyDescent="0.3">
      <c r="A3" s="24" t="s">
        <v>44</v>
      </c>
    </row>
    <row r="4" spans="1:6" x14ac:dyDescent="0.3">
      <c r="A4" s="24" t="s">
        <v>45</v>
      </c>
    </row>
    <row r="5" spans="1:6" ht="12" customHeight="1" x14ac:dyDescent="0.3"/>
    <row r="6" spans="1:6" x14ac:dyDescent="0.3">
      <c r="A6" s="6" t="s">
        <v>20</v>
      </c>
      <c r="B6" s="6">
        <v>2010</v>
      </c>
      <c r="C6" s="6">
        <v>2011</v>
      </c>
      <c r="D6" s="7" t="s">
        <v>46</v>
      </c>
    </row>
    <row r="7" spans="1:6" x14ac:dyDescent="0.3">
      <c r="A7" s="18" t="s">
        <v>21</v>
      </c>
      <c r="B7" s="14">
        <v>173</v>
      </c>
      <c r="C7" s="14">
        <v>149</v>
      </c>
      <c r="D7" s="17">
        <f t="shared" ref="D7:D13" si="0">IF(B7&lt;&gt;0,(C7-B7)/B7,0)</f>
        <v>-0.13872832369942195</v>
      </c>
    </row>
    <row r="8" spans="1:6" x14ac:dyDescent="0.3">
      <c r="A8" s="18" t="s">
        <v>22</v>
      </c>
      <c r="B8" s="14">
        <v>3790314</v>
      </c>
      <c r="C8" s="14">
        <v>2776673</v>
      </c>
      <c r="D8" s="17">
        <f t="shared" si="0"/>
        <v>-0.26742929477610561</v>
      </c>
    </row>
    <row r="9" spans="1:6" s="11" customFormat="1" ht="14.25" customHeight="1" x14ac:dyDescent="0.3">
      <c r="A9" s="18" t="s">
        <v>23</v>
      </c>
      <c r="B9" s="14">
        <v>19794</v>
      </c>
      <c r="C9" s="14">
        <v>58389</v>
      </c>
      <c r="D9" s="17">
        <f t="shared" si="0"/>
        <v>1.9498332828129736</v>
      </c>
      <c r="E9" s="5"/>
      <c r="F9" s="5"/>
    </row>
    <row r="10" spans="1:6" s="11" customFormat="1" hidden="1" x14ac:dyDescent="0.3">
      <c r="A10" s="18" t="s">
        <v>37</v>
      </c>
      <c r="B10" s="14">
        <v>0</v>
      </c>
      <c r="C10" s="14">
        <v>0</v>
      </c>
      <c r="D10" s="17">
        <f t="shared" si="0"/>
        <v>0</v>
      </c>
      <c r="E10" s="5"/>
      <c r="F10" s="5"/>
    </row>
    <row r="11" spans="1:6" s="11" customFormat="1" x14ac:dyDescent="0.3">
      <c r="A11" s="18" t="s">
        <v>59</v>
      </c>
      <c r="B11" s="14">
        <v>155</v>
      </c>
      <c r="C11" s="14">
        <v>658</v>
      </c>
      <c r="D11" s="17">
        <f t="shared" si="0"/>
        <v>3.2451612903225806</v>
      </c>
      <c r="E11" s="5"/>
      <c r="F11" s="5"/>
    </row>
    <row r="12" spans="1:6" s="11" customFormat="1" x14ac:dyDescent="0.3">
      <c r="A12" s="18" t="s">
        <v>26</v>
      </c>
      <c r="B12" s="14">
        <v>1952853</v>
      </c>
      <c r="C12" s="14">
        <v>3539600</v>
      </c>
      <c r="D12" s="17">
        <f t="shared" si="0"/>
        <v>0.81252761984645028</v>
      </c>
      <c r="E12" s="5"/>
      <c r="F12" s="5"/>
    </row>
    <row r="13" spans="1:6" s="11" customFormat="1" ht="15.75" thickBot="1" x14ac:dyDescent="0.35">
      <c r="A13" s="26" t="s">
        <v>27</v>
      </c>
      <c r="B13" s="27">
        <f>SUM(B7:B12)</f>
        <v>5763289</v>
      </c>
      <c r="C13" s="27">
        <f>SUM(C7:C12)</f>
        <v>6375469</v>
      </c>
      <c r="D13" s="46">
        <f t="shared" si="0"/>
        <v>0.10622059730129792</v>
      </c>
      <c r="E13" s="5"/>
      <c r="F13" s="5"/>
    </row>
    <row r="15" spans="1:6" s="11" customFormat="1" x14ac:dyDescent="0.3">
      <c r="A15" s="6" t="s">
        <v>48</v>
      </c>
      <c r="B15" s="6">
        <v>2010</v>
      </c>
      <c r="C15" s="6">
        <v>2011</v>
      </c>
      <c r="D15" s="7" t="s">
        <v>46</v>
      </c>
      <c r="E15" s="5"/>
      <c r="F15" s="5"/>
    </row>
    <row r="16" spans="1:6" s="11" customFormat="1" x14ac:dyDescent="0.3">
      <c r="A16" s="18" t="s">
        <v>28</v>
      </c>
      <c r="B16" s="14">
        <v>23</v>
      </c>
      <c r="C16" s="14">
        <v>0</v>
      </c>
      <c r="D16" s="17">
        <f t="shared" ref="D16:D24" si="1">IF(B16&lt;&gt;0,(C16-B16)/B16,0)</f>
        <v>-1</v>
      </c>
      <c r="E16" s="5"/>
      <c r="F16" s="5"/>
    </row>
    <row r="17" spans="1:6" s="11" customFormat="1" x14ac:dyDescent="0.3">
      <c r="A17" s="18" t="s">
        <v>29</v>
      </c>
      <c r="B17" s="14">
        <v>158905</v>
      </c>
      <c r="C17" s="14">
        <v>143615</v>
      </c>
      <c r="D17" s="17">
        <f t="shared" si="1"/>
        <v>-9.6221012554671026E-2</v>
      </c>
      <c r="E17" s="5"/>
      <c r="F17" s="5"/>
    </row>
    <row r="18" spans="1:6" x14ac:dyDescent="0.3">
      <c r="A18" s="18" t="s">
        <v>30</v>
      </c>
      <c r="B18" s="14">
        <v>415</v>
      </c>
      <c r="C18" s="14">
        <v>1102</v>
      </c>
      <c r="D18" s="17">
        <f t="shared" si="1"/>
        <v>1.655421686746988</v>
      </c>
    </row>
    <row r="19" spans="1:6" x14ac:dyDescent="0.3">
      <c r="A19" s="18" t="s">
        <v>31</v>
      </c>
      <c r="B19" s="14">
        <v>176</v>
      </c>
      <c r="C19" s="14">
        <v>260</v>
      </c>
      <c r="D19" s="17">
        <f t="shared" si="1"/>
        <v>0.47727272727272729</v>
      </c>
    </row>
    <row r="20" spans="1:6" x14ac:dyDescent="0.3">
      <c r="A20" s="18" t="s">
        <v>32</v>
      </c>
      <c r="B20" s="14">
        <v>1053</v>
      </c>
      <c r="C20" s="14">
        <f>636-C19</f>
        <v>376</v>
      </c>
      <c r="D20" s="17">
        <f t="shared" si="1"/>
        <v>-0.64292497625830958</v>
      </c>
    </row>
    <row r="21" spans="1:6" x14ac:dyDescent="0.3">
      <c r="A21" s="18" t="s">
        <v>24</v>
      </c>
      <c r="B21" s="14">
        <v>10416</v>
      </c>
      <c r="C21" s="14">
        <f>24888+1</f>
        <v>24889</v>
      </c>
      <c r="D21" s="17">
        <f t="shared" si="1"/>
        <v>1.3894969278033795</v>
      </c>
    </row>
    <row r="22" spans="1:6" s="9" customFormat="1" x14ac:dyDescent="0.3">
      <c r="A22" s="29" t="s">
        <v>33</v>
      </c>
      <c r="B22" s="30">
        <f>SUM(B16:B21)</f>
        <v>170988</v>
      </c>
      <c r="C22" s="30">
        <f>SUM(C16:C21)</f>
        <v>170242</v>
      </c>
      <c r="D22" s="42">
        <f t="shared" si="1"/>
        <v>-4.3628792663812669E-3</v>
      </c>
      <c r="F22" s="5"/>
    </row>
    <row r="23" spans="1:6" s="9" customFormat="1" x14ac:dyDescent="0.3">
      <c r="A23" s="31" t="s">
        <v>34</v>
      </c>
      <c r="B23" s="32">
        <v>5592301</v>
      </c>
      <c r="C23" s="32">
        <v>6205227</v>
      </c>
      <c r="D23" s="47">
        <f t="shared" si="1"/>
        <v>0.1096017542689494</v>
      </c>
      <c r="F23" s="5"/>
    </row>
    <row r="24" spans="1:6" s="9" customFormat="1" ht="15.75" thickBot="1" x14ac:dyDescent="0.35">
      <c r="A24" s="26" t="s">
        <v>35</v>
      </c>
      <c r="B24" s="27">
        <f>+B22+B23</f>
        <v>5763289</v>
      </c>
      <c r="C24" s="27">
        <f>+C22+C23</f>
        <v>6375469</v>
      </c>
      <c r="D24" s="45">
        <f t="shared" si="1"/>
        <v>0.10622059730129792</v>
      </c>
      <c r="F24" s="5"/>
    </row>
    <row r="25" spans="1:6" x14ac:dyDescent="0.3">
      <c r="A25" s="18" t="s">
        <v>54</v>
      </c>
      <c r="B25" s="14">
        <v>435123458</v>
      </c>
      <c r="C25" s="14">
        <v>435123458</v>
      </c>
      <c r="D25" s="17"/>
    </row>
    <row r="26" spans="1:6" x14ac:dyDescent="0.3">
      <c r="A26" s="18" t="s">
        <v>71</v>
      </c>
      <c r="B26" s="33">
        <f>+B23/+(B25/1000000)</f>
        <v>12852.216760972698</v>
      </c>
      <c r="C26" s="33">
        <f>+C23/+(C25/1000000)</f>
        <v>14260.8422642201</v>
      </c>
      <c r="D26" s="17"/>
    </row>
    <row r="28" spans="1:6" ht="15.75" customHeight="1" x14ac:dyDescent="0.3">
      <c r="A28" s="6" t="s">
        <v>70</v>
      </c>
      <c r="B28" s="6">
        <v>2010</v>
      </c>
      <c r="C28" s="6">
        <v>2011</v>
      </c>
      <c r="D28" s="6" t="s">
        <v>46</v>
      </c>
    </row>
    <row r="29" spans="1:6" x14ac:dyDescent="0.3">
      <c r="A29" s="19" t="s">
        <v>64</v>
      </c>
      <c r="B29" s="17"/>
      <c r="C29" s="17"/>
      <c r="D29" s="34"/>
    </row>
    <row r="30" spans="1:6" x14ac:dyDescent="0.3">
      <c r="A30" s="19" t="s">
        <v>44</v>
      </c>
      <c r="B30" s="17"/>
      <c r="C30" s="17"/>
      <c r="D30" s="34"/>
    </row>
    <row r="31" spans="1:6" x14ac:dyDescent="0.3">
      <c r="A31" s="19" t="s">
        <v>45</v>
      </c>
      <c r="B31" s="17"/>
      <c r="C31" s="17"/>
      <c r="D31" s="34"/>
    </row>
    <row r="32" spans="1:6" s="9" customFormat="1" x14ac:dyDescent="0.3">
      <c r="A32" s="19" t="s">
        <v>72</v>
      </c>
      <c r="B32" s="30">
        <v>110577</v>
      </c>
      <c r="C32" s="30">
        <v>96973</v>
      </c>
      <c r="D32" s="17">
        <f>IF(B32&lt;&gt;0,(C32-B32)/B32,0)</f>
        <v>-0.1230273926765964</v>
      </c>
      <c r="F32" s="5"/>
    </row>
    <row r="33" spans="1:6" hidden="1" x14ac:dyDescent="0.3">
      <c r="A33" s="19" t="s">
        <v>5</v>
      </c>
      <c r="B33" s="14">
        <v>0</v>
      </c>
      <c r="C33" s="14">
        <v>0</v>
      </c>
      <c r="D33" s="17">
        <f t="shared" ref="D33:D43" si="2">IF(B33&lt;&gt;0,(C33-B33)/B33,0)</f>
        <v>0</v>
      </c>
    </row>
    <row r="34" spans="1:6" s="9" customFormat="1" x14ac:dyDescent="0.3">
      <c r="A34" s="19" t="s">
        <v>57</v>
      </c>
      <c r="B34" s="14">
        <v>6832</v>
      </c>
      <c r="C34" s="14">
        <v>16839</v>
      </c>
      <c r="D34" s="17">
        <f t="shared" si="2"/>
        <v>1.4647248243559718</v>
      </c>
      <c r="F34" s="5"/>
    </row>
    <row r="35" spans="1:6" s="9" customFormat="1" x14ac:dyDescent="0.3">
      <c r="A35" s="19" t="s">
        <v>56</v>
      </c>
      <c r="B35" s="14">
        <v>6123</v>
      </c>
      <c r="C35" s="14">
        <v>3564</v>
      </c>
      <c r="D35" s="17">
        <f t="shared" si="2"/>
        <v>-0.41793238608525235</v>
      </c>
      <c r="F35" s="5"/>
    </row>
    <row r="36" spans="1:6" s="9" customFormat="1" x14ac:dyDescent="0.3">
      <c r="A36" s="35" t="s">
        <v>4</v>
      </c>
      <c r="B36" s="30">
        <f>SUM(B32:B35)</f>
        <v>123532</v>
      </c>
      <c r="C36" s="30">
        <f>SUM(C32:C35)</f>
        <v>117376</v>
      </c>
      <c r="D36" s="17">
        <f t="shared" si="2"/>
        <v>-4.9833241589223844E-2</v>
      </c>
      <c r="F36" s="5"/>
    </row>
    <row r="37" spans="1:6" x14ac:dyDescent="0.3">
      <c r="A37" s="19" t="s">
        <v>58</v>
      </c>
      <c r="B37" s="14">
        <v>-5159</v>
      </c>
      <c r="C37" s="14">
        <v>-4222</v>
      </c>
      <c r="D37" s="17">
        <f t="shared" si="2"/>
        <v>-0.18162434580345027</v>
      </c>
    </row>
    <row r="38" spans="1:6" s="9" customFormat="1" x14ac:dyDescent="0.3">
      <c r="A38" s="35" t="s">
        <v>42</v>
      </c>
      <c r="B38" s="30">
        <f>SUM(B36:B37)</f>
        <v>118373</v>
      </c>
      <c r="C38" s="30">
        <f>SUM(C36:C37)</f>
        <v>113154</v>
      </c>
      <c r="D38" s="17">
        <f t="shared" si="2"/>
        <v>-4.4089446073006515E-2</v>
      </c>
      <c r="F38" s="5"/>
    </row>
    <row r="39" spans="1:6" s="9" customFormat="1" x14ac:dyDescent="0.3">
      <c r="A39" s="19" t="s">
        <v>10</v>
      </c>
      <c r="B39" s="14">
        <v>40</v>
      </c>
      <c r="C39" s="14">
        <v>60</v>
      </c>
      <c r="D39" s="17">
        <f t="shared" si="2"/>
        <v>0.5</v>
      </c>
      <c r="F39" s="5"/>
    </row>
    <row r="40" spans="1:6" x14ac:dyDescent="0.3">
      <c r="A40" s="19" t="s">
        <v>13</v>
      </c>
      <c r="B40" s="14">
        <v>-266</v>
      </c>
      <c r="C40" s="14">
        <v>-1086</v>
      </c>
      <c r="D40" s="17">
        <f t="shared" si="2"/>
        <v>3.0827067669172932</v>
      </c>
    </row>
    <row r="41" spans="1:6" s="9" customFormat="1" x14ac:dyDescent="0.3">
      <c r="A41" s="35" t="s">
        <v>43</v>
      </c>
      <c r="B41" s="30">
        <f>SUM(B38:B40)</f>
        <v>118147</v>
      </c>
      <c r="C41" s="30">
        <f>SUM(C38:C40)</f>
        <v>112128</v>
      </c>
      <c r="D41" s="17">
        <f t="shared" si="2"/>
        <v>-5.0945009183474825E-2</v>
      </c>
      <c r="F41" s="5"/>
    </row>
    <row r="42" spans="1:6" x14ac:dyDescent="0.3">
      <c r="A42" s="19" t="s">
        <v>15</v>
      </c>
      <c r="B42" s="14">
        <v>-196</v>
      </c>
      <c r="C42" s="14">
        <v>-55</v>
      </c>
      <c r="D42" s="17">
        <f t="shared" si="2"/>
        <v>-0.71938775510204078</v>
      </c>
    </row>
    <row r="43" spans="1:6" ht="15.75" thickBot="1" x14ac:dyDescent="0.35">
      <c r="A43" s="36" t="s">
        <v>17</v>
      </c>
      <c r="B43" s="37">
        <f>SUM(B41:B42)</f>
        <v>117951</v>
      </c>
      <c r="C43" s="37">
        <f>SUM(C41:C42)</f>
        <v>112073</v>
      </c>
      <c r="D43" s="45">
        <f t="shared" si="2"/>
        <v>-4.983425320684013E-2</v>
      </c>
    </row>
    <row r="45" spans="1:6" x14ac:dyDescent="0.3">
      <c r="A45" s="19"/>
      <c r="B45" s="14"/>
      <c r="D45" s="17"/>
    </row>
  </sheetData>
  <pageMargins left="0.70866141732283472" right="0.43307086614173229" top="0.47244094488188981" bottom="0.39370078740157483" header="0.31496062992125984" footer="0.18"/>
  <pageSetup orientation="portrait" r:id="rId1"/>
  <headerFooter>
    <oddFooter>&amp;L&amp;A</oddFooter>
  </headerFooter>
  <customProperties>
    <customPr name="_pios_id" r:id="rId2"/>
  </customPropertie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59"/>
  <sheetViews>
    <sheetView topLeftCell="A29" zoomScale="87" zoomScaleNormal="87" workbookViewId="0">
      <selection activeCell="A29" sqref="A1:IV65536"/>
    </sheetView>
  </sheetViews>
  <sheetFormatPr baseColWidth="10" defaultColWidth="11.42578125" defaultRowHeight="15" x14ac:dyDescent="0.3"/>
  <cols>
    <col min="1" max="1" width="43.42578125" style="5" customWidth="1"/>
    <col min="2" max="2" width="11.7109375" style="2" bestFit="1" customWidth="1"/>
    <col min="3" max="3" width="14.7109375" style="2" bestFit="1" customWidth="1"/>
    <col min="4" max="4" width="13.28515625" style="3" bestFit="1" customWidth="1"/>
    <col min="5" max="5" width="11.42578125" style="3"/>
    <col min="6" max="6" width="11.5703125" style="4" customWidth="1"/>
    <col min="7" max="7" width="3.42578125" style="4" customWidth="1"/>
    <col min="8" max="16384" width="11.42578125" style="5"/>
  </cols>
  <sheetData>
    <row r="1" spans="1:12" x14ac:dyDescent="0.3">
      <c r="A1" s="38" t="s">
        <v>40</v>
      </c>
      <c r="I1" s="61"/>
      <c r="J1" s="61"/>
      <c r="K1" s="61"/>
      <c r="L1" s="61"/>
    </row>
    <row r="2" spans="1:12" x14ac:dyDescent="0.3">
      <c r="A2" s="38" t="s">
        <v>63</v>
      </c>
      <c r="I2" s="61"/>
      <c r="J2" s="61"/>
      <c r="K2" s="61"/>
      <c r="L2" s="61"/>
    </row>
    <row r="3" spans="1:12" x14ac:dyDescent="0.3">
      <c r="A3" s="24" t="s">
        <v>44</v>
      </c>
    </row>
    <row r="4" spans="1:12" x14ac:dyDescent="0.3">
      <c r="A4" s="24" t="s">
        <v>45</v>
      </c>
    </row>
    <row r="6" spans="1:12" x14ac:dyDescent="0.3">
      <c r="A6" s="6" t="s">
        <v>20</v>
      </c>
      <c r="B6" s="6">
        <v>2010</v>
      </c>
      <c r="C6" s="6">
        <v>2011</v>
      </c>
      <c r="D6" s="7" t="s">
        <v>46</v>
      </c>
      <c r="E6" s="20"/>
      <c r="F6" s="23"/>
    </row>
    <row r="7" spans="1:12" x14ac:dyDescent="0.3">
      <c r="A7" s="18" t="s">
        <v>21</v>
      </c>
      <c r="B7" s="14">
        <v>119283</v>
      </c>
      <c r="C7" s="14">
        <v>134429</v>
      </c>
      <c r="D7" s="17">
        <f>+(C7-B7)/B7</f>
        <v>0.12697534434915286</v>
      </c>
      <c r="E7" s="21"/>
      <c r="F7" s="23"/>
    </row>
    <row r="8" spans="1:12" x14ac:dyDescent="0.3">
      <c r="A8" s="18" t="s">
        <v>22</v>
      </c>
      <c r="B8" s="14">
        <v>334998</v>
      </c>
      <c r="C8" s="14">
        <v>329795</v>
      </c>
      <c r="D8" s="17">
        <f t="shared" ref="D8:D16" si="0">+(C8-B8)/B8</f>
        <v>-1.5531436008573185E-2</v>
      </c>
      <c r="E8" s="21"/>
      <c r="F8" s="23"/>
    </row>
    <row r="9" spans="1:12" x14ac:dyDescent="0.3">
      <c r="A9" s="18" t="s">
        <v>23</v>
      </c>
      <c r="B9" s="14">
        <v>536436</v>
      </c>
      <c r="C9" s="14">
        <v>591193</v>
      </c>
      <c r="D9" s="17">
        <f t="shared" si="0"/>
        <v>0.10207555048505321</v>
      </c>
      <c r="E9" s="21"/>
      <c r="F9" s="23"/>
    </row>
    <row r="10" spans="1:12" x14ac:dyDescent="0.3">
      <c r="A10" s="18" t="s">
        <v>36</v>
      </c>
      <c r="B10" s="14">
        <v>511302</v>
      </c>
      <c r="C10" s="14">
        <v>620566</v>
      </c>
      <c r="D10" s="17">
        <f t="shared" si="0"/>
        <v>0.2136975799038533</v>
      </c>
      <c r="E10" s="21"/>
      <c r="F10" s="23"/>
    </row>
    <row r="11" spans="1:12" x14ac:dyDescent="0.3">
      <c r="A11" s="18" t="s">
        <v>60</v>
      </c>
      <c r="B11" s="14">
        <v>928346</v>
      </c>
      <c r="C11" s="14">
        <v>991250</v>
      </c>
      <c r="D11" s="17">
        <f t="shared" si="0"/>
        <v>6.7759219084263841E-2</v>
      </c>
      <c r="E11" s="21"/>
      <c r="F11" s="23"/>
    </row>
    <row r="12" spans="1:12" x14ac:dyDescent="0.3">
      <c r="A12" s="18" t="s">
        <v>47</v>
      </c>
      <c r="B12" s="14">
        <v>729989</v>
      </c>
      <c r="C12" s="14">
        <v>888285</v>
      </c>
      <c r="D12" s="17">
        <f t="shared" si="0"/>
        <v>0.2168471031755273</v>
      </c>
      <c r="E12" s="21"/>
      <c r="F12" s="23"/>
    </row>
    <row r="13" spans="1:12" x14ac:dyDescent="0.3">
      <c r="A13" s="18" t="s">
        <v>24</v>
      </c>
      <c r="B13" s="14">
        <f>63639</f>
        <v>63639</v>
      </c>
      <c r="C13" s="14">
        <v>131447</v>
      </c>
      <c r="D13" s="17">
        <f t="shared" si="0"/>
        <v>1.0655101431512124</v>
      </c>
      <c r="E13" s="21"/>
      <c r="F13" s="23"/>
    </row>
    <row r="14" spans="1:12" x14ac:dyDescent="0.3">
      <c r="A14" s="18" t="s">
        <v>25</v>
      </c>
      <c r="B14" s="14">
        <v>967</v>
      </c>
      <c r="C14" s="14">
        <v>2325</v>
      </c>
      <c r="D14" s="17">
        <f t="shared" si="0"/>
        <v>1.4043433298862462</v>
      </c>
      <c r="E14" s="21"/>
      <c r="F14" s="23"/>
    </row>
    <row r="15" spans="1:12" x14ac:dyDescent="0.3">
      <c r="A15" s="18" t="s">
        <v>26</v>
      </c>
      <c r="B15" s="14">
        <v>3953164</v>
      </c>
      <c r="C15" s="14">
        <v>4512109</v>
      </c>
      <c r="D15" s="17">
        <f t="shared" si="0"/>
        <v>0.14139180666423148</v>
      </c>
      <c r="E15" s="21"/>
      <c r="F15" s="23"/>
    </row>
    <row r="16" spans="1:12" ht="15.75" thickBot="1" x14ac:dyDescent="0.35">
      <c r="A16" s="26" t="s">
        <v>27</v>
      </c>
      <c r="B16" s="27">
        <f>SUM(B7:B15)</f>
        <v>7178124</v>
      </c>
      <c r="C16" s="27">
        <f>SUM(C7:C15)</f>
        <v>8201399</v>
      </c>
      <c r="D16" s="45">
        <f t="shared" si="0"/>
        <v>0.14255465634196343</v>
      </c>
      <c r="E16" s="22"/>
      <c r="F16" s="23"/>
    </row>
    <row r="17" spans="1:6" x14ac:dyDescent="0.3">
      <c r="A17" s="1"/>
      <c r="C17" s="14"/>
      <c r="E17" s="21"/>
      <c r="F17" s="23"/>
    </row>
    <row r="18" spans="1:6" x14ac:dyDescent="0.3">
      <c r="A18" s="6" t="s">
        <v>48</v>
      </c>
      <c r="B18" s="6">
        <v>2010</v>
      </c>
      <c r="C18" s="6">
        <v>2011</v>
      </c>
      <c r="D18" s="7" t="s">
        <v>46</v>
      </c>
      <c r="E18" s="20"/>
      <c r="F18" s="23"/>
    </row>
    <row r="19" spans="1:6" x14ac:dyDescent="0.3">
      <c r="A19" s="18" t="s">
        <v>28</v>
      </c>
      <c r="B19" s="14">
        <v>909586</v>
      </c>
      <c r="C19" s="14">
        <v>1182313</v>
      </c>
      <c r="D19" s="17">
        <f t="shared" ref="D19:D30" si="1">+(C19-B19)/B19</f>
        <v>0.29983640909160869</v>
      </c>
      <c r="E19" s="21"/>
      <c r="F19" s="23"/>
    </row>
    <row r="20" spans="1:6" x14ac:dyDescent="0.3">
      <c r="A20" s="18" t="s">
        <v>49</v>
      </c>
      <c r="B20" s="14">
        <v>108192</v>
      </c>
      <c r="C20" s="14">
        <v>156545</v>
      </c>
      <c r="D20" s="17">
        <f t="shared" si="1"/>
        <v>0.44691844128955932</v>
      </c>
      <c r="E20" s="21"/>
      <c r="F20" s="23"/>
    </row>
    <row r="21" spans="1:6" x14ac:dyDescent="0.3">
      <c r="A21" s="18" t="s">
        <v>38</v>
      </c>
      <c r="B21" s="14">
        <v>255329</v>
      </c>
      <c r="C21" s="14">
        <v>245133</v>
      </c>
      <c r="D21" s="17">
        <f t="shared" si="1"/>
        <v>-3.9932792593085784E-2</v>
      </c>
      <c r="E21" s="21"/>
      <c r="F21" s="23"/>
    </row>
    <row r="22" spans="1:6" x14ac:dyDescent="0.3">
      <c r="A22" s="18" t="s">
        <v>30</v>
      </c>
      <c r="B22" s="14">
        <v>59321</v>
      </c>
      <c r="C22" s="14">
        <v>134089</v>
      </c>
      <c r="D22" s="17">
        <f t="shared" si="1"/>
        <v>1.2603968240589336</v>
      </c>
      <c r="E22" s="21"/>
      <c r="F22" s="23"/>
    </row>
    <row r="23" spans="1:6" x14ac:dyDescent="0.3">
      <c r="A23" s="18" t="s">
        <v>31</v>
      </c>
      <c r="B23" s="14">
        <v>39290</v>
      </c>
      <c r="C23" s="14">
        <v>44914</v>
      </c>
      <c r="D23" s="17">
        <f t="shared" si="1"/>
        <v>0.1431407482820056</v>
      </c>
      <c r="E23" s="21"/>
      <c r="F23" s="23"/>
    </row>
    <row r="24" spans="1:6" x14ac:dyDescent="0.3">
      <c r="A24" s="18" t="s">
        <v>32</v>
      </c>
      <c r="B24" s="14">
        <v>160042</v>
      </c>
      <c r="C24" s="14">
        <v>142956</v>
      </c>
      <c r="D24" s="17">
        <f t="shared" si="1"/>
        <v>-0.10675947563764512</v>
      </c>
      <c r="E24" s="21"/>
      <c r="F24" s="23"/>
    </row>
    <row r="25" spans="1:6" x14ac:dyDescent="0.3">
      <c r="A25" s="18" t="s">
        <v>24</v>
      </c>
      <c r="B25" s="14">
        <v>51362</v>
      </c>
      <c r="C25" s="14">
        <v>69193</v>
      </c>
      <c r="D25" s="17">
        <f t="shared" si="1"/>
        <v>0.34716327245823758</v>
      </c>
      <c r="E25" s="21"/>
      <c r="F25" s="23"/>
    </row>
    <row r="26" spans="1:6" x14ac:dyDescent="0.3">
      <c r="A26" s="18" t="s">
        <v>0</v>
      </c>
      <c r="B26" s="14">
        <v>2980</v>
      </c>
      <c r="C26" s="14">
        <v>3341</v>
      </c>
      <c r="D26" s="17">
        <f t="shared" si="1"/>
        <v>0.12114093959731544</v>
      </c>
      <c r="E26" s="21"/>
      <c r="F26" s="23"/>
    </row>
    <row r="27" spans="1:6" x14ac:dyDescent="0.3">
      <c r="A27" s="18" t="s">
        <v>33</v>
      </c>
      <c r="B27" s="30">
        <f>SUM(B19:B26)</f>
        <v>1586102</v>
      </c>
      <c r="C27" s="30">
        <f>SUM(C19:C26)</f>
        <v>1978484</v>
      </c>
      <c r="D27" s="17">
        <f t="shared" si="1"/>
        <v>0.24738762072048329</v>
      </c>
      <c r="E27" s="21"/>
      <c r="F27" s="23"/>
    </row>
    <row r="28" spans="1:6" x14ac:dyDescent="0.3">
      <c r="A28" s="18" t="s">
        <v>39</v>
      </c>
      <c r="B28" s="14">
        <v>3835</v>
      </c>
      <c r="C28" s="14">
        <v>14306</v>
      </c>
      <c r="D28" s="17">
        <f t="shared" si="1"/>
        <v>2.7303780964797912</v>
      </c>
      <c r="E28" s="21"/>
      <c r="F28" s="23"/>
    </row>
    <row r="29" spans="1:6" x14ac:dyDescent="0.3">
      <c r="A29" s="32" t="s">
        <v>34</v>
      </c>
      <c r="B29" s="32">
        <v>5588187</v>
      </c>
      <c r="C29" s="32">
        <v>6208609</v>
      </c>
      <c r="D29" s="47">
        <f t="shared" si="1"/>
        <v>0.11102384369027021</v>
      </c>
      <c r="E29" s="22"/>
      <c r="F29" s="22"/>
    </row>
    <row r="30" spans="1:6" ht="15.75" thickBot="1" x14ac:dyDescent="0.35">
      <c r="A30" s="27" t="s">
        <v>35</v>
      </c>
      <c r="B30" s="27">
        <f>+B27+B28+B29</f>
        <v>7178124</v>
      </c>
      <c r="C30" s="27">
        <f>+C27+C28+C29</f>
        <v>8201399</v>
      </c>
      <c r="D30" s="45">
        <f t="shared" si="1"/>
        <v>0.14255465634196343</v>
      </c>
      <c r="E30" s="22"/>
      <c r="F30" s="22"/>
    </row>
    <row r="31" spans="1:6" x14ac:dyDescent="0.3">
      <c r="A31" s="19"/>
      <c r="B31" s="14"/>
      <c r="C31" s="14"/>
      <c r="D31" s="17"/>
      <c r="E31" s="21"/>
      <c r="F31" s="23"/>
    </row>
    <row r="32" spans="1:6" x14ac:dyDescent="0.3">
      <c r="A32" s="41" t="s">
        <v>3</v>
      </c>
      <c r="B32" s="14"/>
      <c r="C32" s="14"/>
      <c r="D32" s="17"/>
      <c r="E32" s="21"/>
      <c r="F32" s="23"/>
    </row>
    <row r="33" spans="1:19" x14ac:dyDescent="0.3">
      <c r="A33" s="41" t="s">
        <v>64</v>
      </c>
      <c r="B33" s="14"/>
      <c r="C33" s="14"/>
      <c r="D33" s="17"/>
    </row>
    <row r="34" spans="1:19" x14ac:dyDescent="0.3">
      <c r="A34" s="41" t="s">
        <v>44</v>
      </c>
      <c r="B34" s="14"/>
      <c r="C34" s="14"/>
      <c r="D34" s="17"/>
    </row>
    <row r="35" spans="1:19" x14ac:dyDescent="0.3">
      <c r="A35" s="41" t="s">
        <v>45</v>
      </c>
      <c r="B35" s="14"/>
      <c r="C35" s="14"/>
      <c r="D35" s="17"/>
    </row>
    <row r="36" spans="1:19" x14ac:dyDescent="0.3">
      <c r="A36" s="6"/>
      <c r="B36" s="6">
        <v>2010</v>
      </c>
      <c r="C36" s="6" t="s">
        <v>55</v>
      </c>
      <c r="D36" s="6">
        <v>2011</v>
      </c>
      <c r="E36" s="6" t="s">
        <v>55</v>
      </c>
      <c r="F36" s="7" t="s">
        <v>46</v>
      </c>
    </row>
    <row r="37" spans="1:19" s="9" customFormat="1" x14ac:dyDescent="0.3">
      <c r="A37" s="30" t="s">
        <v>4</v>
      </c>
      <c r="B37" s="50">
        <v>2078760</v>
      </c>
      <c r="C37" s="42">
        <v>1</v>
      </c>
      <c r="D37" s="50">
        <v>2340233</v>
      </c>
      <c r="E37" s="42">
        <v>1</v>
      </c>
      <c r="F37" s="17">
        <f>IF(B37&lt;&gt;0,(D37-B37)/B37,0)</f>
        <v>0.1257831591910562</v>
      </c>
      <c r="G37" s="8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</row>
    <row r="38" spans="1:19" x14ac:dyDescent="0.3">
      <c r="A38" s="14" t="s">
        <v>50</v>
      </c>
      <c r="B38" s="51">
        <v>-1257579</v>
      </c>
      <c r="C38" s="17">
        <f t="shared" ref="C38:C56" si="2">+B38/$B$37</f>
        <v>-0.60496594123419734</v>
      </c>
      <c r="D38" s="51">
        <v>-1408050</v>
      </c>
      <c r="E38" s="17">
        <f>+D38/$D$37</f>
        <v>-0.6016708592691411</v>
      </c>
      <c r="F38" s="17">
        <f t="shared" ref="F38:F54" si="3">IF(B38&lt;&gt;0,(D38-B38)/B38,0)</f>
        <v>0.11965133005560684</v>
      </c>
    </row>
    <row r="39" spans="1:19" s="9" customFormat="1" x14ac:dyDescent="0.3">
      <c r="A39" s="30" t="s">
        <v>6</v>
      </c>
      <c r="B39" s="30">
        <f>SUM(B37:B38)</f>
        <v>821181</v>
      </c>
      <c r="C39" s="42">
        <f t="shared" si="2"/>
        <v>0.39503405876580266</v>
      </c>
      <c r="D39" s="30">
        <f>SUM(D37:D38)</f>
        <v>932183</v>
      </c>
      <c r="E39" s="42">
        <f t="shared" ref="E39:E56" si="4">+D39/$D$37</f>
        <v>0.39832914073085884</v>
      </c>
      <c r="F39" s="17">
        <f t="shared" si="3"/>
        <v>0.13517360971576303</v>
      </c>
      <c r="G39" s="8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</row>
    <row r="40" spans="1:19" x14ac:dyDescent="0.3">
      <c r="A40" s="14" t="s">
        <v>7</v>
      </c>
      <c r="B40" s="14">
        <v>-107201</v>
      </c>
      <c r="C40" s="17">
        <f t="shared" si="2"/>
        <v>-5.1569685774211546E-2</v>
      </c>
      <c r="D40" s="14">
        <v>-121989</v>
      </c>
      <c r="E40" s="17">
        <f t="shared" si="4"/>
        <v>-5.2126860872400316E-2</v>
      </c>
      <c r="F40" s="17">
        <f t="shared" si="3"/>
        <v>0.13794647437990318</v>
      </c>
    </row>
    <row r="41" spans="1:19" x14ac:dyDescent="0.3">
      <c r="A41" s="14" t="s">
        <v>8</v>
      </c>
      <c r="B41" s="14">
        <v>-501112</v>
      </c>
      <c r="C41" s="17">
        <f t="shared" si="2"/>
        <v>-0.241062941368893</v>
      </c>
      <c r="D41" s="14">
        <v>-543665</v>
      </c>
      <c r="E41" s="17">
        <f t="shared" si="4"/>
        <v>-0.23231233813043403</v>
      </c>
      <c r="F41" s="17">
        <f t="shared" si="3"/>
        <v>8.4917144271140985E-2</v>
      </c>
    </row>
    <row r="42" spans="1:19" x14ac:dyDescent="0.3">
      <c r="A42" s="14" t="s">
        <v>84</v>
      </c>
      <c r="B42" s="14"/>
      <c r="C42" s="17">
        <f t="shared" si="2"/>
        <v>0</v>
      </c>
      <c r="D42" s="14">
        <v>-52555</v>
      </c>
      <c r="E42" s="17">
        <f>+D42/$D$37</f>
        <v>-2.2457165589922029E-2</v>
      </c>
      <c r="F42" s="17">
        <f>IF(B42&lt;&gt;0,(D42-B42)/B42,0)</f>
        <v>0</v>
      </c>
    </row>
    <row r="43" spans="1:19" s="9" customFormat="1" x14ac:dyDescent="0.3">
      <c r="A43" s="30" t="s">
        <v>9</v>
      </c>
      <c r="B43" s="30">
        <f>SUM(B40:B42)</f>
        <v>-608313</v>
      </c>
      <c r="C43" s="42">
        <f t="shared" si="2"/>
        <v>-0.29263262714310456</v>
      </c>
      <c r="D43" s="30">
        <f>SUM(D40:D42)</f>
        <v>-718209</v>
      </c>
      <c r="E43" s="42">
        <f t="shared" si="4"/>
        <v>-0.30689636459275638</v>
      </c>
      <c r="F43" s="17">
        <f t="shared" si="3"/>
        <v>0.18065699730237558</v>
      </c>
      <c r="G43" s="8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</row>
    <row r="44" spans="1:19" s="9" customFormat="1" x14ac:dyDescent="0.3">
      <c r="A44" s="30" t="s">
        <v>1</v>
      </c>
      <c r="B44" s="30">
        <f>+B39+B43</f>
        <v>212868</v>
      </c>
      <c r="C44" s="42">
        <f t="shared" si="2"/>
        <v>0.10240143162269814</v>
      </c>
      <c r="D44" s="30">
        <f>+D39+D43</f>
        <v>213974</v>
      </c>
      <c r="E44" s="42">
        <f t="shared" si="4"/>
        <v>9.1432776138102481E-2</v>
      </c>
      <c r="F44" s="17">
        <f t="shared" si="3"/>
        <v>5.1957081383768346E-3</v>
      </c>
      <c r="G44" s="8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</row>
    <row r="45" spans="1:19" x14ac:dyDescent="0.3">
      <c r="A45" s="14" t="s">
        <v>51</v>
      </c>
      <c r="B45" s="14">
        <v>1962</v>
      </c>
      <c r="C45" s="17">
        <f t="shared" si="2"/>
        <v>9.4383189978641108E-4</v>
      </c>
      <c r="D45" s="14">
        <v>2642</v>
      </c>
      <c r="E45" s="17">
        <f t="shared" si="4"/>
        <v>1.1289474167743127E-3</v>
      </c>
      <c r="F45" s="17">
        <f t="shared" si="3"/>
        <v>0.34658511722731905</v>
      </c>
    </row>
    <row r="46" spans="1:19" x14ac:dyDescent="0.3">
      <c r="A46" s="14" t="s">
        <v>11</v>
      </c>
      <c r="B46" s="14">
        <v>-37169</v>
      </c>
      <c r="C46" s="17">
        <f t="shared" si="2"/>
        <v>-1.7880370990398121E-2</v>
      </c>
      <c r="D46" s="14">
        <v>-45293</v>
      </c>
      <c r="E46" s="17">
        <f t="shared" si="4"/>
        <v>-1.9354055771369776E-2</v>
      </c>
      <c r="F46" s="17">
        <f t="shared" si="3"/>
        <v>0.21856923780569829</v>
      </c>
    </row>
    <row r="47" spans="1:19" x14ac:dyDescent="0.3">
      <c r="A47" s="14" t="s">
        <v>12</v>
      </c>
      <c r="B47" s="14">
        <v>-6747</v>
      </c>
      <c r="C47" s="17">
        <f t="shared" si="2"/>
        <v>-3.2456849275529641E-3</v>
      </c>
      <c r="D47" s="14">
        <v>925</v>
      </c>
      <c r="E47" s="17">
        <f t="shared" si="4"/>
        <v>3.9525978823476123E-4</v>
      </c>
      <c r="F47" s="17">
        <f t="shared" si="3"/>
        <v>-1.1370979694679118</v>
      </c>
    </row>
    <row r="48" spans="1:19" x14ac:dyDescent="0.3">
      <c r="A48" s="14" t="s">
        <v>52</v>
      </c>
      <c r="B48" s="14">
        <v>-5404</v>
      </c>
      <c r="C48" s="17">
        <f t="shared" si="2"/>
        <v>-2.5996267005330099E-3</v>
      </c>
      <c r="D48" s="14">
        <v>-761</v>
      </c>
      <c r="E48" s="17">
        <f t="shared" si="4"/>
        <v>-3.2518129605043603E-4</v>
      </c>
      <c r="F48" s="17">
        <f t="shared" si="3"/>
        <v>-0.85917838638045896</v>
      </c>
    </row>
    <row r="49" spans="1:19" x14ac:dyDescent="0.3">
      <c r="A49" s="14" t="s">
        <v>14</v>
      </c>
      <c r="B49" s="14">
        <v>15210</v>
      </c>
      <c r="C49" s="17">
        <f t="shared" si="2"/>
        <v>7.3168619754084164E-3</v>
      </c>
      <c r="D49" s="14">
        <v>16895</v>
      </c>
      <c r="E49" s="17">
        <f t="shared" si="4"/>
        <v>7.219366618623017E-3</v>
      </c>
      <c r="F49" s="17">
        <f t="shared" si="3"/>
        <v>0.11078238001314925</v>
      </c>
    </row>
    <row r="50" spans="1:19" x14ac:dyDescent="0.3">
      <c r="A50" s="14" t="s">
        <v>16</v>
      </c>
      <c r="B50" s="14">
        <v>-160</v>
      </c>
      <c r="C50" s="17">
        <f t="shared" si="2"/>
        <v>-7.6968962265966249E-5</v>
      </c>
      <c r="D50" s="14">
        <v>-112</v>
      </c>
      <c r="E50" s="17">
        <f t="shared" si="4"/>
        <v>-4.7858482467344066E-5</v>
      </c>
      <c r="F50" s="17">
        <f t="shared" si="3"/>
        <v>-0.3</v>
      </c>
    </row>
    <row r="51" spans="1:19" s="9" customFormat="1" x14ac:dyDescent="0.3">
      <c r="A51" s="30" t="s">
        <v>2</v>
      </c>
      <c r="B51" s="30">
        <f>SUM(B45:B50)</f>
        <v>-32308</v>
      </c>
      <c r="C51" s="42">
        <f t="shared" si="2"/>
        <v>-1.5541957705555234E-2</v>
      </c>
      <c r="D51" s="30">
        <f>SUM(D45:D50)</f>
        <v>-25704</v>
      </c>
      <c r="E51" s="42">
        <f t="shared" si="4"/>
        <v>-1.0983521726255463E-2</v>
      </c>
      <c r="F51" s="17">
        <f t="shared" si="3"/>
        <v>-0.20440757707069457</v>
      </c>
      <c r="G51" s="8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</row>
    <row r="52" spans="1:19" s="9" customFormat="1" x14ac:dyDescent="0.3">
      <c r="A52" s="30" t="s">
        <v>41</v>
      </c>
      <c r="B52" s="30">
        <f>+B44+B51</f>
        <v>180560</v>
      </c>
      <c r="C52" s="42">
        <f t="shared" si="2"/>
        <v>8.685947391714291E-2</v>
      </c>
      <c r="D52" s="30">
        <f>+D44+D51</f>
        <v>188270</v>
      </c>
      <c r="E52" s="42">
        <f t="shared" si="4"/>
        <v>8.0449254411847027E-2</v>
      </c>
      <c r="F52" s="17">
        <f t="shared" si="3"/>
        <v>4.2700487372618522E-2</v>
      </c>
      <c r="G52" s="8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</row>
    <row r="53" spans="1:19" x14ac:dyDescent="0.3">
      <c r="A53" s="14" t="s">
        <v>15</v>
      </c>
      <c r="B53" s="14">
        <v>-55664</v>
      </c>
      <c r="C53" s="17">
        <f t="shared" si="2"/>
        <v>-2.6777501972329656E-2</v>
      </c>
      <c r="D53" s="14">
        <v>-72274</v>
      </c>
      <c r="E53" s="17">
        <f t="shared" si="4"/>
        <v>-3.0883249659328794E-2</v>
      </c>
      <c r="F53" s="17">
        <f t="shared" si="3"/>
        <v>0.29839752802529462</v>
      </c>
    </row>
    <row r="54" spans="1:19" x14ac:dyDescent="0.3">
      <c r="A54" s="14" t="s">
        <v>18</v>
      </c>
      <c r="B54" s="14">
        <v>-299</v>
      </c>
      <c r="C54" s="17">
        <f t="shared" si="2"/>
        <v>-1.4383574823452442E-4</v>
      </c>
      <c r="D54" s="14">
        <v>-1456</v>
      </c>
      <c r="E54" s="17">
        <f t="shared" si="4"/>
        <v>-6.2216027207547279E-4</v>
      </c>
      <c r="F54" s="17">
        <f t="shared" si="3"/>
        <v>3.8695652173913042</v>
      </c>
    </row>
    <row r="55" spans="1:19" s="9" customFormat="1" x14ac:dyDescent="0.3">
      <c r="A55" s="43" t="s">
        <v>17</v>
      </c>
      <c r="B55" s="43">
        <f>+B52+B53+B54</f>
        <v>124597</v>
      </c>
      <c r="C55" s="44">
        <f t="shared" si="2"/>
        <v>5.9938136196578728E-2</v>
      </c>
      <c r="D55" s="43">
        <f>+D52+D53+D54</f>
        <v>114540</v>
      </c>
      <c r="E55" s="44">
        <f t="shared" si="4"/>
        <v>4.8943844480442762E-2</v>
      </c>
      <c r="F55" s="44">
        <f>+(D55-B55)/B55</f>
        <v>-8.0716229122691552E-2</v>
      </c>
      <c r="G55" s="8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</row>
    <row r="56" spans="1:19" s="9" customFormat="1" ht="15.75" thickBot="1" x14ac:dyDescent="0.35">
      <c r="A56" s="27" t="s">
        <v>19</v>
      </c>
      <c r="B56" s="27">
        <v>261229</v>
      </c>
      <c r="C56" s="45">
        <f t="shared" si="2"/>
        <v>0.12566578152360061</v>
      </c>
      <c r="D56" s="27">
        <v>280849</v>
      </c>
      <c r="E56" s="45">
        <f t="shared" si="4"/>
        <v>0.12000899055777779</v>
      </c>
      <c r="F56" s="45">
        <f>+(D56-B56)/B56</f>
        <v>7.5106515739064197E-2</v>
      </c>
      <c r="G56" s="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</row>
    <row r="57" spans="1:19" x14ac:dyDescent="0.3">
      <c r="A57" s="2"/>
      <c r="C57" s="3"/>
      <c r="D57" s="10"/>
    </row>
    <row r="58" spans="1:19" x14ac:dyDescent="0.3">
      <c r="A58" s="19" t="s">
        <v>53</v>
      </c>
      <c r="B58" s="14"/>
      <c r="C58" s="14"/>
      <c r="D58" s="17"/>
    </row>
    <row r="59" spans="1:19" x14ac:dyDescent="0.3">
      <c r="D59" s="10"/>
    </row>
  </sheetData>
  <pageMargins left="0.70866141732283472" right="0.43307086614173229" top="0.43307086614173229" bottom="0.51181102362204722" header="0.31496062992125984" footer="0.31496062992125984"/>
  <pageSetup scale="85" orientation="portrait" r:id="rId1"/>
  <headerFooter>
    <oddFooter>&amp;C&amp;A</oddFooter>
  </headerFooter>
  <customProperties>
    <customPr name="_pios_id" r:id="rId2"/>
  </customPropertie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5"/>
  <sheetViews>
    <sheetView zoomScale="86" zoomScaleNormal="86" workbookViewId="0">
      <selection sqref="A1:IV65536"/>
    </sheetView>
  </sheetViews>
  <sheetFormatPr baseColWidth="10" defaultColWidth="11.42578125" defaultRowHeight="15" x14ac:dyDescent="0.3"/>
  <cols>
    <col min="1" max="1" width="43.7109375" style="5" customWidth="1"/>
    <col min="2" max="3" width="11.7109375" style="2" bestFit="1" customWidth="1"/>
    <col min="4" max="4" width="13.28515625" style="3" bestFit="1" customWidth="1"/>
    <col min="5" max="16384" width="11.42578125" style="5"/>
  </cols>
  <sheetData>
    <row r="1" spans="1:10" x14ac:dyDescent="0.3">
      <c r="A1" s="24" t="s">
        <v>69</v>
      </c>
    </row>
    <row r="2" spans="1:10" x14ac:dyDescent="0.3">
      <c r="A2" s="24" t="s">
        <v>78</v>
      </c>
    </row>
    <row r="3" spans="1:10" x14ac:dyDescent="0.3">
      <c r="A3" s="24" t="s">
        <v>44</v>
      </c>
    </row>
    <row r="4" spans="1:10" x14ac:dyDescent="0.3">
      <c r="A4" s="24" t="s">
        <v>45</v>
      </c>
    </row>
    <row r="5" spans="1:10" ht="12" customHeight="1" x14ac:dyDescent="0.3"/>
    <row r="6" spans="1:10" x14ac:dyDescent="0.3">
      <c r="A6" s="6" t="s">
        <v>20</v>
      </c>
      <c r="B6" s="6">
        <v>2010</v>
      </c>
      <c r="C6" s="6">
        <v>2011</v>
      </c>
      <c r="D6" s="7" t="s">
        <v>46</v>
      </c>
    </row>
    <row r="7" spans="1:10" x14ac:dyDescent="0.3">
      <c r="A7" s="18" t="s">
        <v>21</v>
      </c>
      <c r="B7" s="14">
        <v>618</v>
      </c>
      <c r="C7" s="14">
        <v>19526</v>
      </c>
      <c r="D7" s="17">
        <f t="shared" ref="D7:D13" si="0">IF(B7&lt;&gt;0,(C7-B7)/B7,0)</f>
        <v>30.595469255663431</v>
      </c>
    </row>
    <row r="8" spans="1:10" x14ac:dyDescent="0.3">
      <c r="A8" s="18" t="s">
        <v>22</v>
      </c>
      <c r="B8" s="14">
        <v>2628396</v>
      </c>
      <c r="C8" s="14">
        <v>3391681</v>
      </c>
      <c r="D8" s="17">
        <f t="shared" si="0"/>
        <v>0.29039954405652724</v>
      </c>
    </row>
    <row r="9" spans="1:10" s="11" customFormat="1" ht="14.25" customHeight="1" x14ac:dyDescent="0.3">
      <c r="A9" s="18" t="s">
        <v>23</v>
      </c>
      <c r="B9" s="14">
        <v>37824</v>
      </c>
      <c r="C9" s="14">
        <v>216302</v>
      </c>
      <c r="D9" s="17">
        <f t="shared" si="0"/>
        <v>4.7186442470389167</v>
      </c>
      <c r="E9" s="5"/>
      <c r="F9" s="5"/>
      <c r="H9" s="5"/>
      <c r="I9" s="5"/>
      <c r="J9" s="5"/>
    </row>
    <row r="10" spans="1:10" s="11" customFormat="1" hidden="1" x14ac:dyDescent="0.3">
      <c r="A10" s="18" t="s">
        <v>37</v>
      </c>
      <c r="B10" s="14">
        <v>0</v>
      </c>
      <c r="C10" s="14">
        <v>0</v>
      </c>
      <c r="D10" s="17">
        <f t="shared" si="0"/>
        <v>0</v>
      </c>
      <c r="E10" s="5"/>
      <c r="F10" s="5"/>
      <c r="H10" s="5"/>
      <c r="I10" s="5"/>
      <c r="J10" s="5"/>
    </row>
    <row r="11" spans="1:10" s="11" customFormat="1" x14ac:dyDescent="0.3">
      <c r="A11" s="18" t="s">
        <v>59</v>
      </c>
      <c r="B11" s="14">
        <f>110+155</f>
        <v>265</v>
      </c>
      <c r="C11" s="14">
        <f>503+155</f>
        <v>658</v>
      </c>
      <c r="D11" s="17">
        <f t="shared" si="0"/>
        <v>1.4830188679245282</v>
      </c>
      <c r="E11" s="5"/>
      <c r="F11" s="5"/>
      <c r="H11" s="5"/>
      <c r="I11" s="5"/>
      <c r="J11" s="5"/>
    </row>
    <row r="12" spans="1:10" s="11" customFormat="1" x14ac:dyDescent="0.3">
      <c r="A12" s="18" t="s">
        <v>26</v>
      </c>
      <c r="B12" s="14">
        <v>3880021</v>
      </c>
      <c r="C12" s="14">
        <v>3141857</v>
      </c>
      <c r="D12" s="17">
        <f t="shared" si="0"/>
        <v>-0.19024742391858188</v>
      </c>
      <c r="E12" s="5"/>
      <c r="F12" s="5"/>
      <c r="H12" s="5"/>
      <c r="I12" s="5"/>
      <c r="J12" s="5"/>
    </row>
    <row r="13" spans="1:10" s="11" customFormat="1" ht="15.75" thickBot="1" x14ac:dyDescent="0.35">
      <c r="A13" s="26" t="s">
        <v>27</v>
      </c>
      <c r="B13" s="27">
        <f>SUM(B7:B12)</f>
        <v>6547124</v>
      </c>
      <c r="C13" s="27">
        <f>SUM(C7:C12)</f>
        <v>6770024</v>
      </c>
      <c r="D13" s="46">
        <f t="shared" si="0"/>
        <v>3.4045483177040786E-2</v>
      </c>
      <c r="E13" s="5"/>
      <c r="F13" s="5"/>
      <c r="H13" s="5"/>
      <c r="I13" s="5"/>
      <c r="J13" s="5"/>
    </row>
    <row r="15" spans="1:10" s="11" customFormat="1" x14ac:dyDescent="0.3">
      <c r="A15" s="6" t="s">
        <v>48</v>
      </c>
      <c r="B15" s="6">
        <v>2010</v>
      </c>
      <c r="C15" s="6">
        <v>2011</v>
      </c>
      <c r="D15" s="7" t="s">
        <v>46</v>
      </c>
      <c r="E15" s="5"/>
      <c r="F15" s="5"/>
      <c r="H15" s="5"/>
      <c r="I15" s="5"/>
      <c r="J15" s="5"/>
    </row>
    <row r="16" spans="1:10" s="11" customFormat="1" hidden="1" x14ac:dyDescent="0.3">
      <c r="A16" s="18" t="s">
        <v>28</v>
      </c>
      <c r="B16" s="14">
        <v>0</v>
      </c>
      <c r="C16" s="14">
        <v>0</v>
      </c>
      <c r="D16" s="17">
        <f t="shared" ref="D16:D24" si="1">IF(B16&lt;&gt;0,(C16-B16)/B16,0)</f>
        <v>0</v>
      </c>
      <c r="E16" s="5"/>
      <c r="F16" s="5"/>
      <c r="H16" s="5"/>
      <c r="I16" s="5"/>
      <c r="J16" s="5"/>
    </row>
    <row r="17" spans="1:10" s="11" customFormat="1" x14ac:dyDescent="0.3">
      <c r="A17" s="18" t="s">
        <v>29</v>
      </c>
      <c r="B17" s="14">
        <v>111269</v>
      </c>
      <c r="C17" s="14">
        <v>301838</v>
      </c>
      <c r="D17" s="17">
        <f t="shared" si="1"/>
        <v>1.7126872713873587</v>
      </c>
      <c r="E17" s="5"/>
      <c r="F17" s="5"/>
      <c r="H17" s="5"/>
      <c r="I17" s="5"/>
      <c r="J17" s="5"/>
    </row>
    <row r="18" spans="1:10" x14ac:dyDescent="0.3">
      <c r="A18" s="18" t="s">
        <v>30</v>
      </c>
      <c r="B18" s="14">
        <v>298</v>
      </c>
      <c r="C18" s="14">
        <v>1269</v>
      </c>
      <c r="D18" s="17">
        <f t="shared" si="1"/>
        <v>3.2583892617449663</v>
      </c>
    </row>
    <row r="19" spans="1:10" x14ac:dyDescent="0.3">
      <c r="A19" s="18" t="s">
        <v>31</v>
      </c>
      <c r="B19" s="14">
        <v>279</v>
      </c>
      <c r="C19" s="14">
        <v>113</v>
      </c>
      <c r="D19" s="17">
        <f t="shared" si="1"/>
        <v>-0.59498207885304655</v>
      </c>
    </row>
    <row r="20" spans="1:10" x14ac:dyDescent="0.3">
      <c r="A20" s="18" t="s">
        <v>32</v>
      </c>
      <c r="B20" s="14">
        <v>2936</v>
      </c>
      <c r="C20" s="14">
        <v>642</v>
      </c>
      <c r="D20" s="17">
        <f t="shared" si="1"/>
        <v>-0.78133514986376018</v>
      </c>
    </row>
    <row r="21" spans="1:10" x14ac:dyDescent="0.3">
      <c r="A21" s="18" t="s">
        <v>24</v>
      </c>
      <c r="B21" s="14">
        <v>15300</v>
      </c>
      <c r="C21" s="14">
        <v>16593</v>
      </c>
      <c r="D21" s="17">
        <f t="shared" si="1"/>
        <v>8.4509803921568621E-2</v>
      </c>
    </row>
    <row r="22" spans="1:10" s="9" customFormat="1" x14ac:dyDescent="0.3">
      <c r="A22" s="29" t="s">
        <v>33</v>
      </c>
      <c r="B22" s="30">
        <f>SUM(B16:B21)</f>
        <v>130082</v>
      </c>
      <c r="C22" s="30">
        <f>SUM(C16:C21)</f>
        <v>320455</v>
      </c>
      <c r="D22" s="42">
        <f t="shared" si="1"/>
        <v>1.4634845712704294</v>
      </c>
      <c r="F22" s="5"/>
      <c r="H22" s="5"/>
      <c r="I22" s="5"/>
      <c r="J22" s="5"/>
    </row>
    <row r="23" spans="1:10" s="9" customFormat="1" x14ac:dyDescent="0.3">
      <c r="A23" s="31" t="s">
        <v>34</v>
      </c>
      <c r="B23" s="32">
        <v>6417042</v>
      </c>
      <c r="C23" s="32">
        <v>6449569</v>
      </c>
      <c r="D23" s="47">
        <f t="shared" si="1"/>
        <v>5.0688463625452353E-3</v>
      </c>
      <c r="F23" s="5"/>
      <c r="H23" s="5"/>
      <c r="I23" s="5"/>
      <c r="J23" s="5"/>
    </row>
    <row r="24" spans="1:10" s="9" customFormat="1" ht="15.75" thickBot="1" x14ac:dyDescent="0.35">
      <c r="A24" s="26" t="s">
        <v>35</v>
      </c>
      <c r="B24" s="27">
        <f>+B22+B23</f>
        <v>6547124</v>
      </c>
      <c r="C24" s="27">
        <f>+C22+C23</f>
        <v>6770024</v>
      </c>
      <c r="D24" s="45">
        <f t="shared" si="1"/>
        <v>3.4045483177040786E-2</v>
      </c>
      <c r="F24" s="5"/>
      <c r="H24" s="5"/>
      <c r="I24" s="5"/>
      <c r="J24" s="5"/>
    </row>
    <row r="25" spans="1:10" x14ac:dyDescent="0.3">
      <c r="A25" s="18" t="s">
        <v>54</v>
      </c>
      <c r="B25" s="14">
        <v>435123458</v>
      </c>
      <c r="C25" s="14">
        <f>435123458+25000000</f>
        <v>460123458</v>
      </c>
      <c r="D25" s="17"/>
    </row>
    <row r="26" spans="1:10" x14ac:dyDescent="0.3">
      <c r="A26" s="18" t="s">
        <v>71</v>
      </c>
      <c r="B26" s="33">
        <f>+B23/+(B25/1000000)</f>
        <v>14747.635141289025</v>
      </c>
      <c r="C26" s="33">
        <f>+C23/+(C25/1000000)</f>
        <v>14017.040183158842</v>
      </c>
      <c r="D26" s="17"/>
    </row>
    <row r="28" spans="1:10" ht="15.75" customHeight="1" x14ac:dyDescent="0.3">
      <c r="A28" s="6" t="s">
        <v>70</v>
      </c>
      <c r="B28" s="6">
        <v>2010</v>
      </c>
      <c r="C28" s="6">
        <v>2011</v>
      </c>
      <c r="D28" s="6" t="s">
        <v>46</v>
      </c>
    </row>
    <row r="29" spans="1:10" x14ac:dyDescent="0.3">
      <c r="A29" s="19" t="s">
        <v>62</v>
      </c>
      <c r="B29" s="17"/>
      <c r="C29" s="17"/>
      <c r="D29" s="34"/>
    </row>
    <row r="30" spans="1:10" x14ac:dyDescent="0.3">
      <c r="A30" s="19" t="s">
        <v>44</v>
      </c>
      <c r="B30" s="17"/>
      <c r="C30" s="17"/>
      <c r="D30" s="34"/>
    </row>
    <row r="31" spans="1:10" x14ac:dyDescent="0.3">
      <c r="A31" s="19" t="s">
        <v>45</v>
      </c>
      <c r="B31" s="17"/>
      <c r="C31" s="17"/>
      <c r="D31" s="34"/>
    </row>
    <row r="32" spans="1:10" s="9" customFormat="1" x14ac:dyDescent="0.3">
      <c r="A32" s="19" t="s">
        <v>72</v>
      </c>
      <c r="B32" s="30">
        <v>157449</v>
      </c>
      <c r="C32" s="30">
        <v>159357</v>
      </c>
      <c r="D32" s="17">
        <f>IF(B32&lt;&gt;0,(C32-B32)/B32,0)</f>
        <v>1.2118209706000038E-2</v>
      </c>
      <c r="F32" s="5"/>
      <c r="G32" s="5"/>
      <c r="H32" s="5"/>
    </row>
    <row r="33" spans="1:8" hidden="1" x14ac:dyDescent="0.3">
      <c r="A33" s="19" t="s">
        <v>5</v>
      </c>
      <c r="B33" s="14">
        <v>0</v>
      </c>
      <c r="C33" s="14">
        <v>0</v>
      </c>
      <c r="D33" s="17">
        <f t="shared" ref="D33:D43" si="2">IF(B33&lt;&gt;0,(C33-B33)/B33,0)</f>
        <v>0</v>
      </c>
    </row>
    <row r="34" spans="1:8" s="9" customFormat="1" x14ac:dyDescent="0.3">
      <c r="A34" s="19" t="s">
        <v>57</v>
      </c>
      <c r="B34" s="14">
        <v>23303</v>
      </c>
      <c r="C34" s="14">
        <v>25135</v>
      </c>
      <c r="D34" s="17">
        <f t="shared" si="2"/>
        <v>7.861648714757756E-2</v>
      </c>
      <c r="F34" s="5"/>
      <c r="G34" s="5"/>
      <c r="H34" s="5"/>
    </row>
    <row r="35" spans="1:8" s="9" customFormat="1" x14ac:dyDescent="0.3">
      <c r="A35" s="19" t="s">
        <v>56</v>
      </c>
      <c r="B35" s="14">
        <f>6958+1737</f>
        <v>8695</v>
      </c>
      <c r="C35" s="14">
        <f>5345+1</f>
        <v>5346</v>
      </c>
      <c r="D35" s="17">
        <f t="shared" si="2"/>
        <v>-0.38516388729154688</v>
      </c>
      <c r="F35" s="5"/>
      <c r="G35" s="5"/>
      <c r="H35" s="5"/>
    </row>
    <row r="36" spans="1:8" s="9" customFormat="1" x14ac:dyDescent="0.3">
      <c r="A36" s="35" t="s">
        <v>4</v>
      </c>
      <c r="B36" s="30">
        <f>SUM(B32:B35)</f>
        <v>189447</v>
      </c>
      <c r="C36" s="30">
        <f>SUM(C32:C35)</f>
        <v>189838</v>
      </c>
      <c r="D36" s="17">
        <f t="shared" si="2"/>
        <v>2.0639017772780778E-3</v>
      </c>
      <c r="F36" s="5"/>
      <c r="G36" s="5"/>
      <c r="H36" s="5"/>
    </row>
    <row r="37" spans="1:8" x14ac:dyDescent="0.3">
      <c r="A37" s="19" t="s">
        <v>58</v>
      </c>
      <c r="B37" s="14">
        <v>-8522</v>
      </c>
      <c r="C37" s="14">
        <v>-6375</v>
      </c>
      <c r="D37" s="17">
        <f t="shared" si="2"/>
        <v>-0.25193616521943207</v>
      </c>
    </row>
    <row r="38" spans="1:8" s="9" customFormat="1" x14ac:dyDescent="0.3">
      <c r="A38" s="35" t="s">
        <v>42</v>
      </c>
      <c r="B38" s="30">
        <f>SUM(B36:B37)</f>
        <v>180925</v>
      </c>
      <c r="C38" s="30">
        <f>SUM(C36:C37)</f>
        <v>183463</v>
      </c>
      <c r="D38" s="17">
        <f t="shared" si="2"/>
        <v>1.4027912118281055E-2</v>
      </c>
      <c r="F38" s="5"/>
      <c r="G38" s="5"/>
      <c r="H38" s="5"/>
    </row>
    <row r="39" spans="1:8" s="9" customFormat="1" x14ac:dyDescent="0.3">
      <c r="A39" s="19" t="s">
        <v>10</v>
      </c>
      <c r="B39" s="14">
        <v>7758</v>
      </c>
      <c r="C39" s="14">
        <v>347</v>
      </c>
      <c r="D39" s="17">
        <f t="shared" si="2"/>
        <v>-0.95527197731374069</v>
      </c>
      <c r="F39" s="5"/>
      <c r="G39" s="5"/>
      <c r="H39" s="5"/>
    </row>
    <row r="40" spans="1:8" x14ac:dyDescent="0.3">
      <c r="A40" s="19" t="s">
        <v>13</v>
      </c>
      <c r="B40" s="14">
        <v>-1470</v>
      </c>
      <c r="C40" s="14">
        <v>-10998</v>
      </c>
      <c r="D40" s="17">
        <f t="shared" si="2"/>
        <v>6.481632653061224</v>
      </c>
    </row>
    <row r="41" spans="1:8" s="9" customFormat="1" x14ac:dyDescent="0.3">
      <c r="A41" s="35" t="s">
        <v>43</v>
      </c>
      <c r="B41" s="30">
        <f>SUM(B38:B40)</f>
        <v>187213</v>
      </c>
      <c r="C41" s="30">
        <f>SUM(C38:C40)</f>
        <v>172812</v>
      </c>
      <c r="D41" s="17">
        <f t="shared" si="2"/>
        <v>-7.6923076923076927E-2</v>
      </c>
      <c r="F41" s="5"/>
      <c r="G41" s="5"/>
      <c r="H41" s="5"/>
    </row>
    <row r="42" spans="1:8" x14ac:dyDescent="0.3">
      <c r="A42" s="19" t="s">
        <v>15</v>
      </c>
      <c r="B42" s="14">
        <v>-1516</v>
      </c>
      <c r="C42" s="14">
        <v>-82</v>
      </c>
      <c r="D42" s="17">
        <f t="shared" si="2"/>
        <v>-0.94591029023746698</v>
      </c>
    </row>
    <row r="43" spans="1:8" ht="15.75" thickBot="1" x14ac:dyDescent="0.35">
      <c r="A43" s="36" t="s">
        <v>17</v>
      </c>
      <c r="B43" s="37">
        <f>SUM(B41:B42)</f>
        <v>185697</v>
      </c>
      <c r="C43" s="37">
        <f>SUM(C41:C42)</f>
        <v>172730</v>
      </c>
      <c r="D43" s="45">
        <f t="shared" si="2"/>
        <v>-6.982880714281868E-2</v>
      </c>
    </row>
    <row r="45" spans="1:8" x14ac:dyDescent="0.3">
      <c r="A45" s="19"/>
      <c r="B45" s="14"/>
      <c r="D45" s="17"/>
    </row>
  </sheetData>
  <pageMargins left="0.70866141732283472" right="0.43307086614173229" top="0.47244094488188981" bottom="0.39370078740157483" header="0.31496062992125984" footer="0.18"/>
  <pageSetup orientation="portrait" r:id="rId1"/>
  <headerFooter>
    <oddFooter>&amp;L&amp;A</oddFooter>
  </headerFooter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58"/>
  <sheetViews>
    <sheetView workbookViewId="0"/>
  </sheetViews>
  <sheetFormatPr baseColWidth="10" defaultColWidth="11.42578125" defaultRowHeight="15" x14ac:dyDescent="0.3"/>
  <cols>
    <col min="1" max="1" width="35.5703125" style="5" bestFit="1" customWidth="1"/>
    <col min="2" max="3" width="11.7109375" style="2" bestFit="1" customWidth="1"/>
    <col min="4" max="4" width="13.28515625" style="3" bestFit="1" customWidth="1"/>
    <col min="5" max="5" width="11.42578125" style="3"/>
    <col min="6" max="6" width="9.28515625" style="4" bestFit="1" customWidth="1"/>
    <col min="7" max="7" width="3.42578125" style="4" customWidth="1"/>
    <col min="8" max="16384" width="11.42578125" style="5"/>
  </cols>
  <sheetData>
    <row r="1" spans="1:5" x14ac:dyDescent="0.3">
      <c r="A1" s="38" t="s">
        <v>40</v>
      </c>
    </row>
    <row r="2" spans="1:5" x14ac:dyDescent="0.3">
      <c r="A2" s="24" t="s">
        <v>65</v>
      </c>
    </row>
    <row r="3" spans="1:5" x14ac:dyDescent="0.3">
      <c r="A3" s="24" t="s">
        <v>44</v>
      </c>
    </row>
    <row r="4" spans="1:5" x14ac:dyDescent="0.3">
      <c r="A4" s="24" t="s">
        <v>45</v>
      </c>
    </row>
    <row r="5" spans="1:5" x14ac:dyDescent="0.3">
      <c r="E5" s="21"/>
    </row>
    <row r="6" spans="1:5" x14ac:dyDescent="0.3">
      <c r="A6" s="6" t="s">
        <v>20</v>
      </c>
      <c r="B6" s="6">
        <v>2006</v>
      </c>
      <c r="C6" s="6">
        <v>2007</v>
      </c>
      <c r="D6" s="7" t="s">
        <v>46</v>
      </c>
      <c r="E6" s="20"/>
    </row>
    <row r="7" spans="1:5" x14ac:dyDescent="0.3">
      <c r="A7" s="18" t="s">
        <v>21</v>
      </c>
      <c r="B7" s="14">
        <v>168713</v>
      </c>
      <c r="C7" s="14">
        <v>162791</v>
      </c>
      <c r="D7" s="17">
        <f>+(C7-B7)/B7</f>
        <v>-3.5101029559073696E-2</v>
      </c>
      <c r="E7" s="21"/>
    </row>
    <row r="8" spans="1:5" x14ac:dyDescent="0.3">
      <c r="A8" s="18" t="s">
        <v>22</v>
      </c>
      <c r="B8" s="14">
        <v>740227</v>
      </c>
      <c r="C8" s="14">
        <v>311842</v>
      </c>
      <c r="D8" s="17">
        <f t="shared" ref="D8:D16" si="0">+(C8-B8)/B8</f>
        <v>-0.5787211220341868</v>
      </c>
      <c r="E8" s="21"/>
    </row>
    <row r="9" spans="1:5" x14ac:dyDescent="0.3">
      <c r="A9" s="18" t="s">
        <v>23</v>
      </c>
      <c r="B9" s="14">
        <v>328541</v>
      </c>
      <c r="C9" s="14">
        <v>367618</v>
      </c>
      <c r="D9" s="17">
        <f t="shared" si="0"/>
        <v>0.11894101497225612</v>
      </c>
      <c r="E9" s="21"/>
    </row>
    <row r="10" spans="1:5" x14ac:dyDescent="0.3">
      <c r="A10" s="18" t="s">
        <v>36</v>
      </c>
      <c r="B10" s="14">
        <v>301409</v>
      </c>
      <c r="C10" s="14">
        <v>414335</v>
      </c>
      <c r="D10" s="17">
        <f t="shared" si="0"/>
        <v>0.37466034524516523</v>
      </c>
      <c r="E10" s="21"/>
    </row>
    <row r="11" spans="1:5" x14ac:dyDescent="0.3">
      <c r="A11" s="18" t="s">
        <v>60</v>
      </c>
      <c r="B11" s="14">
        <v>490847</v>
      </c>
      <c r="C11" s="14">
        <v>604307</v>
      </c>
      <c r="D11" s="17">
        <f t="shared" si="0"/>
        <v>0.23115145860115272</v>
      </c>
      <c r="E11" s="21"/>
    </row>
    <row r="12" spans="1:5" x14ac:dyDescent="0.3">
      <c r="A12" s="18" t="s">
        <v>47</v>
      </c>
      <c r="B12" s="14">
        <v>94411</v>
      </c>
      <c r="C12" s="14">
        <v>621272</v>
      </c>
      <c r="D12" s="17">
        <f t="shared" si="0"/>
        <v>5.5805043903782394</v>
      </c>
      <c r="E12" s="21"/>
    </row>
    <row r="13" spans="1:5" x14ac:dyDescent="0.3">
      <c r="A13" s="18" t="s">
        <v>24</v>
      </c>
      <c r="B13" s="14">
        <v>11674</v>
      </c>
      <c r="C13" s="14">
        <v>36990</v>
      </c>
      <c r="D13" s="17">
        <f t="shared" si="0"/>
        <v>2.1685797498715091</v>
      </c>
      <c r="E13" s="21"/>
    </row>
    <row r="14" spans="1:5" x14ac:dyDescent="0.3">
      <c r="A14" s="18" t="s">
        <v>25</v>
      </c>
      <c r="B14" s="14">
        <v>14560</v>
      </c>
      <c r="C14" s="14">
        <v>10431</v>
      </c>
      <c r="D14" s="17">
        <f t="shared" si="0"/>
        <v>-0.28358516483516483</v>
      </c>
      <c r="E14" s="21"/>
    </row>
    <row r="15" spans="1:5" x14ac:dyDescent="0.3">
      <c r="A15" s="18" t="s">
        <v>26</v>
      </c>
      <c r="B15" s="14">
        <v>2777489</v>
      </c>
      <c r="C15" s="14">
        <v>2458478</v>
      </c>
      <c r="D15" s="17">
        <f t="shared" si="0"/>
        <v>-0.1148559004194076</v>
      </c>
      <c r="E15" s="21"/>
    </row>
    <row r="16" spans="1:5" ht="15.75" thickBot="1" x14ac:dyDescent="0.35">
      <c r="A16" s="26" t="s">
        <v>27</v>
      </c>
      <c r="B16" s="27">
        <f>SUM(B7:B15)</f>
        <v>4927871</v>
      </c>
      <c r="C16" s="27">
        <f>SUM(C7:C15)</f>
        <v>4988064</v>
      </c>
      <c r="D16" s="45">
        <f t="shared" si="0"/>
        <v>1.2214808382768137E-2</v>
      </c>
      <c r="E16" s="22"/>
    </row>
    <row r="17" spans="1:5" x14ac:dyDescent="0.3">
      <c r="A17" s="1"/>
      <c r="E17" s="21"/>
    </row>
    <row r="18" spans="1:5" x14ac:dyDescent="0.3">
      <c r="A18" s="6" t="s">
        <v>48</v>
      </c>
      <c r="B18" s="6">
        <v>2006</v>
      </c>
      <c r="C18" s="6">
        <v>2007</v>
      </c>
      <c r="D18" s="7" t="s">
        <v>46</v>
      </c>
      <c r="E18" s="20"/>
    </row>
    <row r="19" spans="1:5" x14ac:dyDescent="0.3">
      <c r="A19" s="18" t="s">
        <v>28</v>
      </c>
      <c r="B19" s="14">
        <v>420720</v>
      </c>
      <c r="C19" s="14">
        <v>793270</v>
      </c>
      <c r="D19" s="17">
        <f t="shared" ref="D19:D30" si="1">+(C19-B19)/B19</f>
        <v>0.88550579958166953</v>
      </c>
      <c r="E19" s="21"/>
    </row>
    <row r="20" spans="1:5" x14ac:dyDescent="0.3">
      <c r="A20" s="18" t="s">
        <v>49</v>
      </c>
      <c r="B20" s="14">
        <v>106438</v>
      </c>
      <c r="C20" s="14">
        <v>123680</v>
      </c>
      <c r="D20" s="17">
        <f t="shared" si="1"/>
        <v>0.16199101824536349</v>
      </c>
      <c r="E20" s="21"/>
    </row>
    <row r="21" spans="1:5" x14ac:dyDescent="0.3">
      <c r="A21" s="18" t="s">
        <v>38</v>
      </c>
      <c r="B21" s="14">
        <v>146135</v>
      </c>
      <c r="C21" s="14">
        <v>188574</v>
      </c>
      <c r="D21" s="17">
        <f t="shared" si="1"/>
        <v>0.2904095528107572</v>
      </c>
      <c r="E21" s="21"/>
    </row>
    <row r="22" spans="1:5" x14ac:dyDescent="0.3">
      <c r="A22" s="18" t="s">
        <v>30</v>
      </c>
      <c r="B22" s="14">
        <v>53343</v>
      </c>
      <c r="C22" s="14">
        <v>37015</v>
      </c>
      <c r="D22" s="17">
        <f t="shared" si="1"/>
        <v>-0.30609452036818324</v>
      </c>
      <c r="E22" s="21"/>
    </row>
    <row r="23" spans="1:5" x14ac:dyDescent="0.3">
      <c r="A23" s="18" t="s">
        <v>31</v>
      </c>
      <c r="B23" s="14">
        <v>27116</v>
      </c>
      <c r="C23" s="14">
        <v>35010</v>
      </c>
      <c r="D23" s="17">
        <f t="shared" si="1"/>
        <v>0.29111963416433101</v>
      </c>
      <c r="E23" s="21"/>
    </row>
    <row r="24" spans="1:5" x14ac:dyDescent="0.3">
      <c r="A24" s="18" t="s">
        <v>32</v>
      </c>
      <c r="B24" s="14">
        <v>86973</v>
      </c>
      <c r="C24" s="14">
        <v>92311</v>
      </c>
      <c r="D24" s="17">
        <f t="shared" si="1"/>
        <v>6.1375369367504859E-2</v>
      </c>
      <c r="E24" s="21"/>
    </row>
    <row r="25" spans="1:5" x14ac:dyDescent="0.3">
      <c r="A25" s="18" t="s">
        <v>24</v>
      </c>
      <c r="B25" s="14">
        <v>28421</v>
      </c>
      <c r="C25" s="14">
        <v>10326</v>
      </c>
      <c r="D25" s="17">
        <f t="shared" si="1"/>
        <v>-0.63667710495760177</v>
      </c>
      <c r="E25" s="21"/>
    </row>
    <row r="26" spans="1:5" x14ac:dyDescent="0.3">
      <c r="A26" s="18" t="s">
        <v>0</v>
      </c>
      <c r="B26" s="14">
        <v>1406</v>
      </c>
      <c r="C26" s="14">
        <v>1393</v>
      </c>
      <c r="D26" s="17">
        <f t="shared" si="1"/>
        <v>-9.2460881934566148E-3</v>
      </c>
      <c r="E26" s="21"/>
    </row>
    <row r="27" spans="1:5" x14ac:dyDescent="0.3">
      <c r="A27" s="18" t="s">
        <v>33</v>
      </c>
      <c r="B27" s="14">
        <f>SUM(B19:B26)</f>
        <v>870552</v>
      </c>
      <c r="C27" s="14">
        <f>SUM(C19:C26)</f>
        <v>1281579</v>
      </c>
      <c r="D27" s="17">
        <f t="shared" si="1"/>
        <v>0.47214525955945191</v>
      </c>
      <c r="E27" s="21"/>
    </row>
    <row r="28" spans="1:5" x14ac:dyDescent="0.3">
      <c r="A28" s="18" t="s">
        <v>39</v>
      </c>
      <c r="B28" s="14">
        <v>3200</v>
      </c>
      <c r="C28" s="14">
        <v>2717</v>
      </c>
      <c r="D28" s="17">
        <f t="shared" si="1"/>
        <v>-0.1509375</v>
      </c>
      <c r="E28" s="21"/>
    </row>
    <row r="29" spans="1:5" x14ac:dyDescent="0.3">
      <c r="A29" s="31" t="s">
        <v>34</v>
      </c>
      <c r="B29" s="32">
        <v>4054119</v>
      </c>
      <c r="C29" s="32">
        <v>3703768</v>
      </c>
      <c r="D29" s="47">
        <f t="shared" si="1"/>
        <v>-8.6418528908500214E-2</v>
      </c>
      <c r="E29" s="22"/>
    </row>
    <row r="30" spans="1:5" ht="15.75" thickBot="1" x14ac:dyDescent="0.35">
      <c r="A30" s="39" t="s">
        <v>35</v>
      </c>
      <c r="B30" s="40">
        <f>+B27+B28+B29</f>
        <v>4927871</v>
      </c>
      <c r="C30" s="40">
        <f>+C27+C28+C29</f>
        <v>4988064</v>
      </c>
      <c r="D30" s="49">
        <f t="shared" si="1"/>
        <v>1.2214808382768137E-2</v>
      </c>
      <c r="E30" s="22"/>
    </row>
    <row r="31" spans="1:5" x14ac:dyDescent="0.3">
      <c r="A31" s="19"/>
      <c r="B31" s="14"/>
      <c r="C31" s="14"/>
      <c r="D31" s="17"/>
      <c r="E31" s="21"/>
    </row>
    <row r="32" spans="1:5" x14ac:dyDescent="0.3">
      <c r="A32" s="41" t="s">
        <v>3</v>
      </c>
      <c r="B32" s="14"/>
      <c r="C32" s="14"/>
      <c r="D32" s="17"/>
      <c r="E32" s="21"/>
    </row>
    <row r="33" spans="1:7" x14ac:dyDescent="0.3">
      <c r="A33" s="41" t="s">
        <v>66</v>
      </c>
      <c r="B33" s="14"/>
      <c r="C33" s="14"/>
      <c r="D33" s="17"/>
    </row>
    <row r="34" spans="1:7" x14ac:dyDescent="0.3">
      <c r="A34" s="41" t="s">
        <v>44</v>
      </c>
      <c r="B34" s="14"/>
      <c r="C34" s="14"/>
      <c r="D34" s="17"/>
    </row>
    <row r="35" spans="1:7" x14ac:dyDescent="0.3">
      <c r="A35" s="41" t="s">
        <v>45</v>
      </c>
      <c r="B35" s="14"/>
      <c r="C35" s="14"/>
      <c r="D35" s="17"/>
    </row>
    <row r="36" spans="1:7" x14ac:dyDescent="0.3">
      <c r="A36" s="6"/>
      <c r="B36" s="6">
        <v>2006</v>
      </c>
      <c r="C36" s="6" t="s">
        <v>55</v>
      </c>
      <c r="D36" s="6">
        <v>2007</v>
      </c>
      <c r="E36" s="7" t="s">
        <v>55</v>
      </c>
      <c r="F36" s="7" t="s">
        <v>46</v>
      </c>
    </row>
    <row r="37" spans="1:7" s="9" customFormat="1" x14ac:dyDescent="0.3">
      <c r="A37" s="30" t="s">
        <v>4</v>
      </c>
      <c r="B37" s="30">
        <v>589474</v>
      </c>
      <c r="C37" s="42">
        <v>1</v>
      </c>
      <c r="D37" s="50">
        <v>769218</v>
      </c>
      <c r="E37" s="42">
        <v>1</v>
      </c>
      <c r="F37" s="42">
        <f>+(D37-B37)/B37</f>
        <v>0.30492269379141407</v>
      </c>
      <c r="G37" s="8"/>
    </row>
    <row r="38" spans="1:7" x14ac:dyDescent="0.3">
      <c r="A38" s="14" t="s">
        <v>50</v>
      </c>
      <c r="B38" s="14">
        <v>-365483</v>
      </c>
      <c r="C38" s="17">
        <f t="shared" ref="C38:C55" si="2">+B38/$B$37</f>
        <v>-0.62001547142028313</v>
      </c>
      <c r="D38" s="51">
        <v>-459878</v>
      </c>
      <c r="E38" s="17">
        <f>+D38/$D$37</f>
        <v>-0.59785132433198396</v>
      </c>
      <c r="F38" s="17">
        <f t="shared" ref="F38:F55" si="3">+(D38-B38)/B38</f>
        <v>0.25827466667396293</v>
      </c>
    </row>
    <row r="39" spans="1:7" s="9" customFormat="1" x14ac:dyDescent="0.3">
      <c r="A39" s="30" t="s">
        <v>6</v>
      </c>
      <c r="B39" s="30">
        <f>SUM(B37:B38)</f>
        <v>223991</v>
      </c>
      <c r="C39" s="42">
        <f t="shared" si="2"/>
        <v>0.37998452857971682</v>
      </c>
      <c r="D39" s="30">
        <f>SUM(D37:D38)</f>
        <v>309340</v>
      </c>
      <c r="E39" s="42">
        <f t="shared" ref="E39:E55" si="4">+D39/$D$37</f>
        <v>0.4021486756680161</v>
      </c>
      <c r="F39" s="42">
        <f t="shared" si="3"/>
        <v>0.3810376309762446</v>
      </c>
      <c r="G39" s="8"/>
    </row>
    <row r="40" spans="1:7" x14ac:dyDescent="0.3">
      <c r="A40" s="14" t="s">
        <v>7</v>
      </c>
      <c r="B40" s="14">
        <v>-23072</v>
      </c>
      <c r="C40" s="17">
        <f t="shared" si="2"/>
        <v>-3.913997903215409E-2</v>
      </c>
      <c r="D40" s="14">
        <v>-35861</v>
      </c>
      <c r="E40" s="17">
        <f t="shared" si="4"/>
        <v>-4.662007389322663E-2</v>
      </c>
      <c r="F40" s="17">
        <f t="shared" si="3"/>
        <v>0.55430825242718451</v>
      </c>
    </row>
    <row r="41" spans="1:7" x14ac:dyDescent="0.3">
      <c r="A41" s="14" t="s">
        <v>8</v>
      </c>
      <c r="B41" s="14">
        <v>-136844</v>
      </c>
      <c r="C41" s="17">
        <f t="shared" si="2"/>
        <v>-0.2321459470646712</v>
      </c>
      <c r="D41" s="14">
        <v>-190423</v>
      </c>
      <c r="E41" s="17">
        <f t="shared" si="4"/>
        <v>-0.24755400939655597</v>
      </c>
      <c r="F41" s="17">
        <f t="shared" si="3"/>
        <v>0.39153342492180876</v>
      </c>
    </row>
    <row r="42" spans="1:7" s="9" customFormat="1" x14ac:dyDescent="0.3">
      <c r="A42" s="30" t="s">
        <v>9</v>
      </c>
      <c r="B42" s="30">
        <f>SUM(B40:B41)</f>
        <v>-159916</v>
      </c>
      <c r="C42" s="42">
        <f t="shared" si="2"/>
        <v>-0.27128592609682528</v>
      </c>
      <c r="D42" s="30">
        <f>SUM(D40:D41)</f>
        <v>-226284</v>
      </c>
      <c r="E42" s="42">
        <f t="shared" si="4"/>
        <v>-0.29417408328978262</v>
      </c>
      <c r="F42" s="42">
        <f t="shared" si="3"/>
        <v>0.41501788438930437</v>
      </c>
      <c r="G42" s="8"/>
    </row>
    <row r="43" spans="1:7" s="9" customFormat="1" x14ac:dyDescent="0.3">
      <c r="A43" s="30" t="s">
        <v>1</v>
      </c>
      <c r="B43" s="30">
        <f>+B39+B42</f>
        <v>64075</v>
      </c>
      <c r="C43" s="42">
        <f t="shared" si="2"/>
        <v>0.10869860248289152</v>
      </c>
      <c r="D43" s="30">
        <f>+D39+D42</f>
        <v>83056</v>
      </c>
      <c r="E43" s="42">
        <f t="shared" si="4"/>
        <v>0.10797459237823348</v>
      </c>
      <c r="F43" s="42">
        <f t="shared" si="3"/>
        <v>0.29623097932110809</v>
      </c>
      <c r="G43" s="8"/>
    </row>
    <row r="44" spans="1:7" x14ac:dyDescent="0.3">
      <c r="A44" s="14" t="s">
        <v>51</v>
      </c>
      <c r="B44" s="14">
        <v>2989</v>
      </c>
      <c r="C44" s="17">
        <f t="shared" si="2"/>
        <v>5.0706222835952049E-3</v>
      </c>
      <c r="D44" s="14">
        <v>2596</v>
      </c>
      <c r="E44" s="17">
        <f t="shared" si="4"/>
        <v>3.3748560226099754E-3</v>
      </c>
      <c r="F44" s="17">
        <f t="shared" si="3"/>
        <v>-0.13148210103713617</v>
      </c>
    </row>
    <row r="45" spans="1:7" x14ac:dyDescent="0.3">
      <c r="A45" s="14" t="s">
        <v>11</v>
      </c>
      <c r="B45" s="14">
        <v>-6316</v>
      </c>
      <c r="C45" s="17">
        <f t="shared" si="2"/>
        <v>-1.0714637117158688E-2</v>
      </c>
      <c r="D45" s="14">
        <v>-22387</v>
      </c>
      <c r="E45" s="17">
        <f t="shared" si="4"/>
        <v>-2.9103583119479783E-2</v>
      </c>
      <c r="F45" s="17">
        <f t="shared" si="3"/>
        <v>2.5444901836605447</v>
      </c>
    </row>
    <row r="46" spans="1:7" x14ac:dyDescent="0.3">
      <c r="A46" s="14" t="s">
        <v>12</v>
      </c>
      <c r="B46" s="14">
        <v>792</v>
      </c>
      <c r="C46" s="17">
        <f t="shared" si="2"/>
        <v>1.3435707088014059E-3</v>
      </c>
      <c r="D46" s="14">
        <v>-8188</v>
      </c>
      <c r="E46" s="17">
        <f t="shared" si="4"/>
        <v>-1.0644576699973219E-2</v>
      </c>
      <c r="F46" s="17">
        <f t="shared" si="3"/>
        <v>-11.338383838383839</v>
      </c>
    </row>
    <row r="47" spans="1:7" x14ac:dyDescent="0.3">
      <c r="A47" s="14" t="s">
        <v>52</v>
      </c>
      <c r="B47" s="14">
        <f>431-2096</f>
        <v>-1665</v>
      </c>
      <c r="C47" s="17">
        <f t="shared" si="2"/>
        <v>-2.824552058275683E-3</v>
      </c>
      <c r="D47" s="14">
        <v>-6484</v>
      </c>
      <c r="E47" s="17">
        <f t="shared" si="4"/>
        <v>-8.429339927042789E-3</v>
      </c>
      <c r="F47" s="17">
        <f t="shared" si="3"/>
        <v>2.8942942942942942</v>
      </c>
    </row>
    <row r="48" spans="1:7" x14ac:dyDescent="0.3">
      <c r="A48" s="14" t="s">
        <v>14</v>
      </c>
      <c r="B48" s="14">
        <v>11694</v>
      </c>
      <c r="C48" s="17">
        <f t="shared" si="2"/>
        <v>1.9838025086772276E-2</v>
      </c>
      <c r="D48" s="14">
        <v>6117</v>
      </c>
      <c r="E48" s="17">
        <f t="shared" si="4"/>
        <v>7.9522320070513179E-3</v>
      </c>
      <c r="F48" s="17">
        <f t="shared" si="3"/>
        <v>-0.47691123653155465</v>
      </c>
    </row>
    <row r="49" spans="1:7" x14ac:dyDescent="0.3">
      <c r="A49" s="14" t="s">
        <v>16</v>
      </c>
      <c r="B49" s="14">
        <v>63475</v>
      </c>
      <c r="C49" s="17">
        <f t="shared" si="2"/>
        <v>0.1076807458853147</v>
      </c>
      <c r="D49" s="14">
        <v>6542</v>
      </c>
      <c r="E49" s="17">
        <f t="shared" si="4"/>
        <v>8.5047411787035673E-3</v>
      </c>
      <c r="F49" s="17">
        <f t="shared" si="3"/>
        <v>-0.8969358014966522</v>
      </c>
    </row>
    <row r="50" spans="1:7" s="9" customFormat="1" x14ac:dyDescent="0.3">
      <c r="A50" s="30" t="s">
        <v>2</v>
      </c>
      <c r="B50" s="30">
        <f>SUM(B44:B49)</f>
        <v>70969</v>
      </c>
      <c r="C50" s="42">
        <f t="shared" si="2"/>
        <v>0.12039377478904922</v>
      </c>
      <c r="D50" s="30">
        <f>SUM(D44:D49)</f>
        <v>-21804</v>
      </c>
      <c r="E50" s="42">
        <f t="shared" si="4"/>
        <v>-2.8345670538130932E-2</v>
      </c>
      <c r="F50" s="42">
        <f t="shared" si="3"/>
        <v>-1.3072327354196902</v>
      </c>
      <c r="G50" s="8"/>
    </row>
    <row r="51" spans="1:7" s="9" customFormat="1" x14ac:dyDescent="0.3">
      <c r="A51" s="30" t="s">
        <v>41</v>
      </c>
      <c r="B51" s="30">
        <f>+B43+B50</f>
        <v>135044</v>
      </c>
      <c r="C51" s="42">
        <f t="shared" si="2"/>
        <v>0.22909237727194073</v>
      </c>
      <c r="D51" s="30">
        <f>+D43+D50</f>
        <v>61252</v>
      </c>
      <c r="E51" s="42">
        <f t="shared" si="4"/>
        <v>7.9628921840102548E-2</v>
      </c>
      <c r="F51" s="42">
        <f t="shared" si="3"/>
        <v>-0.54642931192796418</v>
      </c>
      <c r="G51" s="8"/>
    </row>
    <row r="52" spans="1:7" x14ac:dyDescent="0.3">
      <c r="A52" s="14" t="s">
        <v>15</v>
      </c>
      <c r="B52" s="14">
        <v>-24055</v>
      </c>
      <c r="C52" s="17">
        <f t="shared" si="2"/>
        <v>-4.0807567424517452E-2</v>
      </c>
      <c r="D52" s="14">
        <v>-19046</v>
      </c>
      <c r="E52" s="17">
        <f t="shared" si="4"/>
        <v>-2.4760211019502924E-2</v>
      </c>
      <c r="F52" s="17">
        <f t="shared" si="3"/>
        <v>-0.2082311369777593</v>
      </c>
    </row>
    <row r="53" spans="1:7" x14ac:dyDescent="0.3">
      <c r="A53" s="14" t="s">
        <v>18</v>
      </c>
      <c r="B53" s="14">
        <v>206</v>
      </c>
      <c r="C53" s="17">
        <f t="shared" si="2"/>
        <v>3.494640985013758E-4</v>
      </c>
      <c r="D53" s="14">
        <v>0</v>
      </c>
      <c r="E53" s="17">
        <f t="shared" si="4"/>
        <v>0</v>
      </c>
      <c r="F53" s="17">
        <f t="shared" si="3"/>
        <v>-1</v>
      </c>
    </row>
    <row r="54" spans="1:7" s="9" customFormat="1" x14ac:dyDescent="0.3">
      <c r="A54" s="43" t="s">
        <v>17</v>
      </c>
      <c r="B54" s="43">
        <f>+B51+B52+B53</f>
        <v>111195</v>
      </c>
      <c r="C54" s="44">
        <f t="shared" si="2"/>
        <v>0.18863427394592466</v>
      </c>
      <c r="D54" s="43">
        <f>+D51+D52+D53</f>
        <v>42206</v>
      </c>
      <c r="E54" s="44">
        <f t="shared" si="4"/>
        <v>5.4868710820599624E-2</v>
      </c>
      <c r="F54" s="44">
        <f t="shared" si="3"/>
        <v>-0.62043257340707769</v>
      </c>
      <c r="G54" s="8"/>
    </row>
    <row r="55" spans="1:7" s="9" customFormat="1" ht="15.75" thickBot="1" x14ac:dyDescent="0.35">
      <c r="A55" s="27" t="s">
        <v>19</v>
      </c>
      <c r="B55" s="27">
        <v>81127</v>
      </c>
      <c r="C55" s="45">
        <f t="shared" si="2"/>
        <v>0.13762608698602483</v>
      </c>
      <c r="D55" s="27">
        <v>105459</v>
      </c>
      <c r="E55" s="45">
        <f t="shared" si="4"/>
        <v>0.13709897584299899</v>
      </c>
      <c r="F55" s="45">
        <f t="shared" si="3"/>
        <v>0.29992480924969495</v>
      </c>
      <c r="G55" s="8"/>
    </row>
    <row r="56" spans="1:7" x14ac:dyDescent="0.3">
      <c r="A56" s="2"/>
      <c r="C56" s="3"/>
      <c r="D56" s="10"/>
    </row>
    <row r="57" spans="1:7" x14ac:dyDescent="0.3">
      <c r="A57" s="19" t="s">
        <v>53</v>
      </c>
      <c r="B57" s="14"/>
      <c r="C57" s="14"/>
      <c r="D57" s="17"/>
    </row>
    <row r="58" spans="1:7" x14ac:dyDescent="0.3">
      <c r="D58" s="10"/>
    </row>
  </sheetData>
  <phoneticPr fontId="0" type="noConversion"/>
  <pageMargins left="0.7" right="0.7" top="0.75" bottom="0.75" header="0.3" footer="0.3"/>
  <customProperties>
    <customPr name="_pios_id" r:id="rId1"/>
  </customProperties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9"/>
  <sheetViews>
    <sheetView zoomScale="87" zoomScaleNormal="87" workbookViewId="0">
      <selection sqref="A1:IV65536"/>
    </sheetView>
  </sheetViews>
  <sheetFormatPr baseColWidth="10" defaultColWidth="11.42578125" defaultRowHeight="15" x14ac:dyDescent="0.3"/>
  <cols>
    <col min="1" max="1" width="32.140625" style="5" customWidth="1"/>
    <col min="2" max="2" width="11.7109375" style="2" bestFit="1" customWidth="1"/>
    <col min="3" max="3" width="14.7109375" style="2" bestFit="1" customWidth="1"/>
    <col min="4" max="4" width="13.28515625" style="3" bestFit="1" customWidth="1"/>
    <col min="5" max="5" width="11.85546875" style="3" bestFit="1" customWidth="1"/>
    <col min="6" max="6" width="11.5703125" style="4" customWidth="1"/>
    <col min="7" max="7" width="3.42578125" style="4" customWidth="1"/>
    <col min="8" max="8" width="5.7109375" style="5" customWidth="1"/>
    <col min="9" max="16384" width="11.42578125" style="5"/>
  </cols>
  <sheetData>
    <row r="1" spans="1:11" x14ac:dyDescent="0.3">
      <c r="A1" s="38" t="s">
        <v>40</v>
      </c>
    </row>
    <row r="2" spans="1:11" x14ac:dyDescent="0.3">
      <c r="A2" s="38" t="s">
        <v>61</v>
      </c>
    </row>
    <row r="3" spans="1:11" x14ac:dyDescent="0.3">
      <c r="A3" s="24" t="s">
        <v>44</v>
      </c>
    </row>
    <row r="4" spans="1:11" x14ac:dyDescent="0.3">
      <c r="A4" s="24" t="s">
        <v>45</v>
      </c>
      <c r="F4" s="23"/>
      <c r="G4" s="23"/>
      <c r="H4" s="66"/>
      <c r="I4" s="66"/>
      <c r="J4" s="66"/>
      <c r="K4" s="66"/>
    </row>
    <row r="5" spans="1:11" x14ac:dyDescent="0.3">
      <c r="F5" s="23"/>
      <c r="G5" s="23"/>
      <c r="H5" s="66"/>
      <c r="I5" s="66"/>
      <c r="J5" s="66"/>
      <c r="K5" s="66"/>
    </row>
    <row r="6" spans="1:11" x14ac:dyDescent="0.3">
      <c r="A6" s="6" t="s">
        <v>20</v>
      </c>
      <c r="B6" s="6">
        <v>2010</v>
      </c>
      <c r="C6" s="6">
        <v>2011</v>
      </c>
      <c r="D6" s="7" t="s">
        <v>46</v>
      </c>
      <c r="E6" s="20"/>
      <c r="F6" s="23"/>
      <c r="G6" s="23"/>
      <c r="H6" s="71"/>
      <c r="I6" s="66"/>
      <c r="J6" s="66"/>
      <c r="K6" s="66"/>
    </row>
    <row r="7" spans="1:11" x14ac:dyDescent="0.3">
      <c r="A7" s="18" t="s">
        <v>21</v>
      </c>
      <c r="B7" s="14">
        <v>104390</v>
      </c>
      <c r="C7" s="14">
        <v>133693</v>
      </c>
      <c r="D7" s="17">
        <f>+(C7-B7)/B7</f>
        <v>0.28070696426860808</v>
      </c>
      <c r="E7" s="21"/>
      <c r="F7" s="23"/>
      <c r="G7" s="23"/>
      <c r="H7" s="70"/>
      <c r="I7" s="66"/>
      <c r="J7" s="66"/>
      <c r="K7" s="66"/>
    </row>
    <row r="8" spans="1:11" x14ac:dyDescent="0.3">
      <c r="A8" s="18" t="s">
        <v>22</v>
      </c>
      <c r="B8" s="14">
        <v>325972</v>
      </c>
      <c r="C8" s="14">
        <v>329888</v>
      </c>
      <c r="D8" s="17">
        <f t="shared" ref="D8:D16" si="0">+(C8-B8)/B8</f>
        <v>1.201330175597904E-2</v>
      </c>
      <c r="E8" s="21"/>
      <c r="F8" s="23"/>
      <c r="G8" s="23"/>
      <c r="H8" s="71"/>
      <c r="I8" s="66"/>
      <c r="J8" s="66"/>
      <c r="K8" s="66"/>
    </row>
    <row r="9" spans="1:11" x14ac:dyDescent="0.3">
      <c r="A9" s="18" t="s">
        <v>23</v>
      </c>
      <c r="B9" s="14">
        <v>579826</v>
      </c>
      <c r="C9" s="14">
        <v>648190</v>
      </c>
      <c r="D9" s="17">
        <f t="shared" si="0"/>
        <v>0.11790433681828687</v>
      </c>
      <c r="E9" s="21"/>
      <c r="F9" s="23"/>
      <c r="G9" s="23"/>
      <c r="H9" s="71"/>
      <c r="I9" s="66"/>
      <c r="J9" s="66"/>
      <c r="K9" s="66"/>
    </row>
    <row r="10" spans="1:11" x14ac:dyDescent="0.3">
      <c r="A10" s="18" t="s">
        <v>36</v>
      </c>
      <c r="B10" s="14">
        <v>531192</v>
      </c>
      <c r="C10" s="14">
        <v>645152</v>
      </c>
      <c r="D10" s="17">
        <f t="shared" si="0"/>
        <v>0.21453636349945029</v>
      </c>
      <c r="E10" s="21"/>
      <c r="F10" s="23"/>
      <c r="G10" s="23"/>
      <c r="H10" s="71"/>
      <c r="I10" s="66"/>
      <c r="J10" s="66"/>
      <c r="K10" s="66"/>
    </row>
    <row r="11" spans="1:11" x14ac:dyDescent="0.3">
      <c r="A11" s="18" t="s">
        <v>60</v>
      </c>
      <c r="B11" s="14">
        <v>953860</v>
      </c>
      <c r="C11" s="14">
        <v>1019680</v>
      </c>
      <c r="D11" s="17">
        <f t="shared" si="0"/>
        <v>6.9003837041075211E-2</v>
      </c>
      <c r="E11" s="21"/>
      <c r="F11" s="23"/>
      <c r="G11" s="23"/>
      <c r="H11" s="71"/>
      <c r="I11" s="66"/>
      <c r="J11" s="66"/>
      <c r="K11" s="66"/>
    </row>
    <row r="12" spans="1:11" x14ac:dyDescent="0.3">
      <c r="A12" s="18" t="s">
        <v>47</v>
      </c>
      <c r="B12" s="14">
        <v>725070</v>
      </c>
      <c r="C12" s="14">
        <v>897180</v>
      </c>
      <c r="D12" s="17">
        <f t="shared" si="0"/>
        <v>0.23737018494766021</v>
      </c>
      <c r="E12" s="21"/>
      <c r="F12" s="23"/>
      <c r="G12" s="23"/>
      <c r="H12" s="71"/>
      <c r="I12" s="66"/>
      <c r="J12" s="66"/>
      <c r="K12" s="66"/>
    </row>
    <row r="13" spans="1:11" x14ac:dyDescent="0.3">
      <c r="A13" s="18" t="s">
        <v>24</v>
      </c>
      <c r="B13" s="14">
        <v>62998</v>
      </c>
      <c r="C13" s="14">
        <v>125132</v>
      </c>
      <c r="D13" s="17">
        <f t="shared" si="0"/>
        <v>0.98628527889774276</v>
      </c>
      <c r="E13" s="21"/>
      <c r="F13" s="23"/>
      <c r="G13" s="23"/>
      <c r="H13" s="71"/>
      <c r="I13" s="66"/>
      <c r="J13" s="66"/>
      <c r="K13" s="66"/>
    </row>
    <row r="14" spans="1:11" x14ac:dyDescent="0.3">
      <c r="A14" s="18" t="s">
        <v>25</v>
      </c>
      <c r="B14" s="14">
        <v>968</v>
      </c>
      <c r="C14" s="14">
        <v>2538</v>
      </c>
      <c r="D14" s="17">
        <f t="shared" si="0"/>
        <v>1.6219008264462811</v>
      </c>
      <c r="E14" s="21"/>
      <c r="F14" s="23"/>
      <c r="G14" s="23"/>
      <c r="H14" s="71"/>
      <c r="I14" s="66"/>
      <c r="J14" s="66"/>
      <c r="K14" s="66"/>
    </row>
    <row r="15" spans="1:11" x14ac:dyDescent="0.3">
      <c r="A15" s="18" t="s">
        <v>26</v>
      </c>
      <c r="B15" s="14">
        <v>4210570</v>
      </c>
      <c r="C15" s="14">
        <v>4108034</v>
      </c>
      <c r="D15" s="17">
        <f t="shared" si="0"/>
        <v>-2.435204734750877E-2</v>
      </c>
      <c r="E15" s="21"/>
      <c r="F15" s="23"/>
      <c r="G15" s="23"/>
      <c r="H15" s="71"/>
      <c r="I15" s="66"/>
      <c r="J15" s="66"/>
      <c r="K15" s="66"/>
    </row>
    <row r="16" spans="1:11" ht="15.75" thickBot="1" x14ac:dyDescent="0.35">
      <c r="A16" s="26" t="s">
        <v>27</v>
      </c>
      <c r="B16" s="27">
        <f>SUM(B7:B15)</f>
        <v>7494846</v>
      </c>
      <c r="C16" s="27">
        <f>SUM(C7:C15)</f>
        <v>7909487</v>
      </c>
      <c r="D16" s="45">
        <f t="shared" si="0"/>
        <v>5.5323484965534984E-2</v>
      </c>
      <c r="E16" s="22"/>
      <c r="F16" s="23"/>
      <c r="G16" s="23"/>
      <c r="H16" s="71"/>
      <c r="I16" s="66"/>
      <c r="J16" s="66"/>
      <c r="K16" s="66"/>
    </row>
    <row r="17" spans="1:11" x14ac:dyDescent="0.3">
      <c r="A17" s="1"/>
      <c r="B17" s="14"/>
      <c r="C17" s="14"/>
      <c r="E17" s="21"/>
      <c r="F17" s="23"/>
      <c r="G17" s="23"/>
      <c r="H17" s="71"/>
      <c r="I17" s="66"/>
      <c r="J17" s="66"/>
      <c r="K17" s="66"/>
    </row>
    <row r="18" spans="1:11" x14ac:dyDescent="0.3">
      <c r="A18" s="6" t="s">
        <v>48</v>
      </c>
      <c r="B18" s="6">
        <v>2010</v>
      </c>
      <c r="C18" s="6">
        <v>2011</v>
      </c>
      <c r="D18" s="7" t="s">
        <v>46</v>
      </c>
      <c r="E18" s="20"/>
      <c r="F18" s="23"/>
      <c r="G18" s="23"/>
      <c r="H18" s="70"/>
      <c r="I18" s="66"/>
      <c r="J18" s="66"/>
      <c r="K18" s="66"/>
    </row>
    <row r="19" spans="1:11" x14ac:dyDescent="0.3">
      <c r="A19" s="18" t="s">
        <v>28</v>
      </c>
      <c r="B19" s="14">
        <v>915955</v>
      </c>
      <c r="C19" s="14">
        <v>668204</v>
      </c>
      <c r="D19" s="17">
        <f t="shared" ref="D19:D30" si="1">+(C19-B19)/B19</f>
        <v>-0.27048381197766264</v>
      </c>
      <c r="E19" s="21"/>
      <c r="F19" s="23"/>
      <c r="G19" s="23"/>
      <c r="H19" s="71"/>
      <c r="I19" s="66"/>
      <c r="J19" s="66"/>
      <c r="K19" s="66"/>
    </row>
    <row r="20" spans="1:11" x14ac:dyDescent="0.3">
      <c r="A20" s="18" t="s">
        <v>49</v>
      </c>
      <c r="B20" s="14">
        <v>95069</v>
      </c>
      <c r="C20" s="14">
        <v>159445</v>
      </c>
      <c r="D20" s="17">
        <f t="shared" si="1"/>
        <v>0.67715028032271296</v>
      </c>
      <c r="E20" s="21"/>
      <c r="F20" s="23"/>
      <c r="G20" s="23"/>
      <c r="H20" s="70"/>
      <c r="I20" s="66"/>
      <c r="J20" s="66"/>
      <c r="K20" s="66"/>
    </row>
    <row r="21" spans="1:11" x14ac:dyDescent="0.3">
      <c r="A21" s="18" t="s">
        <v>38</v>
      </c>
      <c r="B21" s="14">
        <v>202944</v>
      </c>
      <c r="C21" s="14">
        <v>203982</v>
      </c>
      <c r="D21" s="17">
        <f t="shared" si="1"/>
        <v>5.1147114474929048E-3</v>
      </c>
      <c r="E21" s="21"/>
      <c r="F21" s="23"/>
      <c r="G21" s="23"/>
      <c r="H21" s="71"/>
      <c r="I21" s="66"/>
      <c r="J21" s="66"/>
      <c r="K21" s="66"/>
    </row>
    <row r="22" spans="1:11" x14ac:dyDescent="0.3">
      <c r="A22" s="18" t="s">
        <v>30</v>
      </c>
      <c r="B22" s="14">
        <v>42375</v>
      </c>
      <c r="C22" s="14">
        <v>117373</v>
      </c>
      <c r="D22" s="17">
        <f t="shared" si="1"/>
        <v>1.7698643067846607</v>
      </c>
      <c r="E22" s="21"/>
      <c r="F22" s="23"/>
      <c r="G22" s="23"/>
      <c r="H22" s="71"/>
      <c r="I22" s="66"/>
      <c r="J22" s="66"/>
      <c r="K22" s="66"/>
    </row>
    <row r="23" spans="1:11" x14ac:dyDescent="0.3">
      <c r="A23" s="18" t="s">
        <v>31</v>
      </c>
      <c r="B23" s="14">
        <v>40564</v>
      </c>
      <c r="C23" s="14">
        <v>47209</v>
      </c>
      <c r="D23" s="17">
        <f t="shared" si="1"/>
        <v>0.16381520560102553</v>
      </c>
      <c r="E23" s="21"/>
      <c r="F23" s="23"/>
      <c r="G23" s="23"/>
      <c r="H23" s="71"/>
      <c r="I23" s="66"/>
      <c r="J23" s="66"/>
      <c r="K23" s="66"/>
    </row>
    <row r="24" spans="1:11" x14ac:dyDescent="0.3">
      <c r="A24" s="18" t="s">
        <v>32</v>
      </c>
      <c r="B24" s="14">
        <v>224882</v>
      </c>
      <c r="C24" s="14">
        <v>199188</v>
      </c>
      <c r="D24" s="17">
        <f t="shared" si="1"/>
        <v>-0.11425547620529877</v>
      </c>
      <c r="E24" s="21"/>
      <c r="F24" s="23"/>
      <c r="G24" s="23"/>
      <c r="H24" s="71"/>
      <c r="I24" s="66"/>
      <c r="J24" s="66"/>
      <c r="K24" s="66"/>
    </row>
    <row r="25" spans="1:11" x14ac:dyDescent="0.3">
      <c r="A25" s="18" t="s">
        <v>24</v>
      </c>
      <c r="B25" s="14">
        <v>73846</v>
      </c>
      <c r="C25" s="14">
        <v>62754</v>
      </c>
      <c r="D25" s="17">
        <f t="shared" si="1"/>
        <v>-0.15020447959266581</v>
      </c>
      <c r="E25" s="21"/>
      <c r="F25" s="23"/>
      <c r="G25" s="23"/>
      <c r="H25" s="71"/>
      <c r="I25" s="66"/>
      <c r="J25" s="66"/>
      <c r="K25" s="66"/>
    </row>
    <row r="26" spans="1:11" x14ac:dyDescent="0.3">
      <c r="A26" s="18" t="s">
        <v>0</v>
      </c>
      <c r="B26" s="14">
        <v>4730</v>
      </c>
      <c r="C26" s="14">
        <v>7674</v>
      </c>
      <c r="D26" s="17">
        <f t="shared" si="1"/>
        <v>0.62241014799154337</v>
      </c>
      <c r="E26" s="21"/>
      <c r="F26" s="23"/>
      <c r="G26" s="23"/>
      <c r="H26" s="71"/>
      <c r="I26" s="66"/>
      <c r="J26" s="66"/>
      <c r="K26" s="66"/>
    </row>
    <row r="27" spans="1:11" x14ac:dyDescent="0.3">
      <c r="A27" s="18" t="s">
        <v>33</v>
      </c>
      <c r="B27" s="30">
        <f>SUM(B19:B26)</f>
        <v>1600365</v>
      </c>
      <c r="C27" s="30">
        <f>SUM(C19:C26)</f>
        <v>1465829</v>
      </c>
      <c r="D27" s="17">
        <f t="shared" si="1"/>
        <v>-8.4065822484245781E-2</v>
      </c>
      <c r="E27" s="21"/>
      <c r="F27" s="23"/>
      <c r="G27" s="23"/>
      <c r="H27" s="71"/>
      <c r="I27" s="66"/>
      <c r="J27" s="66"/>
      <c r="K27" s="66"/>
    </row>
    <row r="28" spans="1:11" x14ac:dyDescent="0.3">
      <c r="A28" s="18" t="s">
        <v>39</v>
      </c>
      <c r="B28" s="14">
        <v>11411</v>
      </c>
      <c r="C28" s="14">
        <v>15305</v>
      </c>
      <c r="D28" s="17">
        <f t="shared" si="1"/>
        <v>0.34124967136973094</v>
      </c>
      <c r="E28" s="21"/>
      <c r="F28" s="23"/>
      <c r="G28" s="23"/>
      <c r="H28" s="71"/>
      <c r="I28" s="66"/>
      <c r="J28" s="66"/>
      <c r="K28" s="66"/>
    </row>
    <row r="29" spans="1:11" x14ac:dyDescent="0.3">
      <c r="A29" s="32" t="s">
        <v>34</v>
      </c>
      <c r="B29" s="32">
        <v>5883070</v>
      </c>
      <c r="C29" s="32">
        <v>6428353</v>
      </c>
      <c r="D29" s="47">
        <f t="shared" si="1"/>
        <v>9.2686811477680875E-2</v>
      </c>
      <c r="E29" s="22"/>
      <c r="F29" s="23"/>
      <c r="G29" s="23"/>
      <c r="H29" s="70"/>
      <c r="I29" s="66"/>
      <c r="J29" s="66"/>
      <c r="K29" s="66"/>
    </row>
    <row r="30" spans="1:11" ht="15.75" thickBot="1" x14ac:dyDescent="0.35">
      <c r="A30" s="27" t="s">
        <v>35</v>
      </c>
      <c r="B30" s="27">
        <f>+B27+B28+B29</f>
        <v>7494846</v>
      </c>
      <c r="C30" s="27">
        <f>+C27+C28+C29</f>
        <v>7909487</v>
      </c>
      <c r="D30" s="45">
        <f t="shared" si="1"/>
        <v>5.5323484965534984E-2</v>
      </c>
      <c r="E30" s="22"/>
      <c r="F30" s="23"/>
      <c r="G30" s="23"/>
      <c r="H30" s="70"/>
      <c r="I30" s="66"/>
      <c r="J30" s="66"/>
      <c r="K30" s="66"/>
    </row>
    <row r="31" spans="1:11" x14ac:dyDescent="0.3">
      <c r="A31" s="19"/>
      <c r="B31" s="14"/>
      <c r="C31" s="14"/>
      <c r="D31" s="17"/>
      <c r="E31" s="21"/>
      <c r="F31" s="23"/>
      <c r="G31" s="23"/>
      <c r="H31" s="70"/>
      <c r="I31" s="66"/>
      <c r="J31" s="66"/>
      <c r="K31" s="66"/>
    </row>
    <row r="32" spans="1:11" x14ac:dyDescent="0.3">
      <c r="A32" s="41" t="s">
        <v>3</v>
      </c>
      <c r="B32" s="14"/>
      <c r="C32" s="14"/>
      <c r="D32" s="17"/>
      <c r="E32" s="21"/>
      <c r="F32" s="23"/>
      <c r="G32" s="23"/>
      <c r="H32" s="70"/>
      <c r="I32" s="66"/>
      <c r="J32" s="66"/>
      <c r="K32" s="66"/>
    </row>
    <row r="33" spans="1:8" x14ac:dyDescent="0.3">
      <c r="A33" s="41" t="s">
        <v>62</v>
      </c>
      <c r="B33" s="14"/>
      <c r="C33" s="14"/>
      <c r="D33" s="17"/>
      <c r="E33" s="21"/>
      <c r="F33" s="23"/>
    </row>
    <row r="34" spans="1:8" x14ac:dyDescent="0.3">
      <c r="A34" s="41" t="s">
        <v>44</v>
      </c>
      <c r="B34" s="14"/>
      <c r="C34" s="14"/>
      <c r="D34" s="17"/>
      <c r="E34" s="21"/>
      <c r="F34" s="23"/>
    </row>
    <row r="35" spans="1:8" x14ac:dyDescent="0.3">
      <c r="A35" s="41" t="s">
        <v>45</v>
      </c>
      <c r="B35" s="14"/>
      <c r="C35" s="14"/>
      <c r="D35" s="17"/>
      <c r="E35" s="21"/>
      <c r="F35" s="23"/>
    </row>
    <row r="36" spans="1:8" x14ac:dyDescent="0.3">
      <c r="A36" s="6"/>
      <c r="B36" s="6">
        <v>2010</v>
      </c>
      <c r="C36" s="6" t="s">
        <v>55</v>
      </c>
      <c r="D36" s="6">
        <v>2011</v>
      </c>
      <c r="E36" s="6" t="s">
        <v>55</v>
      </c>
      <c r="F36" s="7" t="s">
        <v>46</v>
      </c>
    </row>
    <row r="37" spans="1:8" s="9" customFormat="1" x14ac:dyDescent="0.3">
      <c r="A37" s="30" t="s">
        <v>4</v>
      </c>
      <c r="B37" s="62">
        <v>3166200</v>
      </c>
      <c r="C37" s="42">
        <v>1</v>
      </c>
      <c r="D37" s="50">
        <v>3643470</v>
      </c>
      <c r="E37" s="42">
        <v>1</v>
      </c>
      <c r="F37" s="17">
        <f>IF(B37&lt;&gt;0,(D37-B37)/B37,0)</f>
        <v>0.1507390562819784</v>
      </c>
      <c r="G37" s="8"/>
      <c r="H37" s="5"/>
    </row>
    <row r="38" spans="1:8" x14ac:dyDescent="0.3">
      <c r="A38" s="14" t="s">
        <v>50</v>
      </c>
      <c r="B38" s="10">
        <v>-1915336</v>
      </c>
      <c r="C38" s="17">
        <f t="shared" ref="C38:C56" si="2">+B38/$B$37</f>
        <v>-0.604932095256143</v>
      </c>
      <c r="D38" s="51">
        <v>-2195803</v>
      </c>
      <c r="E38" s="17">
        <f>+D38/$D$37</f>
        <v>-0.60266806094190428</v>
      </c>
      <c r="F38" s="17">
        <f t="shared" ref="F38:F54" si="3">IF(B38&lt;&gt;0,(D38-B38)/B38,0)</f>
        <v>0.14643227089137362</v>
      </c>
    </row>
    <row r="39" spans="1:8" s="9" customFormat="1" x14ac:dyDescent="0.3">
      <c r="A39" s="30" t="s">
        <v>6</v>
      </c>
      <c r="B39" s="60">
        <f>SUM(B37:B38)</f>
        <v>1250864</v>
      </c>
      <c r="C39" s="42">
        <f t="shared" si="2"/>
        <v>0.395067904743857</v>
      </c>
      <c r="D39" s="30">
        <f>SUM(D37:D38)</f>
        <v>1447667</v>
      </c>
      <c r="E39" s="42">
        <f t="shared" ref="E39:E56" si="4">+D39/$D$37</f>
        <v>0.39733193905809572</v>
      </c>
      <c r="F39" s="17">
        <f t="shared" si="3"/>
        <v>0.15733365098044233</v>
      </c>
      <c r="G39" s="8"/>
      <c r="H39" s="5"/>
    </row>
    <row r="40" spans="1:8" x14ac:dyDescent="0.3">
      <c r="A40" s="14" t="s">
        <v>7</v>
      </c>
      <c r="B40" s="2">
        <v>-159947</v>
      </c>
      <c r="C40" s="17">
        <f t="shared" si="2"/>
        <v>-5.051702356136694E-2</v>
      </c>
      <c r="D40" s="14">
        <v>-179820</v>
      </c>
      <c r="E40" s="17">
        <f t="shared" si="4"/>
        <v>-4.9354049848084384E-2</v>
      </c>
      <c r="F40" s="17">
        <f t="shared" si="3"/>
        <v>0.12424740695355337</v>
      </c>
    </row>
    <row r="41" spans="1:8" x14ac:dyDescent="0.3">
      <c r="A41" s="14" t="s">
        <v>8</v>
      </c>
      <c r="B41" s="2">
        <v>-775471</v>
      </c>
      <c r="C41" s="17">
        <f t="shared" si="2"/>
        <v>-0.24492167266755099</v>
      </c>
      <c r="D41" s="14">
        <v>-866133</v>
      </c>
      <c r="E41" s="17">
        <f t="shared" si="4"/>
        <v>-0.2377220067682731</v>
      </c>
      <c r="F41" s="17">
        <f t="shared" si="3"/>
        <v>0.11691217337592251</v>
      </c>
    </row>
    <row r="42" spans="1:8" x14ac:dyDescent="0.3">
      <c r="A42" s="14" t="s">
        <v>84</v>
      </c>
      <c r="B42" s="2">
        <v>0</v>
      </c>
      <c r="C42" s="17">
        <f t="shared" si="2"/>
        <v>0</v>
      </c>
      <c r="D42" s="14">
        <v>-83076</v>
      </c>
      <c r="E42" s="17">
        <f t="shared" si="4"/>
        <v>-2.2801340480366243E-2</v>
      </c>
      <c r="F42" s="17">
        <f t="shared" si="3"/>
        <v>0</v>
      </c>
    </row>
    <row r="43" spans="1:8" s="9" customFormat="1" x14ac:dyDescent="0.3">
      <c r="A43" s="30" t="s">
        <v>9</v>
      </c>
      <c r="B43" s="30">
        <f>SUM(B40:B42)</f>
        <v>-935418</v>
      </c>
      <c r="C43" s="42">
        <f t="shared" si="2"/>
        <v>-0.29543869622891794</v>
      </c>
      <c r="D43" s="30">
        <f>SUM(D40:D42)</f>
        <v>-1129029</v>
      </c>
      <c r="E43" s="42">
        <f t="shared" si="4"/>
        <v>-0.30987739709672374</v>
      </c>
      <c r="F43" s="17">
        <f t="shared" si="3"/>
        <v>0.206978056868694</v>
      </c>
      <c r="G43" s="8"/>
      <c r="H43" s="5"/>
    </row>
    <row r="44" spans="1:8" s="9" customFormat="1" x14ac:dyDescent="0.3">
      <c r="A44" s="30" t="s">
        <v>1</v>
      </c>
      <c r="B44" s="30">
        <f>+B39+B43</f>
        <v>315446</v>
      </c>
      <c r="C44" s="42">
        <f t="shared" si="2"/>
        <v>9.9629208514939047E-2</v>
      </c>
      <c r="D44" s="30">
        <f>+D39+D43</f>
        <v>318638</v>
      </c>
      <c r="E44" s="42">
        <f t="shared" si="4"/>
        <v>8.7454541961371993E-2</v>
      </c>
      <c r="F44" s="17">
        <f t="shared" si="3"/>
        <v>1.0119006105640902E-2</v>
      </c>
      <c r="G44" s="8"/>
      <c r="H44" s="5"/>
    </row>
    <row r="45" spans="1:8" x14ac:dyDescent="0.3">
      <c r="A45" s="14" t="s">
        <v>51</v>
      </c>
      <c r="B45" s="2">
        <v>3954</v>
      </c>
      <c r="C45" s="17">
        <f t="shared" si="2"/>
        <v>1.2488156149327268E-3</v>
      </c>
      <c r="D45" s="14">
        <v>4938</v>
      </c>
      <c r="E45" s="17">
        <f t="shared" si="4"/>
        <v>1.3553014022346828E-3</v>
      </c>
      <c r="F45" s="17">
        <f t="shared" si="3"/>
        <v>0.2488619119878604</v>
      </c>
    </row>
    <row r="46" spans="1:8" x14ac:dyDescent="0.3">
      <c r="A46" s="14" t="s">
        <v>11</v>
      </c>
      <c r="B46" s="2">
        <v>-54663</v>
      </c>
      <c r="C46" s="17">
        <f t="shared" si="2"/>
        <v>-1.7264544248626112E-2</v>
      </c>
      <c r="D46" s="14">
        <v>-64909</v>
      </c>
      <c r="E46" s="17">
        <f t="shared" si="4"/>
        <v>-1.7815159724109159E-2</v>
      </c>
      <c r="F46" s="17">
        <f t="shared" si="3"/>
        <v>0.18743940142326621</v>
      </c>
    </row>
    <row r="47" spans="1:8" x14ac:dyDescent="0.3">
      <c r="A47" s="14" t="s">
        <v>12</v>
      </c>
      <c r="B47" s="2">
        <v>-7403</v>
      </c>
      <c r="C47" s="17">
        <f t="shared" si="2"/>
        <v>-2.3381340408060135E-3</v>
      </c>
      <c r="D47" s="14">
        <v>-3992</v>
      </c>
      <c r="E47" s="17">
        <f t="shared" si="4"/>
        <v>-1.0956588087729555E-3</v>
      </c>
      <c r="F47" s="17">
        <f t="shared" si="3"/>
        <v>-0.46075915169525866</v>
      </c>
    </row>
    <row r="48" spans="1:8" x14ac:dyDescent="0.3">
      <c r="A48" s="14" t="s">
        <v>52</v>
      </c>
      <c r="B48" s="2">
        <v>-12596</v>
      </c>
      <c r="C48" s="17">
        <f t="shared" si="2"/>
        <v>-3.9782704819657632E-3</v>
      </c>
      <c r="D48" s="14">
        <v>-17283</v>
      </c>
      <c r="E48" s="17">
        <f t="shared" si="4"/>
        <v>-4.7435549078213898E-3</v>
      </c>
      <c r="F48" s="17">
        <f t="shared" si="3"/>
        <v>0.37210225468402669</v>
      </c>
    </row>
    <row r="49" spans="1:8" x14ac:dyDescent="0.3">
      <c r="A49" s="14" t="s">
        <v>14</v>
      </c>
      <c r="B49" s="2">
        <v>23311</v>
      </c>
      <c r="C49" s="17">
        <f t="shared" si="2"/>
        <v>7.3624534141873543E-3</v>
      </c>
      <c r="D49" s="14">
        <v>25235</v>
      </c>
      <c r="E49" s="17">
        <f t="shared" si="4"/>
        <v>6.9260896892248324E-3</v>
      </c>
      <c r="F49" s="17">
        <f t="shared" si="3"/>
        <v>8.2536141735661275E-2</v>
      </c>
    </row>
    <row r="50" spans="1:8" x14ac:dyDescent="0.3">
      <c r="A50" s="14" t="s">
        <v>16</v>
      </c>
      <c r="B50" s="14">
        <v>-156</v>
      </c>
      <c r="C50" s="17">
        <f t="shared" si="2"/>
        <v>-4.927041879855979E-5</v>
      </c>
      <c r="D50" s="14">
        <v>-108</v>
      </c>
      <c r="E50" s="17">
        <f t="shared" si="4"/>
        <v>-2.964207198083146E-5</v>
      </c>
      <c r="F50" s="17">
        <f t="shared" si="3"/>
        <v>-0.30769230769230771</v>
      </c>
    </row>
    <row r="51" spans="1:8" s="9" customFormat="1" x14ac:dyDescent="0.3">
      <c r="A51" s="30" t="s">
        <v>2</v>
      </c>
      <c r="B51" s="30">
        <f>SUM(B45:B50)</f>
        <v>-47553</v>
      </c>
      <c r="C51" s="42">
        <f t="shared" si="2"/>
        <v>-1.5018950161076369E-2</v>
      </c>
      <c r="D51" s="30">
        <f>SUM(D45:D50)</f>
        <v>-56119</v>
      </c>
      <c r="E51" s="42">
        <f t="shared" si="4"/>
        <v>-1.5402624421224821E-2</v>
      </c>
      <c r="F51" s="17">
        <f t="shared" si="3"/>
        <v>0.18013584842176097</v>
      </c>
      <c r="G51" s="8"/>
      <c r="H51" s="5"/>
    </row>
    <row r="52" spans="1:8" s="9" customFormat="1" x14ac:dyDescent="0.3">
      <c r="A52" s="30" t="s">
        <v>41</v>
      </c>
      <c r="B52" s="30">
        <f>+B44+B51</f>
        <v>267893</v>
      </c>
      <c r="C52" s="42">
        <f t="shared" si="2"/>
        <v>8.4610258353862669E-2</v>
      </c>
      <c r="D52" s="30">
        <f>+D44+D51</f>
        <v>262519</v>
      </c>
      <c r="E52" s="42">
        <f t="shared" si="4"/>
        <v>7.205191754014717E-2</v>
      </c>
      <c r="F52" s="17">
        <f t="shared" si="3"/>
        <v>-2.0060247934809792E-2</v>
      </c>
      <c r="G52" s="8"/>
      <c r="H52" s="5"/>
    </row>
    <row r="53" spans="1:8" x14ac:dyDescent="0.3">
      <c r="A53" s="14" t="s">
        <v>15</v>
      </c>
      <c r="B53" s="2">
        <v>-78617</v>
      </c>
      <c r="C53" s="17">
        <f t="shared" si="2"/>
        <v>-2.4830080222348557E-2</v>
      </c>
      <c r="D53" s="14">
        <v>-89048</v>
      </c>
      <c r="E53" s="17">
        <f t="shared" si="4"/>
        <v>-2.4440437275454443E-2</v>
      </c>
      <c r="F53" s="17">
        <f t="shared" si="3"/>
        <v>0.13268122670669194</v>
      </c>
    </row>
    <row r="54" spans="1:8" x14ac:dyDescent="0.3">
      <c r="A54" s="14" t="s">
        <v>18</v>
      </c>
      <c r="B54" s="2">
        <v>-522</v>
      </c>
      <c r="C54" s="17">
        <f t="shared" si="2"/>
        <v>-1.648664013644116E-4</v>
      </c>
      <c r="D54" s="14">
        <v>-2325</v>
      </c>
      <c r="E54" s="17">
        <f t="shared" si="4"/>
        <v>-6.3812793847623287E-4</v>
      </c>
      <c r="F54" s="17">
        <f t="shared" si="3"/>
        <v>3.4540229885057472</v>
      </c>
    </row>
    <row r="55" spans="1:8" s="9" customFormat="1" x14ac:dyDescent="0.3">
      <c r="A55" s="43" t="s">
        <v>17</v>
      </c>
      <c r="B55" s="43">
        <f>+B52+B53+B54</f>
        <v>188754</v>
      </c>
      <c r="C55" s="44">
        <f t="shared" si="2"/>
        <v>5.9615311730149709E-2</v>
      </c>
      <c r="D55" s="43">
        <f>+D52+D53+D54</f>
        <v>171146</v>
      </c>
      <c r="E55" s="44">
        <f t="shared" si="4"/>
        <v>4.6973352326216494E-2</v>
      </c>
      <c r="F55" s="44">
        <f>+(D55-B55)/B55</f>
        <v>-9.3285440308549752E-2</v>
      </c>
      <c r="G55" s="8"/>
      <c r="H55" s="5"/>
    </row>
    <row r="56" spans="1:8" s="9" customFormat="1" ht="15.75" thickBot="1" x14ac:dyDescent="0.35">
      <c r="A56" s="27" t="s">
        <v>19</v>
      </c>
      <c r="B56" s="64">
        <v>390030</v>
      </c>
      <c r="C56" s="45">
        <f t="shared" si="2"/>
        <v>0.12318552207693766</v>
      </c>
      <c r="D56" s="27">
        <v>418998</v>
      </c>
      <c r="E56" s="45">
        <f t="shared" si="4"/>
        <v>0.11499971181318908</v>
      </c>
      <c r="F56" s="45">
        <f>+(D56-B56)/B56</f>
        <v>7.427120990693023E-2</v>
      </c>
      <c r="G56" s="8"/>
      <c r="H56" s="5"/>
    </row>
    <row r="57" spans="1:8" x14ac:dyDescent="0.3">
      <c r="A57" s="2"/>
      <c r="C57" s="3"/>
      <c r="D57" s="10"/>
    </row>
    <row r="58" spans="1:8" x14ac:dyDescent="0.3">
      <c r="A58" s="19" t="s">
        <v>53</v>
      </c>
      <c r="B58" s="10"/>
      <c r="C58" s="10"/>
      <c r="D58" s="10"/>
    </row>
    <row r="59" spans="1:8" x14ac:dyDescent="0.3">
      <c r="D59" s="10"/>
    </row>
    <row r="61" spans="1:8" x14ac:dyDescent="0.3">
      <c r="D61" s="11"/>
    </row>
    <row r="62" spans="1:8" x14ac:dyDescent="0.3">
      <c r="E62" s="11"/>
    </row>
    <row r="79" spans="5:5" x14ac:dyDescent="0.3">
      <c r="E79" s="11"/>
    </row>
  </sheetData>
  <pageMargins left="0.70866141732283472" right="0.43307086614173229" top="0.43307086614173229" bottom="0.51181102362204722" header="0.31496062992125984" footer="0.31496062992125984"/>
  <pageSetup scale="85" orientation="portrait" r:id="rId1"/>
  <headerFooter>
    <oddFooter>&amp;C&amp;A</oddFooter>
  </headerFooter>
  <customProperties>
    <customPr name="_pios_id" r:id="rId2"/>
  </customPropertie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5"/>
  <sheetViews>
    <sheetView topLeftCell="A6" workbookViewId="0">
      <selection activeCell="C25" sqref="C25"/>
    </sheetView>
  </sheetViews>
  <sheetFormatPr baseColWidth="10" defaultColWidth="11.42578125" defaultRowHeight="15" x14ac:dyDescent="0.3"/>
  <cols>
    <col min="1" max="1" width="43.7109375" style="5" customWidth="1"/>
    <col min="2" max="3" width="11.7109375" style="2" bestFit="1" customWidth="1"/>
    <col min="4" max="4" width="13.28515625" style="3" bestFit="1" customWidth="1"/>
    <col min="5" max="16384" width="11.42578125" style="5"/>
  </cols>
  <sheetData>
    <row r="1" spans="1:10" x14ac:dyDescent="0.3">
      <c r="A1" s="24" t="s">
        <v>69</v>
      </c>
    </row>
    <row r="2" spans="1:10" x14ac:dyDescent="0.3">
      <c r="A2" s="24" t="s">
        <v>80</v>
      </c>
    </row>
    <row r="3" spans="1:10" x14ac:dyDescent="0.3">
      <c r="A3" s="24" t="s">
        <v>44</v>
      </c>
    </row>
    <row r="4" spans="1:10" x14ac:dyDescent="0.3">
      <c r="A4" s="24" t="s">
        <v>45</v>
      </c>
    </row>
    <row r="5" spans="1:10" ht="12" customHeight="1" x14ac:dyDescent="0.3"/>
    <row r="6" spans="1:10" x14ac:dyDescent="0.3">
      <c r="A6" s="6" t="s">
        <v>20</v>
      </c>
      <c r="B6" s="6">
        <v>2010</v>
      </c>
      <c r="C6" s="6">
        <v>2011</v>
      </c>
      <c r="D6" s="7" t="s">
        <v>46</v>
      </c>
    </row>
    <row r="7" spans="1:10" x14ac:dyDescent="0.3">
      <c r="A7" s="18" t="s">
        <v>21</v>
      </c>
      <c r="B7" s="14">
        <v>225</v>
      </c>
      <c r="C7" s="14">
        <v>94</v>
      </c>
      <c r="D7" s="17">
        <f t="shared" ref="D7:D13" si="0">IF(B7&lt;&gt;0,(C7-B7)/B7,0)</f>
        <v>-0.5822222222222222</v>
      </c>
    </row>
    <row r="8" spans="1:10" x14ac:dyDescent="0.3">
      <c r="A8" s="18" t="s">
        <v>22</v>
      </c>
      <c r="B8" s="14">
        <v>2716228</v>
      </c>
      <c r="C8" s="14">
        <v>3554895</v>
      </c>
      <c r="D8" s="17">
        <f t="shared" si="0"/>
        <v>0.30876163562116288</v>
      </c>
    </row>
    <row r="9" spans="1:10" s="11" customFormat="1" ht="14.25" customHeight="1" x14ac:dyDescent="0.3">
      <c r="A9" s="18" t="s">
        <v>23</v>
      </c>
      <c r="B9" s="14">
        <v>90361</v>
      </c>
      <c r="C9" s="14">
        <v>10662</v>
      </c>
      <c r="D9" s="17">
        <f t="shared" si="0"/>
        <v>-0.882006617899315</v>
      </c>
      <c r="E9" s="5"/>
      <c r="F9" s="5"/>
      <c r="H9" s="5"/>
      <c r="I9" s="5"/>
      <c r="J9" s="5"/>
    </row>
    <row r="10" spans="1:10" s="11" customFormat="1" hidden="1" x14ac:dyDescent="0.3">
      <c r="A10" s="18" t="s">
        <v>37</v>
      </c>
      <c r="B10" s="14">
        <v>0</v>
      </c>
      <c r="C10" s="14">
        <v>0</v>
      </c>
      <c r="D10" s="17">
        <f t="shared" si="0"/>
        <v>0</v>
      </c>
      <c r="E10" s="5"/>
      <c r="F10" s="5"/>
      <c r="H10" s="5"/>
      <c r="I10" s="5"/>
      <c r="J10" s="5"/>
    </row>
    <row r="11" spans="1:10" s="11" customFormat="1" x14ac:dyDescent="0.3">
      <c r="A11" s="18" t="s">
        <v>59</v>
      </c>
      <c r="B11" s="14">
        <v>155</v>
      </c>
      <c r="C11" s="14">
        <f>503+155</f>
        <v>658</v>
      </c>
      <c r="D11" s="17">
        <f t="shared" si="0"/>
        <v>3.2451612903225806</v>
      </c>
      <c r="E11" s="5"/>
      <c r="F11" s="5"/>
      <c r="H11" s="5"/>
      <c r="I11" s="5"/>
      <c r="J11" s="5"/>
    </row>
    <row r="12" spans="1:10" s="11" customFormat="1" x14ac:dyDescent="0.3">
      <c r="A12" s="18" t="s">
        <v>26</v>
      </c>
      <c r="B12" s="14">
        <v>3596772</v>
      </c>
      <c r="C12" s="14">
        <v>2979150</v>
      </c>
      <c r="D12" s="17">
        <f t="shared" si="0"/>
        <v>-0.17171563835572565</v>
      </c>
      <c r="E12" s="5"/>
      <c r="F12" s="5"/>
      <c r="H12" s="5"/>
      <c r="I12" s="5"/>
      <c r="J12" s="5"/>
    </row>
    <row r="13" spans="1:10" s="11" customFormat="1" ht="15.75" thickBot="1" x14ac:dyDescent="0.35">
      <c r="A13" s="26" t="s">
        <v>27</v>
      </c>
      <c r="B13" s="27">
        <f>SUM(B7:B12)</f>
        <v>6403741</v>
      </c>
      <c r="C13" s="27">
        <f>SUM(C7:C12)</f>
        <v>6545459</v>
      </c>
      <c r="D13" s="46">
        <f t="shared" si="0"/>
        <v>2.2130501530277381E-2</v>
      </c>
      <c r="E13" s="5"/>
      <c r="F13" s="5"/>
      <c r="H13" s="5"/>
      <c r="I13" s="5"/>
      <c r="J13" s="5"/>
    </row>
    <row r="15" spans="1:10" s="11" customFormat="1" x14ac:dyDescent="0.3">
      <c r="A15" s="6" t="s">
        <v>48</v>
      </c>
      <c r="B15" s="6">
        <v>2010</v>
      </c>
      <c r="C15" s="6">
        <v>2011</v>
      </c>
      <c r="D15" s="7" t="s">
        <v>46</v>
      </c>
      <c r="E15" s="5"/>
      <c r="F15" s="5"/>
      <c r="H15" s="5"/>
      <c r="I15" s="5"/>
      <c r="J15" s="5"/>
    </row>
    <row r="16" spans="1:10" s="11" customFormat="1" x14ac:dyDescent="0.3">
      <c r="A16" s="18" t="s">
        <v>28</v>
      </c>
      <c r="B16" s="14">
        <v>445</v>
      </c>
      <c r="C16" s="14">
        <v>0</v>
      </c>
      <c r="D16" s="17">
        <f t="shared" ref="D16:D24" si="1">IF(B16&lt;&gt;0,(C16-B16)/B16,0)</f>
        <v>-1</v>
      </c>
      <c r="E16" s="5"/>
      <c r="F16" s="5"/>
      <c r="H16" s="5"/>
      <c r="I16" s="5"/>
      <c r="J16" s="5"/>
    </row>
    <row r="17" spans="1:10" s="11" customFormat="1" x14ac:dyDescent="0.3">
      <c r="A17" s="18" t="s">
        <v>29</v>
      </c>
      <c r="B17" s="14">
        <v>70420</v>
      </c>
      <c r="C17" s="14">
        <v>59466</v>
      </c>
      <c r="D17" s="17">
        <f t="shared" si="1"/>
        <v>-0.15555239988639591</v>
      </c>
      <c r="E17" s="5"/>
      <c r="F17" s="5"/>
      <c r="H17" s="5"/>
      <c r="I17" s="5"/>
      <c r="J17" s="5"/>
    </row>
    <row r="18" spans="1:10" x14ac:dyDescent="0.3">
      <c r="A18" s="18" t="s">
        <v>30</v>
      </c>
      <c r="B18" s="14">
        <v>604</v>
      </c>
      <c r="C18" s="14">
        <v>585</v>
      </c>
      <c r="D18" s="17">
        <f t="shared" si="1"/>
        <v>-3.1456953642384107E-2</v>
      </c>
    </row>
    <row r="19" spans="1:10" x14ac:dyDescent="0.3">
      <c r="A19" s="18" t="s">
        <v>31</v>
      </c>
      <c r="B19" s="14">
        <v>947</v>
      </c>
      <c r="C19" s="14">
        <v>872</v>
      </c>
      <c r="D19" s="17">
        <f t="shared" si="1"/>
        <v>-7.91974656810982E-2</v>
      </c>
    </row>
    <row r="20" spans="1:10" hidden="1" x14ac:dyDescent="0.3">
      <c r="A20" s="18" t="s">
        <v>32</v>
      </c>
      <c r="B20" s="14">
        <v>0</v>
      </c>
      <c r="C20" s="14">
        <v>0</v>
      </c>
      <c r="D20" s="17">
        <f t="shared" si="1"/>
        <v>0</v>
      </c>
    </row>
    <row r="21" spans="1:10" x14ac:dyDescent="0.3">
      <c r="A21" s="18" t="s">
        <v>24</v>
      </c>
      <c r="B21" s="14">
        <v>7650</v>
      </c>
      <c r="C21" s="14">
        <v>8296</v>
      </c>
      <c r="D21" s="17">
        <f t="shared" si="1"/>
        <v>8.4444444444444447E-2</v>
      </c>
    </row>
    <row r="22" spans="1:10" s="9" customFormat="1" x14ac:dyDescent="0.3">
      <c r="A22" s="29" t="s">
        <v>33</v>
      </c>
      <c r="B22" s="30">
        <f>SUM(B16:B21)</f>
        <v>80066</v>
      </c>
      <c r="C22" s="30">
        <f>SUM(C16:C21)</f>
        <v>69219</v>
      </c>
      <c r="D22" s="42">
        <f t="shared" si="1"/>
        <v>-0.13547573252067044</v>
      </c>
      <c r="F22" s="5"/>
      <c r="H22" s="5"/>
      <c r="I22" s="5"/>
      <c r="J22" s="5"/>
    </row>
    <row r="23" spans="1:10" s="9" customFormat="1" x14ac:dyDescent="0.3">
      <c r="A23" s="31" t="s">
        <v>34</v>
      </c>
      <c r="B23" s="32">
        <v>6323675</v>
      </c>
      <c r="C23" s="32">
        <v>6476240</v>
      </c>
      <c r="D23" s="47">
        <f t="shared" si="1"/>
        <v>2.4126002680403404E-2</v>
      </c>
      <c r="F23" s="5"/>
      <c r="H23" s="5"/>
      <c r="I23" s="5"/>
      <c r="J23" s="5"/>
    </row>
    <row r="24" spans="1:10" s="9" customFormat="1" ht="15.75" thickBot="1" x14ac:dyDescent="0.35">
      <c r="A24" s="26" t="s">
        <v>35</v>
      </c>
      <c r="B24" s="27">
        <f>+B22+B23</f>
        <v>6403741</v>
      </c>
      <c r="C24" s="27">
        <f>+C22+C23</f>
        <v>6545459</v>
      </c>
      <c r="D24" s="45">
        <f t="shared" si="1"/>
        <v>2.2130501530277381E-2</v>
      </c>
      <c r="F24" s="5"/>
      <c r="H24" s="5"/>
      <c r="I24" s="5"/>
      <c r="J24" s="5"/>
    </row>
    <row r="25" spans="1:10" x14ac:dyDescent="0.3">
      <c r="A25" s="18" t="s">
        <v>54</v>
      </c>
      <c r="B25" s="14">
        <v>435123458</v>
      </c>
      <c r="C25" s="14">
        <f>435123458+25000000</f>
        <v>460123458</v>
      </c>
      <c r="D25" s="17"/>
    </row>
    <row r="26" spans="1:10" x14ac:dyDescent="0.3">
      <c r="A26" s="18" t="s">
        <v>71</v>
      </c>
      <c r="B26" s="33">
        <f>+B23/+(B25/1000000)</f>
        <v>14533.059258781675</v>
      </c>
      <c r="C26" s="33">
        <f>+C23/+(C25/1000000)</f>
        <v>14075.005060924323</v>
      </c>
      <c r="D26" s="17"/>
    </row>
    <row r="28" spans="1:10" ht="15.75" customHeight="1" x14ac:dyDescent="0.3">
      <c r="A28" s="6" t="s">
        <v>70</v>
      </c>
      <c r="B28" s="6">
        <v>2010</v>
      </c>
      <c r="C28" s="6">
        <v>2011</v>
      </c>
      <c r="D28" s="6" t="s">
        <v>46</v>
      </c>
    </row>
    <row r="29" spans="1:10" x14ac:dyDescent="0.3">
      <c r="A29" s="19" t="s">
        <v>68</v>
      </c>
      <c r="B29" s="17"/>
      <c r="C29" s="17"/>
      <c r="D29" s="34"/>
    </row>
    <row r="30" spans="1:10" x14ac:dyDescent="0.3">
      <c r="A30" s="19" t="s">
        <v>44</v>
      </c>
      <c r="B30" s="17"/>
      <c r="C30" s="17"/>
      <c r="D30" s="34"/>
    </row>
    <row r="31" spans="1:10" x14ac:dyDescent="0.3">
      <c r="A31" s="19" t="s">
        <v>45</v>
      </c>
      <c r="B31" s="17"/>
      <c r="C31" s="17"/>
      <c r="D31" s="34"/>
    </row>
    <row r="32" spans="1:10" s="9" customFormat="1" x14ac:dyDescent="0.3">
      <c r="A32" s="19" t="s">
        <v>72</v>
      </c>
      <c r="B32" s="30">
        <v>239836.18496553999</v>
      </c>
      <c r="C32" s="30">
        <v>223644</v>
      </c>
      <c r="D32" s="17">
        <f>IF(B32&lt;&gt;0,(C32-B32)/B32,0)</f>
        <v>-6.7513519562807017E-2</v>
      </c>
      <c r="F32" s="5"/>
      <c r="G32" s="5"/>
      <c r="H32" s="5"/>
    </row>
    <row r="33" spans="1:8" x14ac:dyDescent="0.3">
      <c r="A33" s="19" t="s">
        <v>5</v>
      </c>
      <c r="B33" s="14">
        <v>1579</v>
      </c>
      <c r="C33" s="14">
        <v>11024</v>
      </c>
      <c r="D33" s="17">
        <f t="shared" ref="D33:D43" si="2">IF(B33&lt;&gt;0,(C33-B33)/B33,0)</f>
        <v>5.9816339455351493</v>
      </c>
    </row>
    <row r="34" spans="1:8" s="9" customFormat="1" x14ac:dyDescent="0.3">
      <c r="A34" s="19" t="s">
        <v>57</v>
      </c>
      <c r="B34" s="14">
        <v>30953</v>
      </c>
      <c r="C34" s="14">
        <v>33432</v>
      </c>
      <c r="D34" s="17">
        <f t="shared" si="2"/>
        <v>8.0089167447420284E-2</v>
      </c>
      <c r="F34" s="5"/>
      <c r="G34" s="5"/>
      <c r="H34" s="5"/>
    </row>
    <row r="35" spans="1:8" s="9" customFormat="1" x14ac:dyDescent="0.3">
      <c r="A35" s="19" t="s">
        <v>56</v>
      </c>
      <c r="B35" s="14">
        <v>13131</v>
      </c>
      <c r="C35" s="14">
        <v>7221</v>
      </c>
      <c r="D35" s="17">
        <f t="shared" si="2"/>
        <v>-0.45007996344528217</v>
      </c>
      <c r="F35" s="5"/>
      <c r="G35" s="5"/>
      <c r="H35" s="5"/>
    </row>
    <row r="36" spans="1:8" s="9" customFormat="1" x14ac:dyDescent="0.3">
      <c r="A36" s="35" t="s">
        <v>4</v>
      </c>
      <c r="B36" s="30">
        <f>SUM(B32:B35)</f>
        <v>285499.18496553996</v>
      </c>
      <c r="C36" s="30">
        <f>SUM(C32:C35)</f>
        <v>275321</v>
      </c>
      <c r="D36" s="17">
        <f t="shared" si="2"/>
        <v>-3.5650486941910094E-2</v>
      </c>
      <c r="F36" s="5"/>
      <c r="G36" s="5"/>
      <c r="H36" s="5"/>
    </row>
    <row r="37" spans="1:8" x14ac:dyDescent="0.3">
      <c r="A37" s="19" t="s">
        <v>58</v>
      </c>
      <c r="B37" s="14">
        <v>-11563</v>
      </c>
      <c r="C37" s="14">
        <v>-9004</v>
      </c>
      <c r="D37" s="17">
        <f t="shared" si="2"/>
        <v>-0.2213093487849174</v>
      </c>
    </row>
    <row r="38" spans="1:8" s="9" customFormat="1" x14ac:dyDescent="0.3">
      <c r="A38" s="35" t="s">
        <v>42</v>
      </c>
      <c r="B38" s="30">
        <f>SUM(B36:B37)</f>
        <v>273936.18496553996</v>
      </c>
      <c r="C38" s="30">
        <f>SUM(C36:C37)</f>
        <v>266317</v>
      </c>
      <c r="D38" s="17">
        <f t="shared" si="2"/>
        <v>-2.7813722259797179E-2</v>
      </c>
      <c r="F38" s="5"/>
      <c r="G38" s="5"/>
      <c r="H38" s="5"/>
    </row>
    <row r="39" spans="1:8" s="9" customFormat="1" x14ac:dyDescent="0.3">
      <c r="A39" s="19" t="s">
        <v>10</v>
      </c>
      <c r="B39" s="14">
        <v>7838.6339619999999</v>
      </c>
      <c r="C39" s="14">
        <v>814</v>
      </c>
      <c r="D39" s="17">
        <f t="shared" si="2"/>
        <v>-0.89615537554807434</v>
      </c>
      <c r="F39" s="5"/>
      <c r="G39" s="5"/>
      <c r="H39" s="5"/>
    </row>
    <row r="40" spans="1:8" x14ac:dyDescent="0.3">
      <c r="A40" s="19" t="s">
        <v>13</v>
      </c>
      <c r="B40" s="14">
        <v>-1496</v>
      </c>
      <c r="C40" s="14">
        <v>-11022.5</v>
      </c>
      <c r="D40" s="17">
        <f t="shared" si="2"/>
        <v>6.3679812834224601</v>
      </c>
    </row>
    <row r="41" spans="1:8" s="9" customFormat="1" x14ac:dyDescent="0.3">
      <c r="A41" s="35" t="s">
        <v>43</v>
      </c>
      <c r="B41" s="30">
        <f>SUM(B38:B40)</f>
        <v>280278.81892753998</v>
      </c>
      <c r="C41" s="30">
        <f>SUM(C38:C40)</f>
        <v>256108.5</v>
      </c>
      <c r="D41" s="17">
        <f t="shared" si="2"/>
        <v>-8.6236694660072374E-2</v>
      </c>
      <c r="F41" s="5"/>
      <c r="G41" s="5"/>
      <c r="H41" s="5"/>
    </row>
    <row r="42" spans="1:8" x14ac:dyDescent="0.3">
      <c r="A42" s="19" t="s">
        <v>15</v>
      </c>
      <c r="B42" s="14">
        <v>-1876</v>
      </c>
      <c r="C42" s="14">
        <v>-125.5</v>
      </c>
      <c r="D42" s="17">
        <f t="shared" si="2"/>
        <v>-0.9331023454157783</v>
      </c>
    </row>
    <row r="43" spans="1:8" ht="15.75" thickBot="1" x14ac:dyDescent="0.35">
      <c r="A43" s="36" t="s">
        <v>17</v>
      </c>
      <c r="B43" s="37">
        <f>SUM(B41:B42)</f>
        <v>278402.81892753998</v>
      </c>
      <c r="C43" s="37">
        <f>SUM(C41:C42)</f>
        <v>255983</v>
      </c>
      <c r="D43" s="45">
        <f t="shared" si="2"/>
        <v>-8.0530143386856989E-2</v>
      </c>
    </row>
    <row r="45" spans="1:8" x14ac:dyDescent="0.3">
      <c r="A45" s="19"/>
      <c r="B45" s="14"/>
      <c r="D45" s="17"/>
    </row>
  </sheetData>
  <phoneticPr fontId="0" type="noConversion"/>
  <pageMargins left="0.7" right="0.7" top="0.75" bottom="0.75" header="0.3" footer="0.3"/>
  <customProperties>
    <customPr name="_pios_id" r:id="rId1"/>
  </customPropertie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9"/>
  <sheetViews>
    <sheetView topLeftCell="A25" workbookViewId="0">
      <selection activeCell="B36" sqref="B36:B56"/>
    </sheetView>
  </sheetViews>
  <sheetFormatPr baseColWidth="10" defaultColWidth="11.42578125" defaultRowHeight="15" x14ac:dyDescent="0.3"/>
  <cols>
    <col min="1" max="1" width="32.140625" style="5" customWidth="1"/>
    <col min="2" max="2" width="11.7109375" style="2" bestFit="1" customWidth="1"/>
    <col min="3" max="3" width="14.7109375" style="2" bestFit="1" customWidth="1"/>
    <col min="4" max="4" width="13.28515625" style="3" bestFit="1" customWidth="1"/>
    <col min="5" max="5" width="11.85546875" style="3" bestFit="1" customWidth="1"/>
    <col min="6" max="6" width="11.5703125" style="4" customWidth="1"/>
    <col min="7" max="7" width="3.42578125" style="4" customWidth="1"/>
    <col min="8" max="8" width="5.7109375" style="5" customWidth="1"/>
    <col min="9" max="16384" width="11.42578125" style="5"/>
  </cols>
  <sheetData>
    <row r="1" spans="1:11" x14ac:dyDescent="0.3">
      <c r="A1" s="38" t="s">
        <v>40</v>
      </c>
    </row>
    <row r="2" spans="1:11" x14ac:dyDescent="0.3">
      <c r="A2" s="38" t="s">
        <v>85</v>
      </c>
    </row>
    <row r="3" spans="1:11" x14ac:dyDescent="0.3">
      <c r="A3" s="24" t="s">
        <v>44</v>
      </c>
    </row>
    <row r="4" spans="1:11" x14ac:dyDescent="0.3">
      <c r="A4" s="24" t="s">
        <v>45</v>
      </c>
      <c r="F4" s="23"/>
      <c r="G4" s="23"/>
      <c r="H4" s="66"/>
      <c r="I4" s="66"/>
      <c r="J4" s="66"/>
      <c r="K4" s="66"/>
    </row>
    <row r="5" spans="1:11" x14ac:dyDescent="0.3">
      <c r="F5" s="23"/>
      <c r="G5" s="23"/>
      <c r="H5" s="66"/>
      <c r="I5" s="66"/>
      <c r="J5" s="66"/>
      <c r="K5" s="66"/>
    </row>
    <row r="6" spans="1:11" x14ac:dyDescent="0.3">
      <c r="A6" s="6" t="s">
        <v>20</v>
      </c>
      <c r="B6" s="6">
        <v>2010</v>
      </c>
      <c r="C6" s="6">
        <v>2011</v>
      </c>
      <c r="D6" s="7" t="s">
        <v>46</v>
      </c>
      <c r="E6" s="20"/>
      <c r="F6" s="23"/>
      <c r="G6" s="23"/>
      <c r="H6" s="71"/>
      <c r="I6" s="66"/>
      <c r="J6" s="66"/>
      <c r="K6" s="66"/>
    </row>
    <row r="7" spans="1:11" x14ac:dyDescent="0.3">
      <c r="A7" s="18" t="s">
        <v>21</v>
      </c>
      <c r="B7" s="14">
        <v>133389</v>
      </c>
      <c r="C7" s="14">
        <v>193087</v>
      </c>
      <c r="D7" s="17">
        <f>+(C7-B7)/B7</f>
        <v>0.44754814864793946</v>
      </c>
      <c r="E7" s="21"/>
      <c r="F7" s="23"/>
      <c r="G7" s="23"/>
      <c r="H7" s="70"/>
      <c r="I7" s="66"/>
      <c r="J7" s="66"/>
      <c r="K7" s="66"/>
    </row>
    <row r="8" spans="1:11" x14ac:dyDescent="0.3">
      <c r="A8" s="18" t="s">
        <v>22</v>
      </c>
      <c r="B8" s="14">
        <v>330481</v>
      </c>
      <c r="C8" s="14">
        <v>329071</v>
      </c>
      <c r="D8" s="17">
        <f t="shared" ref="D8:D16" si="0">+(C8-B8)/B8</f>
        <v>-4.2665085133487251E-3</v>
      </c>
      <c r="E8" s="21"/>
      <c r="F8" s="23"/>
      <c r="G8" s="23"/>
      <c r="H8" s="71"/>
      <c r="I8" s="66"/>
      <c r="J8" s="66"/>
      <c r="K8" s="66"/>
    </row>
    <row r="9" spans="1:11" x14ac:dyDescent="0.3">
      <c r="A9" s="18" t="s">
        <v>23</v>
      </c>
      <c r="B9" s="14">
        <v>586256</v>
      </c>
      <c r="C9" s="14">
        <v>650631</v>
      </c>
      <c r="D9" s="17">
        <f t="shared" si="0"/>
        <v>0.10980697852132856</v>
      </c>
      <c r="E9" s="21"/>
      <c r="F9" s="23"/>
      <c r="G9" s="23"/>
      <c r="H9" s="71"/>
      <c r="I9" s="66"/>
      <c r="J9" s="66"/>
      <c r="K9" s="66"/>
    </row>
    <row r="10" spans="1:11" x14ac:dyDescent="0.3">
      <c r="A10" s="18" t="s">
        <v>36</v>
      </c>
      <c r="B10" s="14">
        <v>553016</v>
      </c>
      <c r="C10" s="14">
        <v>601866</v>
      </c>
      <c r="D10" s="17">
        <f t="shared" si="0"/>
        <v>8.8333791427372813E-2</v>
      </c>
      <c r="E10" s="21"/>
      <c r="F10" s="23"/>
      <c r="G10" s="23"/>
      <c r="H10" s="71"/>
      <c r="I10" s="66"/>
      <c r="J10" s="66"/>
      <c r="K10" s="66"/>
    </row>
    <row r="11" spans="1:11" x14ac:dyDescent="0.3">
      <c r="A11" s="18" t="s">
        <v>60</v>
      </c>
      <c r="B11" s="14">
        <v>988793</v>
      </c>
      <c r="C11" s="14">
        <v>1009855</v>
      </c>
      <c r="D11" s="17">
        <f t="shared" si="0"/>
        <v>2.1300717136953841E-2</v>
      </c>
      <c r="E11" s="21"/>
      <c r="F11" s="23"/>
      <c r="G11" s="23"/>
      <c r="H11" s="71"/>
      <c r="I11" s="66"/>
      <c r="J11" s="66"/>
      <c r="K11" s="66"/>
    </row>
    <row r="12" spans="1:11" x14ac:dyDescent="0.3">
      <c r="A12" s="18" t="s">
        <v>47</v>
      </c>
      <c r="B12" s="14">
        <v>853564</v>
      </c>
      <c r="C12" s="14">
        <v>900384</v>
      </c>
      <c r="D12" s="17">
        <f t="shared" si="0"/>
        <v>5.4852360221377662E-2</v>
      </c>
      <c r="E12" s="21"/>
      <c r="F12" s="23"/>
      <c r="G12" s="23"/>
      <c r="H12" s="71"/>
      <c r="I12" s="66"/>
      <c r="J12" s="66"/>
      <c r="K12" s="66"/>
    </row>
    <row r="13" spans="1:11" x14ac:dyDescent="0.3">
      <c r="A13" s="18" t="s">
        <v>24</v>
      </c>
      <c r="B13" s="14">
        <v>67002</v>
      </c>
      <c r="C13" s="14">
        <v>130401</v>
      </c>
      <c r="D13" s="17">
        <f t="shared" si="0"/>
        <v>0.94622548580639387</v>
      </c>
      <c r="E13" s="21"/>
      <c r="F13" s="23"/>
      <c r="G13" s="23"/>
      <c r="H13" s="71"/>
      <c r="I13" s="66"/>
      <c r="J13" s="66"/>
      <c r="K13" s="66"/>
    </row>
    <row r="14" spans="1:11" x14ac:dyDescent="0.3">
      <c r="A14" s="18" t="s">
        <v>25</v>
      </c>
      <c r="B14" s="14">
        <v>16902</v>
      </c>
      <c r="C14" s="14">
        <v>18323</v>
      </c>
      <c r="D14" s="17">
        <f t="shared" si="0"/>
        <v>8.4072890782155962E-2</v>
      </c>
      <c r="E14" s="21"/>
      <c r="F14" s="23"/>
      <c r="G14" s="23"/>
      <c r="H14" s="71"/>
      <c r="I14" s="66"/>
      <c r="J14" s="66"/>
      <c r="K14" s="66"/>
    </row>
    <row r="15" spans="1:11" x14ac:dyDescent="0.3">
      <c r="A15" s="18" t="s">
        <v>26</v>
      </c>
      <c r="B15" s="14">
        <v>4555288</v>
      </c>
      <c r="C15" s="14">
        <v>4097551</v>
      </c>
      <c r="D15" s="17">
        <f t="shared" si="0"/>
        <v>-0.10048475529977469</v>
      </c>
      <c r="E15" s="21"/>
      <c r="F15" s="23"/>
      <c r="G15" s="23"/>
      <c r="H15" s="71"/>
      <c r="I15" s="66"/>
      <c r="J15" s="66"/>
      <c r="K15" s="66"/>
    </row>
    <row r="16" spans="1:11" ht="15.75" thickBot="1" x14ac:dyDescent="0.35">
      <c r="A16" s="26" t="s">
        <v>27</v>
      </c>
      <c r="B16" s="27">
        <f>SUM(B7:B15)</f>
        <v>8084691</v>
      </c>
      <c r="C16" s="27">
        <f>SUM(C7:C15)</f>
        <v>7931169</v>
      </c>
      <c r="D16" s="45">
        <f t="shared" si="0"/>
        <v>-1.8989222964736686E-2</v>
      </c>
      <c r="E16" s="22"/>
      <c r="F16" s="23"/>
      <c r="G16" s="23"/>
      <c r="H16" s="71"/>
      <c r="I16" s="66"/>
      <c r="J16" s="66"/>
      <c r="K16" s="66"/>
    </row>
    <row r="17" spans="1:11" x14ac:dyDescent="0.3">
      <c r="A17" s="1"/>
      <c r="B17" s="14"/>
      <c r="C17" s="14"/>
      <c r="E17" s="21"/>
      <c r="F17" s="23"/>
      <c r="G17" s="23"/>
      <c r="H17" s="71"/>
      <c r="I17" s="66"/>
      <c r="J17" s="66"/>
      <c r="K17" s="66"/>
    </row>
    <row r="18" spans="1:11" x14ac:dyDescent="0.3">
      <c r="A18" s="6" t="s">
        <v>48</v>
      </c>
      <c r="B18" s="6">
        <v>2010</v>
      </c>
      <c r="C18" s="6">
        <v>2011</v>
      </c>
      <c r="D18" s="7" t="s">
        <v>46</v>
      </c>
      <c r="E18" s="20"/>
      <c r="F18" s="23"/>
      <c r="G18" s="23"/>
      <c r="H18" s="70"/>
      <c r="I18" s="66"/>
      <c r="J18" s="66"/>
      <c r="K18" s="66"/>
    </row>
    <row r="19" spans="1:11" x14ac:dyDescent="0.3">
      <c r="A19" s="18" t="s">
        <v>28</v>
      </c>
      <c r="B19" s="14">
        <v>1126326</v>
      </c>
      <c r="C19" s="14">
        <v>679598</v>
      </c>
      <c r="D19" s="17">
        <f t="shared" ref="D19:D30" si="1">+(C19-B19)/B19</f>
        <v>-0.39662406798742106</v>
      </c>
      <c r="E19" s="21"/>
      <c r="F19" s="23"/>
      <c r="G19" s="23"/>
      <c r="H19" s="71"/>
      <c r="I19" s="66"/>
      <c r="J19" s="66"/>
      <c r="K19" s="66"/>
    </row>
    <row r="20" spans="1:11" x14ac:dyDescent="0.3">
      <c r="A20" s="18" t="s">
        <v>49</v>
      </c>
      <c r="B20" s="14">
        <v>165155</v>
      </c>
      <c r="C20" s="14">
        <v>163168</v>
      </c>
      <c r="D20" s="17">
        <f t="shared" si="1"/>
        <v>-1.2031122279071176E-2</v>
      </c>
      <c r="E20" s="21"/>
      <c r="F20" s="23"/>
      <c r="G20" s="23"/>
      <c r="H20" s="70"/>
      <c r="I20" s="66"/>
      <c r="J20" s="66"/>
      <c r="K20" s="66"/>
    </row>
    <row r="21" spans="1:11" x14ac:dyDescent="0.3">
      <c r="A21" s="18" t="s">
        <v>38</v>
      </c>
      <c r="B21" s="14">
        <v>209038</v>
      </c>
      <c r="C21" s="14">
        <v>217244</v>
      </c>
      <c r="D21" s="17">
        <f t="shared" si="1"/>
        <v>3.9256020436475664E-2</v>
      </c>
      <c r="E21" s="21"/>
      <c r="F21" s="23"/>
      <c r="G21" s="23"/>
      <c r="H21" s="71"/>
      <c r="I21" s="66"/>
      <c r="J21" s="66"/>
      <c r="K21" s="66"/>
    </row>
    <row r="22" spans="1:11" x14ac:dyDescent="0.3">
      <c r="A22" s="18" t="s">
        <v>30</v>
      </c>
      <c r="B22" s="14">
        <v>68247</v>
      </c>
      <c r="C22" s="14">
        <v>132822</v>
      </c>
      <c r="D22" s="17">
        <f t="shared" si="1"/>
        <v>0.94619543716207311</v>
      </c>
      <c r="E22" s="21"/>
      <c r="F22" s="23"/>
      <c r="G22" s="23"/>
      <c r="H22" s="71"/>
      <c r="I22" s="66"/>
      <c r="J22" s="66"/>
      <c r="K22" s="66"/>
    </row>
    <row r="23" spans="1:11" x14ac:dyDescent="0.3">
      <c r="A23" s="18" t="s">
        <v>31</v>
      </c>
      <c r="B23" s="14">
        <v>88387</v>
      </c>
      <c r="C23" s="14">
        <v>96429</v>
      </c>
      <c r="D23" s="17">
        <f t="shared" si="1"/>
        <v>9.0986231006822266E-2</v>
      </c>
      <c r="E23" s="21"/>
      <c r="F23" s="23"/>
      <c r="G23" s="23"/>
      <c r="H23" s="71"/>
      <c r="I23" s="66"/>
      <c r="J23" s="66"/>
      <c r="K23" s="66"/>
    </row>
    <row r="24" spans="1:11" x14ac:dyDescent="0.3">
      <c r="A24" s="18" t="s">
        <v>32</v>
      </c>
      <c r="B24" s="14">
        <v>31651</v>
      </c>
      <c r="C24" s="14">
        <v>33608</v>
      </c>
      <c r="D24" s="17">
        <f t="shared" si="1"/>
        <v>6.1830589870778177E-2</v>
      </c>
      <c r="E24" s="21"/>
      <c r="F24" s="23"/>
      <c r="G24" s="23"/>
      <c r="H24" s="71"/>
      <c r="I24" s="66"/>
      <c r="J24" s="66"/>
      <c r="K24" s="66"/>
    </row>
    <row r="25" spans="1:11" x14ac:dyDescent="0.3">
      <c r="A25" s="18" t="s">
        <v>24</v>
      </c>
      <c r="B25" s="14">
        <v>58990</v>
      </c>
      <c r="C25" s="14">
        <v>112430</v>
      </c>
      <c r="D25" s="17">
        <f t="shared" si="1"/>
        <v>0.90591625699271061</v>
      </c>
      <c r="E25" s="21"/>
      <c r="F25" s="23"/>
      <c r="G25" s="23"/>
      <c r="H25" s="71"/>
      <c r="I25" s="66"/>
      <c r="J25" s="66"/>
      <c r="K25" s="66"/>
    </row>
    <row r="26" spans="1:11" x14ac:dyDescent="0.3">
      <c r="A26" s="18" t="s">
        <v>0</v>
      </c>
      <c r="B26" s="14">
        <v>1983</v>
      </c>
      <c r="C26" s="14">
        <v>5031</v>
      </c>
      <c r="D26" s="17">
        <f t="shared" si="1"/>
        <v>1.5370650529500756</v>
      </c>
      <c r="E26" s="21"/>
      <c r="F26" s="23"/>
      <c r="G26" s="23"/>
      <c r="H26" s="71"/>
      <c r="I26" s="66"/>
      <c r="J26" s="66"/>
      <c r="K26" s="66"/>
    </row>
    <row r="27" spans="1:11" x14ac:dyDescent="0.3">
      <c r="A27" s="18" t="s">
        <v>33</v>
      </c>
      <c r="B27" s="30">
        <f>SUM(B19:B26)</f>
        <v>1749777</v>
      </c>
      <c r="C27" s="30">
        <f>SUM(C19:C26)</f>
        <v>1440330</v>
      </c>
      <c r="D27" s="17">
        <f t="shared" si="1"/>
        <v>-0.17684939280834072</v>
      </c>
      <c r="E27" s="21"/>
      <c r="F27" s="23"/>
      <c r="G27" s="23"/>
      <c r="H27" s="71"/>
      <c r="I27" s="66"/>
      <c r="J27" s="66"/>
      <c r="K27" s="66"/>
    </row>
    <row r="28" spans="1:11" x14ac:dyDescent="0.3">
      <c r="A28" s="18" t="s">
        <v>39</v>
      </c>
      <c r="B28" s="14">
        <v>11268</v>
      </c>
      <c r="C28" s="14">
        <v>16209</v>
      </c>
      <c r="D28" s="17">
        <f t="shared" si="1"/>
        <v>0.43849840255591055</v>
      </c>
      <c r="E28" s="21"/>
      <c r="F28" s="23"/>
      <c r="G28" s="23"/>
      <c r="H28" s="71"/>
      <c r="I28" s="66"/>
      <c r="J28" s="66"/>
      <c r="K28" s="66"/>
    </row>
    <row r="29" spans="1:11" x14ac:dyDescent="0.3">
      <c r="A29" s="32" t="s">
        <v>34</v>
      </c>
      <c r="B29" s="32">
        <v>6323646</v>
      </c>
      <c r="C29" s="32">
        <v>6474630</v>
      </c>
      <c r="D29" s="47">
        <f t="shared" si="1"/>
        <v>2.3876099326243121E-2</v>
      </c>
      <c r="E29" s="22"/>
      <c r="F29" s="23"/>
      <c r="G29" s="23"/>
      <c r="H29" s="70"/>
      <c r="I29" s="66"/>
      <c r="J29" s="66"/>
      <c r="K29" s="66"/>
    </row>
    <row r="30" spans="1:11" ht="15.75" thickBot="1" x14ac:dyDescent="0.35">
      <c r="A30" s="27" t="s">
        <v>35</v>
      </c>
      <c r="B30" s="27">
        <f>+B27+B28+B29</f>
        <v>8084691</v>
      </c>
      <c r="C30" s="27">
        <f>+C27+C28+C29</f>
        <v>7931169</v>
      </c>
      <c r="D30" s="45">
        <f t="shared" si="1"/>
        <v>-1.8989222964736686E-2</v>
      </c>
      <c r="E30" s="22"/>
      <c r="F30" s="23"/>
      <c r="G30" s="23"/>
      <c r="H30" s="70"/>
      <c r="I30" s="66"/>
      <c r="J30" s="66"/>
      <c r="K30" s="66"/>
    </row>
    <row r="31" spans="1:11" x14ac:dyDescent="0.3">
      <c r="A31" s="19"/>
      <c r="B31" s="14"/>
      <c r="C31" s="14"/>
      <c r="D31" s="17"/>
      <c r="E31" s="21"/>
      <c r="F31" s="23"/>
      <c r="G31" s="23"/>
      <c r="H31" s="70"/>
      <c r="I31" s="66"/>
      <c r="J31" s="66"/>
      <c r="K31" s="66"/>
    </row>
    <row r="32" spans="1:11" x14ac:dyDescent="0.3">
      <c r="A32" s="41" t="s">
        <v>3</v>
      </c>
      <c r="B32" s="14"/>
      <c r="C32" s="14"/>
      <c r="D32" s="17"/>
      <c r="E32" s="21"/>
      <c r="F32" s="23"/>
      <c r="G32" s="23"/>
      <c r="H32" s="70"/>
      <c r="I32" s="66"/>
      <c r="J32" s="66"/>
      <c r="K32" s="66"/>
    </row>
    <row r="33" spans="1:8" x14ac:dyDescent="0.3">
      <c r="A33" s="41" t="s">
        <v>68</v>
      </c>
      <c r="B33" s="14"/>
      <c r="C33" s="14"/>
      <c r="D33" s="17"/>
      <c r="E33" s="21"/>
      <c r="F33" s="23"/>
    </row>
    <row r="34" spans="1:8" x14ac:dyDescent="0.3">
      <c r="A34" s="41" t="s">
        <v>44</v>
      </c>
      <c r="B34" s="14"/>
      <c r="C34" s="14"/>
      <c r="D34" s="17"/>
      <c r="E34" s="21"/>
      <c r="F34" s="23"/>
    </row>
    <row r="35" spans="1:8" x14ac:dyDescent="0.3">
      <c r="A35" s="41" t="s">
        <v>45</v>
      </c>
      <c r="B35" s="14"/>
      <c r="C35" s="14"/>
      <c r="D35" s="17"/>
      <c r="E35" s="21"/>
      <c r="F35" s="23"/>
    </row>
    <row r="36" spans="1:8" x14ac:dyDescent="0.3">
      <c r="A36" s="6"/>
      <c r="B36" s="6">
        <v>2010</v>
      </c>
      <c r="C36" s="6" t="s">
        <v>55</v>
      </c>
      <c r="D36" s="6">
        <v>2011</v>
      </c>
      <c r="E36" s="6" t="s">
        <v>55</v>
      </c>
      <c r="F36" s="7" t="s">
        <v>46</v>
      </c>
    </row>
    <row r="37" spans="1:8" s="9" customFormat="1" x14ac:dyDescent="0.3">
      <c r="A37" s="30" t="s">
        <v>4</v>
      </c>
      <c r="B37" s="50">
        <v>4458858</v>
      </c>
      <c r="C37" s="42">
        <v>1</v>
      </c>
      <c r="D37" s="50">
        <v>5057382.6182662696</v>
      </c>
      <c r="E37" s="42">
        <v>1</v>
      </c>
      <c r="F37" s="17">
        <f>IF(B37&lt;&gt;0,(D37-B37)/B37,0)</f>
        <v>0.13423271570125569</v>
      </c>
      <c r="G37" s="8"/>
      <c r="H37" s="5"/>
    </row>
    <row r="38" spans="1:8" x14ac:dyDescent="0.3">
      <c r="A38" s="14" t="s">
        <v>50</v>
      </c>
      <c r="B38" s="51">
        <v>-2587907.8744791602</v>
      </c>
      <c r="C38" s="17">
        <f t="shared" ref="C38:C55" si="2">+B38/$B$37</f>
        <v>-0.58039701521760956</v>
      </c>
      <c r="D38" s="51">
        <v>-3030201.8461819952</v>
      </c>
      <c r="E38" s="17">
        <f>+D38/$D$37</f>
        <v>-0.59916404885750651</v>
      </c>
      <c r="F38" s="17">
        <f t="shared" ref="F38:F54" si="3">IF(B38&lt;&gt;0,(D38-B38)/B38,0)</f>
        <v>0.17090792762159307</v>
      </c>
    </row>
    <row r="39" spans="1:8" s="9" customFormat="1" x14ac:dyDescent="0.3">
      <c r="A39" s="30" t="s">
        <v>6</v>
      </c>
      <c r="B39" s="30">
        <f>SUM(B37:B38)</f>
        <v>1870950.1255208398</v>
      </c>
      <c r="C39" s="42">
        <f t="shared" si="2"/>
        <v>0.41960298478239044</v>
      </c>
      <c r="D39" s="30">
        <f>SUM(D37:D38)</f>
        <v>2027180.7720842743</v>
      </c>
      <c r="E39" s="42">
        <f t="shared" ref="E39:E56" si="4">+D39/$D$37</f>
        <v>0.40083595114249349</v>
      </c>
      <c r="F39" s="17">
        <f t="shared" si="3"/>
        <v>8.3503373196515657E-2</v>
      </c>
      <c r="G39" s="8"/>
      <c r="H39" s="5"/>
    </row>
    <row r="40" spans="1:8" x14ac:dyDescent="0.3">
      <c r="A40" s="14" t="s">
        <v>7</v>
      </c>
      <c r="B40" s="14">
        <v>-212941</v>
      </c>
      <c r="C40" s="17">
        <f t="shared" si="2"/>
        <v>-4.7756847156828049E-2</v>
      </c>
      <c r="D40" s="14">
        <v>-250061.17590559012</v>
      </c>
      <c r="E40" s="17">
        <f t="shared" si="4"/>
        <v>-4.9444780982640789E-2</v>
      </c>
      <c r="F40" s="17">
        <f t="shared" si="3"/>
        <v>0.17432141253018499</v>
      </c>
    </row>
    <row r="41" spans="1:8" x14ac:dyDescent="0.3">
      <c r="A41" s="14" t="s">
        <v>8</v>
      </c>
      <c r="B41" s="14">
        <v>-1103652</v>
      </c>
      <c r="C41" s="17">
        <f t="shared" si="2"/>
        <v>-0.24751898356036456</v>
      </c>
      <c r="D41" s="14">
        <v>-1221301.5797654777</v>
      </c>
      <c r="E41" s="17">
        <f t="shared" si="4"/>
        <v>-0.24148886330141939</v>
      </c>
      <c r="F41" s="17">
        <f t="shared" si="3"/>
        <v>0.10660025059119875</v>
      </c>
    </row>
    <row r="42" spans="1:8" x14ac:dyDescent="0.3">
      <c r="A42" s="14" t="s">
        <v>84</v>
      </c>
      <c r="B42" s="14">
        <v>-121613</v>
      </c>
      <c r="C42" s="17">
        <f t="shared" si="2"/>
        <v>-2.7274472521887892E-2</v>
      </c>
      <c r="D42" s="14">
        <v>-123323</v>
      </c>
      <c r="E42" s="17">
        <f t="shared" si="4"/>
        <v>-2.4384747864356085E-2</v>
      </c>
      <c r="F42" s="17">
        <f t="shared" si="3"/>
        <v>1.4060996768437585E-2</v>
      </c>
    </row>
    <row r="43" spans="1:8" s="9" customFormat="1" x14ac:dyDescent="0.3">
      <c r="A43" s="30" t="s">
        <v>9</v>
      </c>
      <c r="B43" s="30">
        <f>SUM(B40:B42)</f>
        <v>-1438206</v>
      </c>
      <c r="C43" s="42">
        <f t="shared" si="2"/>
        <v>-0.32255030323908052</v>
      </c>
      <c r="D43" s="30">
        <f>SUM(D40:D42)</f>
        <v>-1594685.7556710679</v>
      </c>
      <c r="E43" s="42">
        <f t="shared" si="4"/>
        <v>-0.31531839214841628</v>
      </c>
      <c r="F43" s="17">
        <f t="shared" si="3"/>
        <v>0.10880204620970005</v>
      </c>
      <c r="G43" s="8"/>
      <c r="H43" s="5"/>
    </row>
    <row r="44" spans="1:8" s="9" customFormat="1" x14ac:dyDescent="0.3">
      <c r="A44" s="30" t="s">
        <v>1</v>
      </c>
      <c r="B44" s="30">
        <f>+B39+B43</f>
        <v>432744.12552083982</v>
      </c>
      <c r="C44" s="42">
        <f t="shared" si="2"/>
        <v>9.7052681543309927E-2</v>
      </c>
      <c r="D44" s="30">
        <f>+D39+D43</f>
        <v>432495.01641320647</v>
      </c>
      <c r="E44" s="42">
        <f t="shared" si="4"/>
        <v>8.5517558994077231E-2</v>
      </c>
      <c r="F44" s="17">
        <f t="shared" si="3"/>
        <v>-5.7564988856528734E-4</v>
      </c>
      <c r="G44" s="8"/>
      <c r="H44" s="5"/>
    </row>
    <row r="45" spans="1:8" x14ac:dyDescent="0.3">
      <c r="A45" s="14" t="s">
        <v>51</v>
      </c>
      <c r="B45" s="14">
        <v>8084</v>
      </c>
      <c r="C45" s="17">
        <f t="shared" si="2"/>
        <v>1.8130202845661378E-3</v>
      </c>
      <c r="D45" s="14">
        <v>7592</v>
      </c>
      <c r="E45" s="17">
        <f t="shared" si="4"/>
        <v>1.5011717667117357E-3</v>
      </c>
      <c r="F45" s="17">
        <f t="shared" si="3"/>
        <v>-6.0860959920831272E-2</v>
      </c>
    </row>
    <row r="46" spans="1:8" x14ac:dyDescent="0.3">
      <c r="A46" s="14" t="s">
        <v>11</v>
      </c>
      <c r="B46" s="14">
        <v>-79867</v>
      </c>
      <c r="C46" s="17">
        <f t="shared" si="2"/>
        <v>-1.7911985535309715E-2</v>
      </c>
      <c r="D46" s="14">
        <v>-84666</v>
      </c>
      <c r="E46" s="17">
        <f t="shared" si="4"/>
        <v>-1.6741070706061095E-2</v>
      </c>
      <c r="F46" s="17">
        <f t="shared" si="3"/>
        <v>6.0087395294677402E-2</v>
      </c>
    </row>
    <row r="47" spans="1:8" x14ac:dyDescent="0.3">
      <c r="A47" s="14" t="s">
        <v>12</v>
      </c>
      <c r="B47" s="14">
        <v>-28926</v>
      </c>
      <c r="C47" s="17">
        <f t="shared" si="2"/>
        <v>-6.487311325007435E-3</v>
      </c>
      <c r="D47" s="14">
        <v>-3636</v>
      </c>
      <c r="E47" s="17">
        <f t="shared" si="4"/>
        <v>-7.1894896519545195E-4</v>
      </c>
      <c r="F47" s="17">
        <f t="shared" si="3"/>
        <v>-0.87429993777224646</v>
      </c>
    </row>
    <row r="48" spans="1:8" x14ac:dyDescent="0.3">
      <c r="A48" s="14" t="s">
        <v>52</v>
      </c>
      <c r="B48" s="14">
        <v>-23551</v>
      </c>
      <c r="C48" s="17">
        <f t="shared" si="2"/>
        <v>-5.2818457102693115E-3</v>
      </c>
      <c r="D48" s="14">
        <v>-26933</v>
      </c>
      <c r="E48" s="17">
        <f t="shared" si="4"/>
        <v>-5.3254819800905139E-3</v>
      </c>
      <c r="F48" s="17">
        <f t="shared" si="3"/>
        <v>0.14360324402360833</v>
      </c>
    </row>
    <row r="49" spans="1:9" x14ac:dyDescent="0.3">
      <c r="A49" s="14" t="s">
        <v>14</v>
      </c>
      <c r="B49" s="14">
        <v>30996</v>
      </c>
      <c r="C49" s="17">
        <f t="shared" si="2"/>
        <v>6.9515557571019305E-3</v>
      </c>
      <c r="D49" s="14">
        <v>33531</v>
      </c>
      <c r="E49" s="17">
        <f t="shared" si="4"/>
        <v>6.6301093927306652E-3</v>
      </c>
      <c r="F49" s="17">
        <f t="shared" si="3"/>
        <v>8.1784746418892759E-2</v>
      </c>
    </row>
    <row r="50" spans="1:9" x14ac:dyDescent="0.3">
      <c r="A50" s="14" t="s">
        <v>16</v>
      </c>
      <c r="B50" s="14">
        <v>1513.7364279999999</v>
      </c>
      <c r="C50" s="17">
        <f t="shared" si="2"/>
        <v>3.3948971418242067E-4</v>
      </c>
      <c r="D50" s="14">
        <v>11185</v>
      </c>
      <c r="E50" s="17">
        <f t="shared" si="4"/>
        <v>2.2116183101515761E-3</v>
      </c>
      <c r="F50" s="17">
        <f t="shared" si="3"/>
        <v>6.3890010130614368</v>
      </c>
    </row>
    <row r="51" spans="1:9" s="9" customFormat="1" x14ac:dyDescent="0.3">
      <c r="A51" s="30" t="s">
        <v>2</v>
      </c>
      <c r="B51" s="30">
        <f>SUM(B45:B50)</f>
        <v>-91750.263571999996</v>
      </c>
      <c r="C51" s="42">
        <f t="shared" si="2"/>
        <v>-2.0577076814735969E-2</v>
      </c>
      <c r="D51" s="30">
        <f>SUM(D45:D50)</f>
        <v>-62927</v>
      </c>
      <c r="E51" s="42">
        <f t="shared" si="4"/>
        <v>-1.2442602181753082E-2</v>
      </c>
      <c r="F51" s="17">
        <f t="shared" si="3"/>
        <v>-0.31414910922170008</v>
      </c>
      <c r="G51" s="8"/>
      <c r="H51" s="5"/>
    </row>
    <row r="52" spans="1:9" s="9" customFormat="1" x14ac:dyDescent="0.3">
      <c r="A52" s="30" t="s">
        <v>41</v>
      </c>
      <c r="B52" s="30">
        <f>+B44+B51</f>
        <v>340993.86194883985</v>
      </c>
      <c r="C52" s="42">
        <f t="shared" si="2"/>
        <v>7.6475604728573968E-2</v>
      </c>
      <c r="D52" s="30">
        <f>+D44+D51</f>
        <v>369568.01641320647</v>
      </c>
      <c r="E52" s="42">
        <f t="shared" si="4"/>
        <v>7.3074956812324149E-2</v>
      </c>
      <c r="F52" s="17">
        <f t="shared" si="3"/>
        <v>8.3796682735168007E-2</v>
      </c>
      <c r="G52" s="8"/>
      <c r="H52" s="5"/>
    </row>
    <row r="53" spans="1:9" x14ac:dyDescent="0.3">
      <c r="A53" s="14" t="s">
        <v>15</v>
      </c>
      <c r="B53" s="14">
        <v>-76992.534036829995</v>
      </c>
      <c r="C53" s="17">
        <f t="shared" si="2"/>
        <v>-1.7267321371712219E-2</v>
      </c>
      <c r="D53" s="14">
        <v>-113919.04882074999</v>
      </c>
      <c r="E53" s="17">
        <f t="shared" si="4"/>
        <v>-2.2525297652840587E-2</v>
      </c>
      <c r="F53" s="17">
        <f t="shared" si="3"/>
        <v>0.47961163047648098</v>
      </c>
    </row>
    <row r="54" spans="1:9" x14ac:dyDescent="0.3">
      <c r="A54" s="14" t="s">
        <v>18</v>
      </c>
      <c r="B54" s="14">
        <v>-762.45166136</v>
      </c>
      <c r="C54" s="17">
        <f t="shared" si="2"/>
        <v>-1.709970717524532E-4</v>
      </c>
      <c r="D54" s="14">
        <v>-2137.6216936399992</v>
      </c>
      <c r="E54" s="17">
        <f t="shared" si="4"/>
        <v>-4.2267351612261463E-4</v>
      </c>
      <c r="F54" s="17">
        <f t="shared" si="3"/>
        <v>1.8036160218040336</v>
      </c>
    </row>
    <row r="55" spans="1:9" s="9" customFormat="1" x14ac:dyDescent="0.3">
      <c r="A55" s="43" t="s">
        <v>17</v>
      </c>
      <c r="B55" s="43">
        <f>+B52+B53+B54</f>
        <v>263238.87625064986</v>
      </c>
      <c r="C55" s="44">
        <f t="shared" si="2"/>
        <v>5.9037286285109292E-2</v>
      </c>
      <c r="D55" s="43">
        <f>+D52+D53+D54</f>
        <v>253511.34589881651</v>
      </c>
      <c r="E55" s="44">
        <f t="shared" si="4"/>
        <v>5.0126985643360954E-2</v>
      </c>
      <c r="F55" s="44">
        <f>+(D55-B55)/B55</f>
        <v>-3.6953243724422484E-2</v>
      </c>
      <c r="G55" s="8"/>
      <c r="H55" s="5"/>
      <c r="I55" s="60"/>
    </row>
    <row r="56" spans="1:9" s="9" customFormat="1" ht="15.75" thickBot="1" x14ac:dyDescent="0.35">
      <c r="A56" s="27" t="s">
        <v>19</v>
      </c>
      <c r="B56" s="27">
        <v>538165</v>
      </c>
      <c r="C56" s="45">
        <f>+B56/$B$37</f>
        <v>0.12069570280103112</v>
      </c>
      <c r="D56" s="27">
        <v>568131.17041880696</v>
      </c>
      <c r="E56" s="45">
        <f t="shared" si="4"/>
        <v>0.11233699589325694</v>
      </c>
      <c r="F56" s="45">
        <f>+(D56-B56)/B56</f>
        <v>5.5682124290518623E-2</v>
      </c>
      <c r="G56" s="8"/>
      <c r="H56" s="5"/>
    </row>
    <row r="57" spans="1:9" x14ac:dyDescent="0.3">
      <c r="A57" s="2"/>
      <c r="C57" s="3"/>
      <c r="D57" s="10"/>
    </row>
    <row r="58" spans="1:9" x14ac:dyDescent="0.3">
      <c r="A58" s="19" t="s">
        <v>53</v>
      </c>
      <c r="B58" s="10"/>
      <c r="C58" s="10"/>
      <c r="D58" s="10"/>
    </row>
    <row r="59" spans="1:9" x14ac:dyDescent="0.3">
      <c r="A59" s="5" t="s">
        <v>86</v>
      </c>
      <c r="D59" s="10"/>
    </row>
    <row r="61" spans="1:9" x14ac:dyDescent="0.3">
      <c r="D61" s="11"/>
    </row>
    <row r="62" spans="1:9" x14ac:dyDescent="0.3">
      <c r="E62" s="11"/>
    </row>
    <row r="79" spans="5:5" x14ac:dyDescent="0.3">
      <c r="E79" s="11"/>
    </row>
  </sheetData>
  <pageMargins left="0.7" right="0.7" top="0.75" bottom="0.75" header="0.3" footer="0.3"/>
  <customProperties>
    <customPr name="_pios_id" r:id="rId1"/>
  </customPropertie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"/>
  <sheetViews>
    <sheetView workbookViewId="0">
      <selection activeCell="C24" sqref="C24"/>
    </sheetView>
  </sheetViews>
  <sheetFormatPr baseColWidth="10" defaultColWidth="11.42578125" defaultRowHeight="15" x14ac:dyDescent="0.3"/>
  <cols>
    <col min="1" max="1" width="43.7109375" style="5" customWidth="1"/>
    <col min="2" max="3" width="11.7109375" style="2" bestFit="1" customWidth="1"/>
    <col min="4" max="4" width="13.28515625" style="3" bestFit="1" customWidth="1"/>
    <col min="5" max="16384" width="11.42578125" style="5"/>
  </cols>
  <sheetData>
    <row r="1" spans="1:6" x14ac:dyDescent="0.3">
      <c r="A1" s="24" t="s">
        <v>69</v>
      </c>
    </row>
    <row r="2" spans="1:6" x14ac:dyDescent="0.3">
      <c r="A2" s="24" t="s">
        <v>76</v>
      </c>
    </row>
    <row r="3" spans="1:6" x14ac:dyDescent="0.3">
      <c r="A3" s="24" t="s">
        <v>44</v>
      </c>
    </row>
    <row r="4" spans="1:6" x14ac:dyDescent="0.3">
      <c r="A4" s="24" t="s">
        <v>45</v>
      </c>
    </row>
    <row r="5" spans="1:6" ht="12" customHeight="1" x14ac:dyDescent="0.3"/>
    <row r="6" spans="1:6" x14ac:dyDescent="0.3">
      <c r="A6" s="6" t="s">
        <v>20</v>
      </c>
      <c r="B6" s="6">
        <v>2011</v>
      </c>
      <c r="C6" s="6">
        <v>2012</v>
      </c>
      <c r="D6" s="7" t="s">
        <v>46</v>
      </c>
    </row>
    <row r="7" spans="1:6" x14ac:dyDescent="0.3">
      <c r="A7" s="18" t="s">
        <v>21</v>
      </c>
      <c r="B7" s="14">
        <v>130</v>
      </c>
      <c r="C7" s="14">
        <v>109</v>
      </c>
      <c r="D7" s="17">
        <f t="shared" ref="D7:D12" si="0">IF(B7&lt;&gt;0,(C7-B7)/B7,0)</f>
        <v>-0.16153846153846155</v>
      </c>
    </row>
    <row r="8" spans="1:6" x14ac:dyDescent="0.3">
      <c r="A8" s="18" t="s">
        <v>22</v>
      </c>
      <c r="B8" s="14">
        <v>2761293</v>
      </c>
      <c r="C8" s="14">
        <v>3542714</v>
      </c>
      <c r="D8" s="17">
        <f t="shared" si="0"/>
        <v>0.28299097560454467</v>
      </c>
      <c r="F8" s="2"/>
    </row>
    <row r="9" spans="1:6" x14ac:dyDescent="0.3">
      <c r="A9" s="18" t="s">
        <v>23</v>
      </c>
      <c r="B9" s="14">
        <v>115108</v>
      </c>
      <c r="C9" s="14">
        <v>57620</v>
      </c>
      <c r="D9" s="17">
        <f t="shared" si="0"/>
        <v>-0.49942662543003091</v>
      </c>
    </row>
    <row r="10" spans="1:6" x14ac:dyDescent="0.3">
      <c r="A10" s="18" t="s">
        <v>83</v>
      </c>
      <c r="B10" s="14">
        <f>155+514</f>
        <v>669</v>
      </c>
      <c r="C10" s="14">
        <v>751</v>
      </c>
      <c r="D10" s="17">
        <f t="shared" si="0"/>
        <v>0.12257100149476831</v>
      </c>
    </row>
    <row r="11" spans="1:6" x14ac:dyDescent="0.3">
      <c r="A11" s="18" t="s">
        <v>26</v>
      </c>
      <c r="B11" s="14">
        <v>3491549</v>
      </c>
      <c r="C11" s="14">
        <v>2984131</v>
      </c>
      <c r="D11" s="17">
        <f t="shared" si="0"/>
        <v>-0.1453274749974868</v>
      </c>
    </row>
    <row r="12" spans="1:6" ht="15.75" thickBot="1" x14ac:dyDescent="0.35">
      <c r="A12" s="26" t="s">
        <v>27</v>
      </c>
      <c r="B12" s="27">
        <f>SUM(B7:B11)</f>
        <v>6368749</v>
      </c>
      <c r="C12" s="27">
        <f>SUM(C7:C11)</f>
        <v>6585325</v>
      </c>
      <c r="D12" s="46">
        <f t="shared" si="0"/>
        <v>3.400605048181362E-2</v>
      </c>
    </row>
    <row r="14" spans="1:6" x14ac:dyDescent="0.3">
      <c r="A14" s="6" t="s">
        <v>48</v>
      </c>
      <c r="B14" s="6">
        <v>2011</v>
      </c>
      <c r="C14" s="6">
        <v>2012</v>
      </c>
      <c r="D14" s="7" t="s">
        <v>46</v>
      </c>
    </row>
    <row r="15" spans="1:6" hidden="1" x14ac:dyDescent="0.3">
      <c r="A15" s="18" t="s">
        <v>28</v>
      </c>
      <c r="B15" s="14">
        <v>0</v>
      </c>
      <c r="C15" s="14">
        <v>0</v>
      </c>
      <c r="D15" s="17">
        <f t="shared" ref="D15:D23" si="1">IF(B15&lt;&gt;0,(C15-B15)/B15,0)</f>
        <v>0</v>
      </c>
    </row>
    <row r="16" spans="1:6" x14ac:dyDescent="0.3">
      <c r="A16" s="18" t="s">
        <v>29</v>
      </c>
      <c r="B16" s="14">
        <v>209621</v>
      </c>
      <c r="C16" s="14">
        <v>196694</v>
      </c>
      <c r="D16" s="17">
        <f t="shared" si="1"/>
        <v>-6.1668439707853698E-2</v>
      </c>
    </row>
    <row r="17" spans="1:6" x14ac:dyDescent="0.3">
      <c r="A17" s="18" t="s">
        <v>30</v>
      </c>
      <c r="B17" s="14">
        <v>928</v>
      </c>
      <c r="C17" s="14">
        <v>884</v>
      </c>
      <c r="D17" s="17">
        <f t="shared" si="1"/>
        <v>-4.7413793103448273E-2</v>
      </c>
    </row>
    <row r="18" spans="1:6" x14ac:dyDescent="0.3">
      <c r="A18" s="18" t="s">
        <v>31</v>
      </c>
      <c r="B18" s="14">
        <v>908</v>
      </c>
      <c r="C18" s="14">
        <v>789</v>
      </c>
      <c r="D18" s="17">
        <f t="shared" si="1"/>
        <v>-0.13105726872246695</v>
      </c>
    </row>
    <row r="19" spans="1:6" x14ac:dyDescent="0.3">
      <c r="A19" s="18" t="s">
        <v>32</v>
      </c>
      <c r="B19" s="14">
        <v>676</v>
      </c>
      <c r="C19" s="14">
        <v>269</v>
      </c>
      <c r="D19" s="17">
        <f t="shared" si="1"/>
        <v>-0.60207100591715978</v>
      </c>
    </row>
    <row r="20" spans="1:6" x14ac:dyDescent="0.3">
      <c r="A20" s="18" t="s">
        <v>24</v>
      </c>
      <c r="B20" s="14">
        <v>33412</v>
      </c>
      <c r="C20" s="14">
        <v>35612</v>
      </c>
      <c r="D20" s="17">
        <f t="shared" si="1"/>
        <v>6.5844606728121632E-2</v>
      </c>
    </row>
    <row r="21" spans="1:6" s="9" customFormat="1" x14ac:dyDescent="0.3">
      <c r="A21" s="29" t="s">
        <v>33</v>
      </c>
      <c r="B21" s="30">
        <f>SUM(B15:B20)</f>
        <v>245545</v>
      </c>
      <c r="C21" s="30">
        <f>SUM(C15:C20)</f>
        <v>234248</v>
      </c>
      <c r="D21" s="42">
        <f t="shared" si="1"/>
        <v>-4.6007860066382945E-2</v>
      </c>
    </row>
    <row r="22" spans="1:6" s="9" customFormat="1" x14ac:dyDescent="0.3">
      <c r="A22" s="31" t="s">
        <v>34</v>
      </c>
      <c r="B22" s="32">
        <v>6123205</v>
      </c>
      <c r="C22" s="32">
        <v>6351077</v>
      </c>
      <c r="D22" s="47">
        <f t="shared" si="1"/>
        <v>3.7214497963076527E-2</v>
      </c>
    </row>
    <row r="23" spans="1:6" s="9" customFormat="1" ht="15.75" thickBot="1" x14ac:dyDescent="0.35">
      <c r="A23" s="26" t="s">
        <v>35</v>
      </c>
      <c r="B23" s="27">
        <f>+B21+B22</f>
        <v>6368750</v>
      </c>
      <c r="C23" s="27">
        <f>+C21+C22</f>
        <v>6585325</v>
      </c>
      <c r="D23" s="45">
        <f t="shared" si="1"/>
        <v>3.4005888125613344E-2</v>
      </c>
      <c r="F23" s="60"/>
    </row>
    <row r="24" spans="1:6" x14ac:dyDescent="0.3">
      <c r="A24" s="18" t="s">
        <v>54</v>
      </c>
      <c r="B24" s="14">
        <v>435123458</v>
      </c>
      <c r="C24" s="14">
        <f>435123458+25000000</f>
        <v>460123458</v>
      </c>
      <c r="D24" s="17"/>
    </row>
    <row r="25" spans="1:6" x14ac:dyDescent="0.3">
      <c r="A25" s="18" t="s">
        <v>71</v>
      </c>
      <c r="B25" s="33">
        <f>+B22/+(B24/1000000)</f>
        <v>14072.339441648764</v>
      </c>
      <c r="C25" s="33">
        <f>+C22/+(C24/1000000)</f>
        <v>13802.984589409914</v>
      </c>
      <c r="D25" s="17"/>
    </row>
    <row r="27" spans="1:6" ht="15.75" customHeight="1" x14ac:dyDescent="0.3">
      <c r="A27" s="6" t="s">
        <v>70</v>
      </c>
      <c r="B27" s="6">
        <v>2011</v>
      </c>
      <c r="C27" s="6">
        <v>2012</v>
      </c>
      <c r="D27" s="6" t="s">
        <v>46</v>
      </c>
    </row>
    <row r="28" spans="1:6" x14ac:dyDescent="0.3">
      <c r="A28" s="19" t="s">
        <v>66</v>
      </c>
      <c r="B28" s="17"/>
      <c r="C28" s="17"/>
      <c r="D28" s="34"/>
    </row>
    <row r="29" spans="1:6" x14ac:dyDescent="0.3">
      <c r="A29" s="19" t="s">
        <v>44</v>
      </c>
      <c r="B29" s="17"/>
      <c r="C29" s="17"/>
      <c r="D29" s="34"/>
    </row>
    <row r="30" spans="1:6" x14ac:dyDescent="0.3">
      <c r="A30" s="19" t="s">
        <v>45</v>
      </c>
      <c r="B30" s="17"/>
      <c r="C30" s="17"/>
      <c r="D30" s="34"/>
    </row>
    <row r="31" spans="1:6" s="9" customFormat="1" x14ac:dyDescent="0.3">
      <c r="A31" s="19" t="s">
        <v>72</v>
      </c>
      <c r="B31" s="30">
        <v>60625</v>
      </c>
      <c r="C31" s="30">
        <v>55583</v>
      </c>
      <c r="D31" s="17">
        <f>IF(B31&lt;&gt;0,(C31-B31)/B31,0)</f>
        <v>-8.3167010309278352E-2</v>
      </c>
    </row>
    <row r="32" spans="1:6" hidden="1" x14ac:dyDescent="0.3">
      <c r="A32" s="19" t="s">
        <v>5</v>
      </c>
      <c r="B32" s="14">
        <v>0</v>
      </c>
      <c r="C32" s="14">
        <v>0</v>
      </c>
      <c r="D32" s="17">
        <f t="shared" ref="D32:D42" si="2">IF(B32&lt;&gt;0,(C32-B32)/B32,0)</f>
        <v>0</v>
      </c>
    </row>
    <row r="33" spans="1:6" s="9" customFormat="1" x14ac:dyDescent="0.3">
      <c r="A33" s="19" t="s">
        <v>57</v>
      </c>
      <c r="B33" s="14">
        <v>7650</v>
      </c>
      <c r="C33" s="14">
        <v>8296</v>
      </c>
      <c r="D33" s="17">
        <f t="shared" si="2"/>
        <v>8.4444444444444447E-2</v>
      </c>
    </row>
    <row r="34" spans="1:6" s="9" customFormat="1" x14ac:dyDescent="0.3">
      <c r="A34" s="19" t="s">
        <v>56</v>
      </c>
      <c r="B34" s="14">
        <v>1782</v>
      </c>
      <c r="C34" s="14">
        <v>2095</v>
      </c>
      <c r="D34" s="17">
        <f t="shared" si="2"/>
        <v>0.17564534231200898</v>
      </c>
    </row>
    <row r="35" spans="1:6" s="9" customFormat="1" x14ac:dyDescent="0.3">
      <c r="A35" s="35" t="s">
        <v>4</v>
      </c>
      <c r="B35" s="30">
        <f>SUM(B31:B34)</f>
        <v>70057</v>
      </c>
      <c r="C35" s="30">
        <f>SUM(C31:C34)</f>
        <v>65974</v>
      </c>
      <c r="D35" s="17">
        <f t="shared" si="2"/>
        <v>-5.8281113950069227E-2</v>
      </c>
    </row>
    <row r="36" spans="1:6" x14ac:dyDescent="0.3">
      <c r="A36" s="19" t="s">
        <v>58</v>
      </c>
      <c r="B36" s="14">
        <v>-6318</v>
      </c>
      <c r="C36" s="14">
        <v>-8176</v>
      </c>
      <c r="D36" s="17">
        <f t="shared" si="2"/>
        <v>0.29408040519151629</v>
      </c>
    </row>
    <row r="37" spans="1:6" s="9" customFormat="1" x14ac:dyDescent="0.3">
      <c r="A37" s="35" t="s">
        <v>42</v>
      </c>
      <c r="B37" s="30">
        <f>SUM(B35:B36)</f>
        <v>63739</v>
      </c>
      <c r="C37" s="30">
        <f>SUM(C35:C36)</f>
        <v>57798</v>
      </c>
      <c r="D37" s="17">
        <f t="shared" si="2"/>
        <v>-9.3208239853151131E-2</v>
      </c>
    </row>
    <row r="38" spans="1:6" s="9" customFormat="1" x14ac:dyDescent="0.3">
      <c r="A38" s="19" t="s">
        <v>10</v>
      </c>
      <c r="B38" s="14">
        <v>30</v>
      </c>
      <c r="C38" s="14">
        <v>652</v>
      </c>
      <c r="D38" s="17">
        <f t="shared" si="2"/>
        <v>20.733333333333334</v>
      </c>
      <c r="F38" s="60"/>
    </row>
    <row r="39" spans="1:6" x14ac:dyDescent="0.3">
      <c r="A39" s="19" t="s">
        <v>13</v>
      </c>
      <c r="B39" s="14">
        <v>-346</v>
      </c>
      <c r="C39" s="14">
        <v>-25</v>
      </c>
      <c r="D39" s="17">
        <f t="shared" si="2"/>
        <v>-0.9277456647398844</v>
      </c>
    </row>
    <row r="40" spans="1:6" s="9" customFormat="1" x14ac:dyDescent="0.3">
      <c r="A40" s="35" t="s">
        <v>43</v>
      </c>
      <c r="B40" s="30">
        <f>SUM(B37:B39)</f>
        <v>63423</v>
      </c>
      <c r="C40" s="30">
        <f>SUM(C37:C39)</f>
        <v>58425</v>
      </c>
      <c r="D40" s="17">
        <f t="shared" si="2"/>
        <v>-7.8804219289532185E-2</v>
      </c>
    </row>
    <row r="41" spans="1:6" x14ac:dyDescent="0.3">
      <c r="A41" s="19" t="s">
        <v>15</v>
      </c>
      <c r="B41" s="14">
        <v>-483</v>
      </c>
      <c r="C41" s="14">
        <v>-8</v>
      </c>
      <c r="D41" s="17">
        <f t="shared" si="2"/>
        <v>-0.9834368530020704</v>
      </c>
    </row>
    <row r="42" spans="1:6" ht="15.75" thickBot="1" x14ac:dyDescent="0.35">
      <c r="A42" s="36" t="s">
        <v>17</v>
      </c>
      <c r="B42" s="37">
        <f>SUM(B40:B41)</f>
        <v>62940</v>
      </c>
      <c r="C42" s="37">
        <f>SUM(C40:C41)</f>
        <v>58417</v>
      </c>
      <c r="D42" s="45">
        <f t="shared" si="2"/>
        <v>-7.1862090880203372E-2</v>
      </c>
    </row>
    <row r="44" spans="1:6" x14ac:dyDescent="0.3">
      <c r="A44" s="19"/>
      <c r="B44" s="14"/>
      <c r="C44" s="14"/>
      <c r="D44" s="17"/>
    </row>
  </sheetData>
  <pageMargins left="0.7" right="0.7" top="0.75" bottom="0.75" header="0.3" footer="0.3"/>
  <customProperties>
    <customPr name="_pios_id" r:id="rId1"/>
  </customPropertie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9"/>
  <sheetViews>
    <sheetView topLeftCell="A4" zoomScale="87" zoomScaleNormal="87" workbookViewId="0">
      <selection activeCell="C15" sqref="C15"/>
    </sheetView>
  </sheetViews>
  <sheetFormatPr baseColWidth="10" defaultColWidth="11.42578125" defaultRowHeight="15" x14ac:dyDescent="0.3"/>
  <cols>
    <col min="1" max="1" width="29" style="5" customWidth="1"/>
    <col min="2" max="2" width="15.5703125" style="2" customWidth="1"/>
    <col min="3" max="3" width="14.7109375" style="2" bestFit="1" customWidth="1"/>
    <col min="4" max="4" width="13.28515625" style="3" bestFit="1" customWidth="1"/>
    <col min="5" max="5" width="11.42578125" style="3"/>
    <col min="6" max="6" width="11.5703125" style="4" customWidth="1"/>
    <col min="7" max="7" width="3.42578125" style="4" customWidth="1"/>
    <col min="8" max="8" width="11.42578125" style="5"/>
    <col min="9" max="9" width="4.42578125" style="5" customWidth="1"/>
    <col min="10" max="10" width="11.42578125" style="5"/>
    <col min="11" max="11" width="11.42578125" style="5" customWidth="1"/>
    <col min="12" max="16384" width="11.42578125" style="5"/>
  </cols>
  <sheetData>
    <row r="1" spans="1:6" x14ac:dyDescent="0.3">
      <c r="A1" s="38" t="s">
        <v>40</v>
      </c>
    </row>
    <row r="2" spans="1:6" x14ac:dyDescent="0.3">
      <c r="A2" s="38" t="s">
        <v>65</v>
      </c>
    </row>
    <row r="3" spans="1:6" x14ac:dyDescent="0.3">
      <c r="A3" s="24" t="s">
        <v>44</v>
      </c>
    </row>
    <row r="4" spans="1:6" x14ac:dyDescent="0.3">
      <c r="A4" s="24" t="s">
        <v>45</v>
      </c>
    </row>
    <row r="6" spans="1:6" x14ac:dyDescent="0.3">
      <c r="A6" s="6" t="s">
        <v>20</v>
      </c>
      <c r="B6" s="6">
        <v>2011</v>
      </c>
      <c r="C6" s="6">
        <v>2012</v>
      </c>
      <c r="D6" s="7" t="s">
        <v>46</v>
      </c>
      <c r="E6" s="20"/>
      <c r="F6" s="23"/>
    </row>
    <row r="7" spans="1:6" x14ac:dyDescent="0.3">
      <c r="A7" s="18" t="s">
        <v>21</v>
      </c>
      <c r="B7" s="14">
        <v>142952</v>
      </c>
      <c r="C7" s="14">
        <v>177321</v>
      </c>
      <c r="D7" s="17">
        <f>+(C7-B7)/B7</f>
        <v>0.24042335888969724</v>
      </c>
      <c r="E7" s="21"/>
      <c r="F7" s="23"/>
    </row>
    <row r="8" spans="1:6" x14ac:dyDescent="0.3">
      <c r="A8" s="18" t="s">
        <v>22</v>
      </c>
      <c r="B8" s="14">
        <v>330081</v>
      </c>
      <c r="C8" s="14">
        <v>329162</v>
      </c>
      <c r="D8" s="17">
        <f t="shared" ref="D8:D16" si="0">+(C8-B8)/B8</f>
        <v>-2.7841650988696715E-3</v>
      </c>
      <c r="E8" s="21"/>
      <c r="F8" s="23"/>
    </row>
    <row r="9" spans="1:6" x14ac:dyDescent="0.3">
      <c r="A9" s="18" t="s">
        <v>23</v>
      </c>
      <c r="B9" s="14">
        <v>580616</v>
      </c>
      <c r="C9" s="14">
        <v>598382</v>
      </c>
      <c r="D9" s="17">
        <f t="shared" si="0"/>
        <v>3.0598536726511152E-2</v>
      </c>
      <c r="E9" s="21"/>
      <c r="F9" s="23"/>
    </row>
    <row r="10" spans="1:6" x14ac:dyDescent="0.3">
      <c r="A10" s="18" t="s">
        <v>36</v>
      </c>
      <c r="B10" s="14">
        <v>603158</v>
      </c>
      <c r="C10" s="14">
        <v>618213</v>
      </c>
      <c r="D10" s="17">
        <f t="shared" si="0"/>
        <v>2.4960292328046713E-2</v>
      </c>
      <c r="E10" s="21"/>
      <c r="F10" s="23"/>
    </row>
    <row r="11" spans="1:6" x14ac:dyDescent="0.3">
      <c r="A11" s="18" t="s">
        <v>60</v>
      </c>
      <c r="B11" s="14">
        <v>991415</v>
      </c>
      <c r="C11" s="14">
        <v>1001592</v>
      </c>
      <c r="D11" s="17">
        <f t="shared" si="0"/>
        <v>1.0265126107634038E-2</v>
      </c>
      <c r="E11" s="21"/>
      <c r="F11" s="23"/>
    </row>
    <row r="12" spans="1:6" x14ac:dyDescent="0.3">
      <c r="A12" s="18" t="s">
        <v>47</v>
      </c>
      <c r="B12" s="14">
        <v>914935</v>
      </c>
      <c r="C12" s="14">
        <v>874473</v>
      </c>
      <c r="D12" s="17">
        <f t="shared" si="0"/>
        <v>-4.4223906616317005E-2</v>
      </c>
      <c r="E12" s="21"/>
      <c r="F12" s="23"/>
    </row>
    <row r="13" spans="1:6" x14ac:dyDescent="0.3">
      <c r="A13" s="18" t="s">
        <v>24</v>
      </c>
      <c r="B13" s="14">
        <v>127839</v>
      </c>
      <c r="C13" s="14">
        <v>130230</v>
      </c>
      <c r="D13" s="17">
        <f t="shared" si="0"/>
        <v>1.8703212634642009E-2</v>
      </c>
      <c r="E13" s="21"/>
      <c r="F13" s="23"/>
    </row>
    <row r="14" spans="1:6" x14ac:dyDescent="0.3">
      <c r="A14" s="18" t="s">
        <v>25</v>
      </c>
      <c r="B14" s="14">
        <v>1918</v>
      </c>
      <c r="C14" s="14">
        <v>3829</v>
      </c>
      <c r="D14" s="17">
        <f t="shared" si="0"/>
        <v>0.9963503649635036</v>
      </c>
      <c r="E14" s="21"/>
      <c r="F14" s="23"/>
    </row>
    <row r="15" spans="1:6" x14ac:dyDescent="0.3">
      <c r="A15" s="18" t="s">
        <v>26</v>
      </c>
      <c r="B15" s="14">
        <v>4453767</v>
      </c>
      <c r="C15" s="14">
        <v>4110159</v>
      </c>
      <c r="D15" s="17">
        <f t="shared" si="0"/>
        <v>-7.7149972147173396E-2</v>
      </c>
      <c r="E15" s="21"/>
      <c r="F15" s="23"/>
    </row>
    <row r="16" spans="1:6" ht="15.75" thickBot="1" x14ac:dyDescent="0.35">
      <c r="A16" s="26" t="s">
        <v>27</v>
      </c>
      <c r="B16" s="27">
        <f>SUM(B7:B15)</f>
        <v>8146681</v>
      </c>
      <c r="C16" s="27">
        <f>SUM(C7:C15)</f>
        <v>7843361</v>
      </c>
      <c r="D16" s="45">
        <f t="shared" si="0"/>
        <v>-3.7232340384998501E-2</v>
      </c>
      <c r="E16" s="22"/>
      <c r="F16" s="23"/>
    </row>
    <row r="17" spans="1:6" x14ac:dyDescent="0.3">
      <c r="A17" s="1"/>
      <c r="E17" s="21"/>
      <c r="F17" s="23"/>
    </row>
    <row r="18" spans="1:6" x14ac:dyDescent="0.3">
      <c r="A18" s="6" t="s">
        <v>48</v>
      </c>
      <c r="B18" s="6">
        <v>2011</v>
      </c>
      <c r="C18" s="6">
        <v>2012</v>
      </c>
      <c r="D18" s="7" t="s">
        <v>46</v>
      </c>
      <c r="E18" s="20"/>
      <c r="F18" s="23"/>
    </row>
    <row r="19" spans="1:6" x14ac:dyDescent="0.3">
      <c r="A19" s="18" t="s">
        <v>28</v>
      </c>
      <c r="B19" s="14">
        <v>1217196</v>
      </c>
      <c r="C19" s="14">
        <v>642131</v>
      </c>
      <c r="D19" s="17">
        <f t="shared" ref="D19:D30" si="1">+(C19-B19)/B19</f>
        <v>-0.47245061600596783</v>
      </c>
      <c r="E19" s="21"/>
      <c r="F19" s="23"/>
    </row>
    <row r="20" spans="1:6" x14ac:dyDescent="0.3">
      <c r="A20" s="18" t="s">
        <v>49</v>
      </c>
      <c r="B20" s="14">
        <v>175140</v>
      </c>
      <c r="C20" s="14">
        <v>136657</v>
      </c>
      <c r="D20" s="17">
        <f t="shared" si="1"/>
        <v>-0.21972707548247117</v>
      </c>
      <c r="E20" s="21"/>
      <c r="F20" s="23"/>
    </row>
    <row r="21" spans="1:6" x14ac:dyDescent="0.3">
      <c r="A21" s="18" t="s">
        <v>38</v>
      </c>
      <c r="B21" s="14">
        <v>256621</v>
      </c>
      <c r="C21" s="14">
        <v>293302</v>
      </c>
      <c r="D21" s="17">
        <f t="shared" si="1"/>
        <v>0.14293841891349499</v>
      </c>
      <c r="E21" s="21"/>
      <c r="F21" s="23"/>
    </row>
    <row r="22" spans="1:6" x14ac:dyDescent="0.3">
      <c r="A22" s="18" t="s">
        <v>30</v>
      </c>
      <c r="B22" s="14">
        <v>112082</v>
      </c>
      <c r="C22" s="14">
        <v>99542</v>
      </c>
      <c r="D22" s="17">
        <f t="shared" si="1"/>
        <v>-0.11188237183490658</v>
      </c>
      <c r="E22" s="21"/>
      <c r="F22" s="23"/>
    </row>
    <row r="23" spans="1:6" x14ac:dyDescent="0.3">
      <c r="A23" s="18" t="s">
        <v>31</v>
      </c>
      <c r="B23" s="14">
        <v>68008</v>
      </c>
      <c r="C23" s="14">
        <v>55807</v>
      </c>
      <c r="D23" s="17">
        <f t="shared" si="1"/>
        <v>-0.17940536407481472</v>
      </c>
      <c r="E23" s="21"/>
      <c r="F23" s="23"/>
    </row>
    <row r="24" spans="1:6" x14ac:dyDescent="0.3">
      <c r="A24" s="18" t="s">
        <v>32</v>
      </c>
      <c r="B24" s="14">
        <v>119419</v>
      </c>
      <c r="C24" s="14">
        <v>120700</v>
      </c>
      <c r="D24" s="17">
        <f t="shared" si="1"/>
        <v>1.0726936249675512E-2</v>
      </c>
      <c r="E24" s="21"/>
      <c r="F24" s="23"/>
    </row>
    <row r="25" spans="1:6" x14ac:dyDescent="0.3">
      <c r="A25" s="18" t="s">
        <v>24</v>
      </c>
      <c r="B25" s="14">
        <v>59708</v>
      </c>
      <c r="C25" s="14">
        <v>124973</v>
      </c>
      <c r="D25" s="17">
        <f t="shared" si="1"/>
        <v>1.09306960541301</v>
      </c>
      <c r="E25" s="21"/>
      <c r="F25" s="23"/>
    </row>
    <row r="26" spans="1:6" x14ac:dyDescent="0.3">
      <c r="A26" s="18" t="s">
        <v>0</v>
      </c>
      <c r="B26" s="14">
        <v>5690</v>
      </c>
      <c r="C26" s="14">
        <v>2698</v>
      </c>
      <c r="D26" s="17">
        <f t="shared" si="1"/>
        <v>-0.52583479789103693</v>
      </c>
      <c r="E26" s="21"/>
      <c r="F26" s="23"/>
    </row>
    <row r="27" spans="1:6" x14ac:dyDescent="0.3">
      <c r="A27" s="18" t="s">
        <v>33</v>
      </c>
      <c r="B27" s="14">
        <v>2013864</v>
      </c>
      <c r="C27" s="14">
        <f>SUM(C19:C26)</f>
        <v>1475810</v>
      </c>
      <c r="D27" s="17">
        <f t="shared" si="1"/>
        <v>-0.26717494329309227</v>
      </c>
      <c r="E27" s="21"/>
      <c r="F27" s="23"/>
    </row>
    <row r="28" spans="1:6" x14ac:dyDescent="0.3">
      <c r="A28" s="18" t="s">
        <v>39</v>
      </c>
      <c r="B28" s="14">
        <v>13367</v>
      </c>
      <c r="C28" s="14">
        <v>15020</v>
      </c>
      <c r="D28" s="17">
        <f t="shared" si="1"/>
        <v>0.12366275155233036</v>
      </c>
      <c r="E28" s="21"/>
      <c r="F28" s="23"/>
    </row>
    <row r="29" spans="1:6" x14ac:dyDescent="0.3">
      <c r="A29" s="32" t="s">
        <v>34</v>
      </c>
      <c r="B29" s="32">
        <v>6119450</v>
      </c>
      <c r="C29" s="32">
        <v>6352531</v>
      </c>
      <c r="D29" s="47">
        <f t="shared" si="1"/>
        <v>3.8088553709892226E-2</v>
      </c>
      <c r="E29" s="22"/>
      <c r="F29" s="22"/>
    </row>
    <row r="30" spans="1:6" ht="15.75" thickBot="1" x14ac:dyDescent="0.35">
      <c r="A30" s="27" t="s">
        <v>35</v>
      </c>
      <c r="B30" s="27">
        <f>+B27+B28+B29</f>
        <v>8146681</v>
      </c>
      <c r="C30" s="27">
        <f>+C27+C28+C29</f>
        <v>7843361</v>
      </c>
      <c r="D30" s="45">
        <f t="shared" si="1"/>
        <v>-3.7232340384998501E-2</v>
      </c>
      <c r="E30" s="22"/>
      <c r="F30" s="22"/>
    </row>
    <row r="31" spans="1:6" x14ac:dyDescent="0.3">
      <c r="A31" s="19"/>
      <c r="B31" s="14"/>
      <c r="C31" s="14"/>
      <c r="D31" s="17"/>
      <c r="E31" s="21"/>
      <c r="F31" s="23"/>
    </row>
    <row r="32" spans="1:6" x14ac:dyDescent="0.3">
      <c r="A32" s="41" t="s">
        <v>3</v>
      </c>
      <c r="B32" s="14"/>
      <c r="C32" s="14"/>
      <c r="D32" s="17"/>
      <c r="E32" s="21"/>
      <c r="F32" s="23"/>
    </row>
    <row r="33" spans="1:8" x14ac:dyDescent="0.3">
      <c r="A33" s="41" t="s">
        <v>66</v>
      </c>
      <c r="B33" s="14"/>
      <c r="C33" s="14"/>
      <c r="D33" s="17"/>
    </row>
    <row r="34" spans="1:8" x14ac:dyDescent="0.3">
      <c r="A34" s="41" t="s">
        <v>44</v>
      </c>
      <c r="B34" s="14"/>
      <c r="C34" s="14"/>
      <c r="D34" s="17"/>
    </row>
    <row r="35" spans="1:8" x14ac:dyDescent="0.3">
      <c r="A35" s="41" t="s">
        <v>45</v>
      </c>
      <c r="B35" s="14"/>
      <c r="C35" s="14"/>
      <c r="D35" s="17"/>
    </row>
    <row r="36" spans="1:8" x14ac:dyDescent="0.3">
      <c r="A36" s="6"/>
      <c r="B36" s="6">
        <v>2011</v>
      </c>
      <c r="C36" s="6" t="s">
        <v>55</v>
      </c>
      <c r="D36" s="6">
        <v>2012</v>
      </c>
      <c r="E36" s="6" t="s">
        <v>55</v>
      </c>
      <c r="F36" s="7" t="s">
        <v>46</v>
      </c>
    </row>
    <row r="37" spans="1:8" s="9" customFormat="1" x14ac:dyDescent="0.3">
      <c r="A37" s="30" t="s">
        <v>4</v>
      </c>
      <c r="B37" s="50">
        <v>1149123</v>
      </c>
      <c r="C37" s="42">
        <v>1</v>
      </c>
      <c r="D37" s="50">
        <v>1237546</v>
      </c>
      <c r="E37" s="42">
        <v>1</v>
      </c>
      <c r="F37" s="17">
        <f>IF(B37&lt;&gt;0,(D37-B37)/B37,0)</f>
        <v>7.6948246619378435E-2</v>
      </c>
      <c r="G37" s="8"/>
    </row>
    <row r="38" spans="1:8" x14ac:dyDescent="0.3">
      <c r="A38" s="14" t="s">
        <v>50</v>
      </c>
      <c r="B38" s="51">
        <v>-686128</v>
      </c>
      <c r="C38" s="17">
        <f t="shared" ref="C38:C56" si="2">+B38/$B$37</f>
        <v>-0.59708838827523247</v>
      </c>
      <c r="D38" s="51">
        <v>-724520</v>
      </c>
      <c r="E38" s="17">
        <f>+D38/$D$37</f>
        <v>-0.58544894492810773</v>
      </c>
      <c r="F38" s="17">
        <f t="shared" ref="F38:F54" si="3">IF(B38&lt;&gt;0,(D38-B38)/B38,0)</f>
        <v>5.5954574073642238E-2</v>
      </c>
    </row>
    <row r="39" spans="1:8" s="9" customFormat="1" x14ac:dyDescent="0.3">
      <c r="A39" s="30" t="s">
        <v>6</v>
      </c>
      <c r="B39" s="30">
        <f>SUM(B37:B38)</f>
        <v>462995</v>
      </c>
      <c r="C39" s="42">
        <f t="shared" si="2"/>
        <v>0.40291161172476747</v>
      </c>
      <c r="D39" s="30">
        <f>SUM(D37:D38)</f>
        <v>513026</v>
      </c>
      <c r="E39" s="42">
        <f t="shared" ref="E39:E56" si="4">+D39/$D$37</f>
        <v>0.41455105507189227</v>
      </c>
      <c r="F39" s="17">
        <f t="shared" si="3"/>
        <v>0.10805948228382596</v>
      </c>
      <c r="G39" s="8"/>
    </row>
    <row r="40" spans="1:8" x14ac:dyDescent="0.3">
      <c r="A40" s="14" t="s">
        <v>7</v>
      </c>
      <c r="B40" s="14">
        <v>-60137</v>
      </c>
      <c r="C40" s="17">
        <f t="shared" si="2"/>
        <v>-5.2332953043320862E-2</v>
      </c>
      <c r="D40" s="14">
        <v>-59529</v>
      </c>
      <c r="E40" s="17">
        <f t="shared" si="4"/>
        <v>-4.8102454373413192E-2</v>
      </c>
      <c r="F40" s="17">
        <f t="shared" si="3"/>
        <v>-1.0110248266458254E-2</v>
      </c>
    </row>
    <row r="41" spans="1:8" x14ac:dyDescent="0.3">
      <c r="A41" s="14" t="s">
        <v>8</v>
      </c>
      <c r="B41" s="14">
        <v>-273436</v>
      </c>
      <c r="C41" s="17">
        <f t="shared" si="2"/>
        <v>-0.23795189896991009</v>
      </c>
      <c r="D41" s="14">
        <v>-305689</v>
      </c>
      <c r="E41" s="17">
        <f t="shared" si="4"/>
        <v>-0.24701223227257815</v>
      </c>
      <c r="F41" s="17">
        <f t="shared" si="3"/>
        <v>0.11795447563598063</v>
      </c>
    </row>
    <row r="42" spans="1:8" x14ac:dyDescent="0.3">
      <c r="A42" s="14" t="s">
        <v>84</v>
      </c>
      <c r="B42" s="14">
        <v>-24055</v>
      </c>
      <c r="C42" s="17">
        <f>+B42/$B$37</f>
        <v>-2.0933355263100643E-2</v>
      </c>
      <c r="D42" s="14">
        <v>-33091</v>
      </c>
      <c r="E42" s="17">
        <f t="shared" si="4"/>
        <v>-2.6739208077921951E-2</v>
      </c>
      <c r="F42" s="17">
        <f t="shared" si="3"/>
        <v>0.37563916025774269</v>
      </c>
    </row>
    <row r="43" spans="1:8" s="9" customFormat="1" x14ac:dyDescent="0.3">
      <c r="A43" s="30" t="s">
        <v>9</v>
      </c>
      <c r="B43" s="30">
        <f>SUM(B40:B42)</f>
        <v>-357628</v>
      </c>
      <c r="C43" s="42">
        <f>+B43/$B$37</f>
        <v>-0.31121820727633159</v>
      </c>
      <c r="D43" s="30">
        <f>SUM(D40:D42)</f>
        <v>-398309</v>
      </c>
      <c r="E43" s="42">
        <f t="shared" si="4"/>
        <v>-0.32185389472391329</v>
      </c>
      <c r="F43" s="17">
        <f t="shared" si="3"/>
        <v>0.11375227890433635</v>
      </c>
      <c r="G43" s="8"/>
    </row>
    <row r="44" spans="1:8" s="9" customFormat="1" x14ac:dyDescent="0.3">
      <c r="A44" s="30" t="s">
        <v>1</v>
      </c>
      <c r="B44" s="30">
        <f>+B39+B43</f>
        <v>105367</v>
      </c>
      <c r="C44" s="42">
        <f t="shared" si="2"/>
        <v>9.1693404448435892E-2</v>
      </c>
      <c r="D44" s="30">
        <f>+D39+D43</f>
        <v>114717</v>
      </c>
      <c r="E44" s="42">
        <f t="shared" si="4"/>
        <v>9.269716034797898E-2</v>
      </c>
      <c r="F44" s="17">
        <f t="shared" si="3"/>
        <v>8.8737460495221465E-2</v>
      </c>
      <c r="G44" s="8"/>
      <c r="H44" s="60"/>
    </row>
    <row r="45" spans="1:8" x14ac:dyDescent="0.3">
      <c r="A45" s="14" t="s">
        <v>51</v>
      </c>
      <c r="B45" s="14">
        <v>710.5</v>
      </c>
      <c r="C45" s="17">
        <f t="shared" si="2"/>
        <v>6.182976060874249E-4</v>
      </c>
      <c r="D45" s="14">
        <v>2281</v>
      </c>
      <c r="E45" s="17">
        <f t="shared" si="4"/>
        <v>1.843163809668489E-3</v>
      </c>
      <c r="F45" s="17">
        <f t="shared" si="3"/>
        <v>2.2104152005629838</v>
      </c>
    </row>
    <row r="46" spans="1:8" x14ac:dyDescent="0.3">
      <c r="A46" s="14" t="s">
        <v>11</v>
      </c>
      <c r="B46" s="14">
        <v>-22186</v>
      </c>
      <c r="C46" s="17">
        <f t="shared" si="2"/>
        <v>-1.9306897520979041E-2</v>
      </c>
      <c r="D46" s="14">
        <v>-18188</v>
      </c>
      <c r="E46" s="17">
        <f t="shared" si="4"/>
        <v>-1.4696827431061148E-2</v>
      </c>
      <c r="F46" s="17">
        <f t="shared" si="3"/>
        <v>-0.18020373208329576</v>
      </c>
    </row>
    <row r="47" spans="1:8" x14ac:dyDescent="0.3">
      <c r="A47" s="14" t="s">
        <v>12</v>
      </c>
      <c r="B47" s="14">
        <v>204</v>
      </c>
      <c r="C47" s="17">
        <f t="shared" si="2"/>
        <v>1.7752668774360968E-4</v>
      </c>
      <c r="D47" s="14">
        <v>-1259</v>
      </c>
      <c r="E47" s="17">
        <f t="shared" si="4"/>
        <v>-1.0173359212506041E-3</v>
      </c>
      <c r="F47" s="17">
        <f t="shared" si="3"/>
        <v>-7.1715686274509807</v>
      </c>
    </row>
    <row r="48" spans="1:8" x14ac:dyDescent="0.3">
      <c r="A48" s="14" t="s">
        <v>52</v>
      </c>
      <c r="B48" s="14">
        <v>1895</v>
      </c>
      <c r="C48" s="17">
        <f t="shared" si="2"/>
        <v>1.6490836925202959E-3</v>
      </c>
      <c r="D48" s="14">
        <v>-5552</v>
      </c>
      <c r="E48" s="17">
        <f t="shared" si="4"/>
        <v>-4.4862978830685889E-3</v>
      </c>
      <c r="F48" s="17">
        <f t="shared" si="3"/>
        <v>-3.9298153034300793</v>
      </c>
    </row>
    <row r="49" spans="1:7" x14ac:dyDescent="0.3">
      <c r="A49" s="14" t="s">
        <v>14</v>
      </c>
      <c r="B49" s="14">
        <v>7703</v>
      </c>
      <c r="C49" s="17">
        <f t="shared" si="2"/>
        <v>6.7033729200442422E-3</v>
      </c>
      <c r="D49" s="14">
        <v>8296</v>
      </c>
      <c r="E49" s="17">
        <f t="shared" si="4"/>
        <v>6.7035891999166096E-3</v>
      </c>
      <c r="F49" s="17">
        <f t="shared" si="3"/>
        <v>7.6982993638842007E-2</v>
      </c>
    </row>
    <row r="50" spans="1:7" x14ac:dyDescent="0.3">
      <c r="A50" s="14" t="s">
        <v>16</v>
      </c>
      <c r="B50" s="14">
        <v>-5</v>
      </c>
      <c r="C50" s="17">
        <f t="shared" si="2"/>
        <v>-4.3511443074414139E-6</v>
      </c>
      <c r="D50" s="14">
        <v>-1</v>
      </c>
      <c r="E50" s="17">
        <f t="shared" si="4"/>
        <v>-8.0805077144607146E-7</v>
      </c>
      <c r="F50" s="17">
        <f t="shared" si="3"/>
        <v>-0.8</v>
      </c>
    </row>
    <row r="51" spans="1:7" s="9" customFormat="1" x14ac:dyDescent="0.3">
      <c r="A51" s="30" t="s">
        <v>2</v>
      </c>
      <c r="B51" s="30">
        <f>SUM(B45:B50)</f>
        <v>-11678.5</v>
      </c>
      <c r="C51" s="42">
        <f t="shared" si="2"/>
        <v>-1.016296775889091E-2</v>
      </c>
      <c r="D51" s="30">
        <f>SUM(D45:D50)</f>
        <v>-14423</v>
      </c>
      <c r="E51" s="42">
        <f t="shared" si="4"/>
        <v>-1.165451627656669E-2</v>
      </c>
      <c r="F51" s="17">
        <f t="shared" si="3"/>
        <v>0.23500449544033908</v>
      </c>
      <c r="G51" s="8"/>
    </row>
    <row r="52" spans="1:7" s="9" customFormat="1" x14ac:dyDescent="0.3">
      <c r="A52" s="30" t="s">
        <v>41</v>
      </c>
      <c r="B52" s="30">
        <f>+B44+B51-1</f>
        <v>93687.5</v>
      </c>
      <c r="C52" s="42">
        <f t="shared" si="2"/>
        <v>8.1529566460683489E-2</v>
      </c>
      <c r="D52" s="30">
        <f>+D44+D51</f>
        <v>100294</v>
      </c>
      <c r="E52" s="42">
        <f t="shared" si="4"/>
        <v>8.104264407141229E-2</v>
      </c>
      <c r="F52" s="17">
        <f t="shared" si="3"/>
        <v>7.0516344229486327E-2</v>
      </c>
      <c r="G52" s="8"/>
    </row>
    <row r="53" spans="1:7" x14ac:dyDescent="0.3">
      <c r="A53" s="14" t="s">
        <v>15</v>
      </c>
      <c r="B53" s="14">
        <v>-35670</v>
      </c>
      <c r="C53" s="17">
        <f t="shared" si="2"/>
        <v>-3.1041063489287049E-2</v>
      </c>
      <c r="D53" s="14">
        <v>-39773</v>
      </c>
      <c r="E53" s="17">
        <f t="shared" si="4"/>
        <v>-3.21386033327246E-2</v>
      </c>
      <c r="F53" s="17">
        <f t="shared" si="3"/>
        <v>0.11502663302495093</v>
      </c>
    </row>
    <row r="54" spans="1:7" x14ac:dyDescent="0.3">
      <c r="A54" s="14" t="s">
        <v>18</v>
      </c>
      <c r="B54" s="14">
        <v>-373</v>
      </c>
      <c r="C54" s="17">
        <f t="shared" si="2"/>
        <v>-3.245953653351295E-4</v>
      </c>
      <c r="D54" s="14">
        <v>-917</v>
      </c>
      <c r="E54" s="17">
        <f t="shared" si="4"/>
        <v>-7.4098255741604751E-4</v>
      </c>
      <c r="F54" s="17">
        <f t="shared" si="3"/>
        <v>1.4584450402144773</v>
      </c>
    </row>
    <row r="55" spans="1:7" s="9" customFormat="1" x14ac:dyDescent="0.3">
      <c r="A55" s="43" t="s">
        <v>17</v>
      </c>
      <c r="B55" s="43">
        <f>+B52+B53+B54</f>
        <v>57644.5</v>
      </c>
      <c r="C55" s="44">
        <f t="shared" si="2"/>
        <v>5.016390760606132E-2</v>
      </c>
      <c r="D55" s="43">
        <f>+D52+D53+D54</f>
        <v>59604</v>
      </c>
      <c r="E55" s="44">
        <f t="shared" si="4"/>
        <v>4.8163058181271645E-2</v>
      </c>
      <c r="F55" s="44">
        <f>+(D55-B55)/B55</f>
        <v>3.3992835396265041E-2</v>
      </c>
      <c r="G55" s="8"/>
    </row>
    <row r="56" spans="1:7" s="9" customFormat="1" ht="15.75" thickBot="1" x14ac:dyDescent="0.35">
      <c r="A56" s="27" t="s">
        <v>19</v>
      </c>
      <c r="B56" s="27">
        <v>138298.12778788002</v>
      </c>
      <c r="C56" s="45">
        <f t="shared" si="2"/>
        <v>0.12035102229080788</v>
      </c>
      <c r="D56" s="27">
        <v>150246</v>
      </c>
      <c r="E56" s="45">
        <f t="shared" si="4"/>
        <v>0.12140639620668646</v>
      </c>
      <c r="F56" s="45">
        <f>+(D56-B56)/B56</f>
        <v>8.6392147191214935E-2</v>
      </c>
      <c r="G56" s="8"/>
    </row>
    <row r="57" spans="1:7" x14ac:dyDescent="0.3">
      <c r="A57" s="2"/>
      <c r="C57" s="3"/>
      <c r="D57" s="10"/>
    </row>
    <row r="58" spans="1:7" x14ac:dyDescent="0.3">
      <c r="A58" s="19" t="s">
        <v>53</v>
      </c>
      <c r="B58" s="14"/>
      <c r="C58" s="14"/>
      <c r="D58" s="14"/>
    </row>
    <row r="59" spans="1:7" x14ac:dyDescent="0.3">
      <c r="D59" s="10"/>
    </row>
  </sheetData>
  <pageMargins left="0.70866141732283472" right="0.43307086614173229" top="0.43307086614173229" bottom="0.51181102362204722" header="0.31496062992125984" footer="0.31496062992125984"/>
  <pageSetup scale="85" orientation="portrait" r:id="rId1"/>
  <headerFooter>
    <oddFooter>&amp;C&amp;A</oddFooter>
  </headerFooter>
  <customProperties>
    <customPr name="_pios_id" r:id="rId2"/>
  </customPropertie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5"/>
  <sheetViews>
    <sheetView topLeftCell="A20" workbookViewId="0">
      <selection activeCell="C32" sqref="C32:C43"/>
    </sheetView>
  </sheetViews>
  <sheetFormatPr baseColWidth="10" defaultColWidth="11.42578125" defaultRowHeight="15" x14ac:dyDescent="0.3"/>
  <cols>
    <col min="1" max="1" width="43.7109375" style="5" customWidth="1"/>
    <col min="2" max="3" width="11.7109375" style="2" bestFit="1" customWidth="1"/>
    <col min="4" max="4" width="13.28515625" style="3" bestFit="1" customWidth="1"/>
    <col min="5" max="16384" width="11.42578125" style="5"/>
  </cols>
  <sheetData>
    <row r="1" spans="1:6" x14ac:dyDescent="0.3">
      <c r="A1" s="24" t="s">
        <v>69</v>
      </c>
    </row>
    <row r="2" spans="1:6" x14ac:dyDescent="0.3">
      <c r="A2" s="24" t="s">
        <v>77</v>
      </c>
    </row>
    <row r="3" spans="1:6" x14ac:dyDescent="0.3">
      <c r="A3" s="24" t="s">
        <v>44</v>
      </c>
    </row>
    <row r="4" spans="1:6" x14ac:dyDescent="0.3">
      <c r="A4" s="24" t="s">
        <v>45</v>
      </c>
    </row>
    <row r="5" spans="1:6" ht="12" customHeight="1" x14ac:dyDescent="0.3"/>
    <row r="6" spans="1:6" x14ac:dyDescent="0.3">
      <c r="A6" s="6" t="s">
        <v>20</v>
      </c>
      <c r="B6" s="6">
        <v>2011</v>
      </c>
      <c r="C6" s="6">
        <v>2012</v>
      </c>
      <c r="D6" s="7" t="s">
        <v>46</v>
      </c>
    </row>
    <row r="7" spans="1:6" x14ac:dyDescent="0.3">
      <c r="A7" s="18" t="s">
        <v>21</v>
      </c>
      <c r="B7" s="14">
        <v>149</v>
      </c>
      <c r="C7" s="14">
        <v>209</v>
      </c>
      <c r="D7" s="17">
        <f t="shared" ref="D7:D13" si="0">IF(B7&lt;&gt;0,(C7-B7)/B7,0)</f>
        <v>0.40268456375838924</v>
      </c>
    </row>
    <row r="8" spans="1:6" x14ac:dyDescent="0.3">
      <c r="A8" s="18" t="s">
        <v>22</v>
      </c>
      <c r="B8" s="14">
        <v>2776673</v>
      </c>
      <c r="C8" s="14">
        <v>3600105</v>
      </c>
      <c r="D8" s="17">
        <f t="shared" si="0"/>
        <v>0.2965534652441969</v>
      </c>
    </row>
    <row r="9" spans="1:6" s="11" customFormat="1" ht="14.25" customHeight="1" x14ac:dyDescent="0.3">
      <c r="A9" s="18" t="s">
        <v>23</v>
      </c>
      <c r="B9" s="14">
        <v>58389</v>
      </c>
      <c r="C9" s="14">
        <v>31083</v>
      </c>
      <c r="D9" s="17">
        <f t="shared" si="0"/>
        <v>-0.46765657915018238</v>
      </c>
      <c r="E9" s="5"/>
      <c r="F9" s="5"/>
    </row>
    <row r="10" spans="1:6" s="11" customFormat="1" hidden="1" x14ac:dyDescent="0.3">
      <c r="A10" s="18" t="s">
        <v>37</v>
      </c>
      <c r="B10" s="14">
        <v>0</v>
      </c>
      <c r="C10" s="14">
        <v>0</v>
      </c>
      <c r="D10" s="17">
        <f t="shared" si="0"/>
        <v>0</v>
      </c>
      <c r="E10" s="5"/>
      <c r="F10" s="5"/>
    </row>
    <row r="11" spans="1:6" s="11" customFormat="1" x14ac:dyDescent="0.3">
      <c r="A11" s="18" t="s">
        <v>59</v>
      </c>
      <c r="B11" s="14">
        <v>658</v>
      </c>
      <c r="C11" s="14">
        <v>686</v>
      </c>
      <c r="D11" s="17">
        <f t="shared" si="0"/>
        <v>4.2553191489361701E-2</v>
      </c>
      <c r="E11" s="5"/>
      <c r="F11" s="5"/>
    </row>
    <row r="12" spans="1:6" s="11" customFormat="1" x14ac:dyDescent="0.3">
      <c r="A12" s="18" t="s">
        <v>26</v>
      </c>
      <c r="B12" s="14">
        <v>3539600</v>
      </c>
      <c r="C12" s="14">
        <f>2901462+39902</f>
        <v>2941364</v>
      </c>
      <c r="D12" s="17">
        <f t="shared" si="0"/>
        <v>-0.16901231777601988</v>
      </c>
      <c r="E12" s="5"/>
      <c r="F12" s="5"/>
    </row>
    <row r="13" spans="1:6" s="11" customFormat="1" ht="15.75" thickBot="1" x14ac:dyDescent="0.35">
      <c r="A13" s="26" t="s">
        <v>27</v>
      </c>
      <c r="B13" s="27">
        <f>SUM(B7:B12)</f>
        <v>6375469</v>
      </c>
      <c r="C13" s="27">
        <f>SUM(C7:C12)</f>
        <v>6573447</v>
      </c>
      <c r="D13" s="46">
        <f t="shared" si="0"/>
        <v>3.105308801595616E-2</v>
      </c>
      <c r="E13" s="5"/>
      <c r="F13" s="5"/>
    </row>
    <row r="15" spans="1:6" s="11" customFormat="1" x14ac:dyDescent="0.3">
      <c r="A15" s="6" t="s">
        <v>48</v>
      </c>
      <c r="B15" s="6">
        <v>2011</v>
      </c>
      <c r="C15" s="6">
        <v>2012</v>
      </c>
      <c r="D15" s="7" t="s">
        <v>46</v>
      </c>
      <c r="E15" s="5"/>
      <c r="F15" s="5"/>
    </row>
    <row r="16" spans="1:6" s="11" customFormat="1" hidden="1" x14ac:dyDescent="0.3">
      <c r="A16" s="18" t="s">
        <v>28</v>
      </c>
      <c r="B16" s="14">
        <v>0</v>
      </c>
      <c r="C16" s="14">
        <v>0</v>
      </c>
      <c r="D16" s="17">
        <f t="shared" ref="D16:D24" si="1">IF(B16&lt;&gt;0,(C16-B16)/B16,0)</f>
        <v>0</v>
      </c>
      <c r="E16" s="5"/>
      <c r="F16" s="5"/>
    </row>
    <row r="17" spans="1:6" s="11" customFormat="1" x14ac:dyDescent="0.3">
      <c r="A17" s="18" t="s">
        <v>29</v>
      </c>
      <c r="B17" s="14">
        <v>143615</v>
      </c>
      <c r="C17" s="14">
        <v>145568</v>
      </c>
      <c r="D17" s="17">
        <f t="shared" si="1"/>
        <v>1.3598858058002298E-2</v>
      </c>
      <c r="E17" s="5"/>
      <c r="F17" s="5"/>
    </row>
    <row r="18" spans="1:6" x14ac:dyDescent="0.3">
      <c r="A18" s="18" t="s">
        <v>30</v>
      </c>
      <c r="B18" s="14">
        <v>1102</v>
      </c>
      <c r="C18" s="14">
        <v>1442</v>
      </c>
      <c r="D18" s="17">
        <f t="shared" si="1"/>
        <v>0.30852994555353902</v>
      </c>
    </row>
    <row r="19" spans="1:6" x14ac:dyDescent="0.3">
      <c r="A19" s="18" t="s">
        <v>31</v>
      </c>
      <c r="B19" s="14">
        <v>260</v>
      </c>
      <c r="C19" s="14">
        <v>182</v>
      </c>
      <c r="D19" s="17">
        <f t="shared" si="1"/>
        <v>-0.3</v>
      </c>
    </row>
    <row r="20" spans="1:6" x14ac:dyDescent="0.3">
      <c r="A20" s="18" t="s">
        <v>32</v>
      </c>
      <c r="B20" s="14">
        <f>636-B19</f>
        <v>376</v>
      </c>
      <c r="C20" s="14">
        <v>524</v>
      </c>
      <c r="D20" s="17">
        <f t="shared" si="1"/>
        <v>0.39361702127659576</v>
      </c>
    </row>
    <row r="21" spans="1:6" x14ac:dyDescent="0.3">
      <c r="A21" s="18" t="s">
        <v>87</v>
      </c>
      <c r="B21" s="14">
        <f>24888+1</f>
        <v>24889</v>
      </c>
      <c r="C21" s="14">
        <v>26456</v>
      </c>
      <c r="D21" s="17">
        <f t="shared" si="1"/>
        <v>6.2959540359194821E-2</v>
      </c>
    </row>
    <row r="22" spans="1:6" s="9" customFormat="1" x14ac:dyDescent="0.3">
      <c r="A22" s="29" t="s">
        <v>33</v>
      </c>
      <c r="B22" s="30">
        <f>SUM(B16:B21)</f>
        <v>170242</v>
      </c>
      <c r="C22" s="30">
        <f>SUM(C16:C21)</f>
        <v>174172</v>
      </c>
      <c r="D22" s="42">
        <f t="shared" si="1"/>
        <v>2.3084785188143938E-2</v>
      </c>
      <c r="F22" s="5"/>
    </row>
    <row r="23" spans="1:6" s="9" customFormat="1" x14ac:dyDescent="0.3">
      <c r="A23" s="31" t="s">
        <v>34</v>
      </c>
      <c r="B23" s="32">
        <v>6205227</v>
      </c>
      <c r="C23" s="32">
        <v>6399275</v>
      </c>
      <c r="D23" s="47">
        <f t="shared" si="1"/>
        <v>3.1271700455116305E-2</v>
      </c>
      <c r="F23" s="5"/>
    </row>
    <row r="24" spans="1:6" s="9" customFormat="1" ht="15.75" thickBot="1" x14ac:dyDescent="0.35">
      <c r="A24" s="26" t="s">
        <v>35</v>
      </c>
      <c r="B24" s="27">
        <f>+B22+B23</f>
        <v>6375469</v>
      </c>
      <c r="C24" s="27">
        <f>+C22+C23</f>
        <v>6573447</v>
      </c>
      <c r="D24" s="45">
        <f t="shared" si="1"/>
        <v>3.105308801595616E-2</v>
      </c>
      <c r="F24" s="5"/>
    </row>
    <row r="25" spans="1:6" x14ac:dyDescent="0.3">
      <c r="A25" s="18" t="s">
        <v>54</v>
      </c>
      <c r="B25" s="14">
        <v>435123458</v>
      </c>
      <c r="C25" s="14">
        <f>435123458+25000000</f>
        <v>460123458</v>
      </c>
      <c r="D25" s="17"/>
    </row>
    <row r="26" spans="1:6" x14ac:dyDescent="0.3">
      <c r="A26" s="18" t="s">
        <v>71</v>
      </c>
      <c r="B26" s="33">
        <f>+B23/+(B25/1000000)</f>
        <v>14260.8422642201</v>
      </c>
      <c r="C26" s="33">
        <f>+C23/+(C25/1000000)</f>
        <v>13907.73473670625</v>
      </c>
      <c r="D26" s="17"/>
    </row>
    <row r="28" spans="1:6" ht="15.75" customHeight="1" x14ac:dyDescent="0.3">
      <c r="A28" s="6" t="s">
        <v>70</v>
      </c>
      <c r="B28" s="6">
        <v>2011</v>
      </c>
      <c r="C28" s="6">
        <v>2012</v>
      </c>
      <c r="D28" s="6" t="s">
        <v>46</v>
      </c>
    </row>
    <row r="29" spans="1:6" x14ac:dyDescent="0.3">
      <c r="A29" s="19" t="s">
        <v>64</v>
      </c>
      <c r="B29" s="17"/>
      <c r="C29" s="17"/>
      <c r="D29" s="34"/>
    </row>
    <row r="30" spans="1:6" x14ac:dyDescent="0.3">
      <c r="A30" s="19" t="s">
        <v>44</v>
      </c>
      <c r="B30" s="17"/>
      <c r="C30" s="17"/>
      <c r="D30" s="34"/>
    </row>
    <row r="31" spans="1:6" x14ac:dyDescent="0.3">
      <c r="A31" s="19" t="s">
        <v>45</v>
      </c>
      <c r="B31" s="17"/>
      <c r="C31" s="17"/>
      <c r="D31" s="34"/>
    </row>
    <row r="32" spans="1:6" s="9" customFormat="1" x14ac:dyDescent="0.3">
      <c r="A32" s="19" t="s">
        <v>72</v>
      </c>
      <c r="B32" s="30">
        <v>96973</v>
      </c>
      <c r="C32" s="30">
        <v>130102</v>
      </c>
      <c r="D32" s="17">
        <f>IF(B32&lt;&gt;0,(C32-B32)/B32,0)</f>
        <v>0.3416311756880781</v>
      </c>
      <c r="F32" s="5"/>
    </row>
    <row r="33" spans="1:6" hidden="1" x14ac:dyDescent="0.3">
      <c r="A33" s="19" t="s">
        <v>5</v>
      </c>
      <c r="B33" s="14">
        <v>0</v>
      </c>
      <c r="C33" s="72">
        <v>0</v>
      </c>
      <c r="D33" s="17">
        <f t="shared" ref="D33:D43" si="2">IF(B33&lt;&gt;0,(C33-B33)/B33,0)</f>
        <v>0</v>
      </c>
    </row>
    <row r="34" spans="1:6" s="9" customFormat="1" x14ac:dyDescent="0.3">
      <c r="A34" s="19" t="s">
        <v>57</v>
      </c>
      <c r="B34" s="14">
        <v>16839</v>
      </c>
      <c r="C34" s="14">
        <v>17500</v>
      </c>
      <c r="D34" s="17">
        <f t="shared" si="2"/>
        <v>3.9254112476987943E-2</v>
      </c>
      <c r="F34" s="5"/>
    </row>
    <row r="35" spans="1:6" s="9" customFormat="1" x14ac:dyDescent="0.3">
      <c r="A35" s="19" t="s">
        <v>56</v>
      </c>
      <c r="B35" s="14">
        <v>3564</v>
      </c>
      <c r="C35" s="14">
        <v>4189</v>
      </c>
      <c r="D35" s="17">
        <f t="shared" si="2"/>
        <v>0.17536475869809204</v>
      </c>
      <c r="F35" s="5"/>
    </row>
    <row r="36" spans="1:6" s="9" customFormat="1" x14ac:dyDescent="0.3">
      <c r="A36" s="35" t="s">
        <v>4</v>
      </c>
      <c r="B36" s="30">
        <f>SUM(B32:B35)</f>
        <v>117376</v>
      </c>
      <c r="C36" s="30">
        <f>SUM(C32:C35)</f>
        <v>151791</v>
      </c>
      <c r="D36" s="17">
        <f t="shared" si="2"/>
        <v>0.29320303980370777</v>
      </c>
      <c r="F36" s="5"/>
    </row>
    <row r="37" spans="1:6" x14ac:dyDescent="0.3">
      <c r="A37" s="19" t="s">
        <v>58</v>
      </c>
      <c r="B37" s="14">
        <v>-4222</v>
      </c>
      <c r="C37" s="14">
        <v>-4827.5929070000002</v>
      </c>
      <c r="D37" s="17">
        <f t="shared" si="2"/>
        <v>0.14343744836570352</v>
      </c>
    </row>
    <row r="38" spans="1:6" s="9" customFormat="1" x14ac:dyDescent="0.3">
      <c r="A38" s="35" t="s">
        <v>42</v>
      </c>
      <c r="B38" s="30">
        <f>SUM(B36:B37)</f>
        <v>113154</v>
      </c>
      <c r="C38" s="30">
        <f>SUM(C36:C37)</f>
        <v>146963.40709299999</v>
      </c>
      <c r="D38" s="17">
        <f t="shared" si="2"/>
        <v>0.29879109084080091</v>
      </c>
      <c r="F38" s="5"/>
    </row>
    <row r="39" spans="1:6" s="9" customFormat="1" x14ac:dyDescent="0.3">
      <c r="A39" s="19" t="s">
        <v>10</v>
      </c>
      <c r="B39" s="14">
        <v>60</v>
      </c>
      <c r="C39" s="14">
        <v>743.4230970000001</v>
      </c>
      <c r="D39" s="17">
        <f t="shared" si="2"/>
        <v>11.390384950000001</v>
      </c>
      <c r="F39" s="5"/>
    </row>
    <row r="40" spans="1:6" x14ac:dyDescent="0.3">
      <c r="A40" s="19" t="s">
        <v>13</v>
      </c>
      <c r="B40" s="14">
        <v>-1086</v>
      </c>
      <c r="C40" s="14">
        <v>-599.52135099999998</v>
      </c>
      <c r="D40" s="17">
        <f t="shared" si="2"/>
        <v>-0.4479545570902394</v>
      </c>
    </row>
    <row r="41" spans="1:6" s="9" customFormat="1" x14ac:dyDescent="0.3">
      <c r="A41" s="35" t="s">
        <v>43</v>
      </c>
      <c r="B41" s="30">
        <f>SUM(B38:B40)</f>
        <v>112128</v>
      </c>
      <c r="C41" s="30">
        <f>SUM(C38:C40)</f>
        <v>147107.30883899998</v>
      </c>
      <c r="D41" s="17">
        <f t="shared" si="2"/>
        <v>0.31195873322452888</v>
      </c>
      <c r="F41" s="5"/>
    </row>
    <row r="42" spans="1:6" x14ac:dyDescent="0.3">
      <c r="A42" s="19" t="s">
        <v>15</v>
      </c>
      <c r="B42" s="14">
        <v>-55</v>
      </c>
      <c r="C42" s="14">
        <v>-18.161999999999999</v>
      </c>
      <c r="D42" s="17">
        <f t="shared" si="2"/>
        <v>-0.66978181818181814</v>
      </c>
    </row>
    <row r="43" spans="1:6" ht="15.75" thickBot="1" x14ac:dyDescent="0.35">
      <c r="A43" s="36" t="s">
        <v>17</v>
      </c>
      <c r="B43" s="37">
        <f>SUM(B41:B42)</f>
        <v>112073</v>
      </c>
      <c r="C43" s="37">
        <f>SUM(C41:C42)</f>
        <v>147089.14683899996</v>
      </c>
      <c r="D43" s="45">
        <f t="shared" si="2"/>
        <v>0.31244052393529187</v>
      </c>
    </row>
    <row r="45" spans="1:6" x14ac:dyDescent="0.3">
      <c r="A45" s="19"/>
      <c r="B45" s="14"/>
      <c r="D45" s="17"/>
    </row>
  </sheetData>
  <pageMargins left="0.7" right="0.7" top="0.75" bottom="0.75" header="0.3" footer="0.3"/>
  <customProperties>
    <customPr name="_pios_id" r:id="rId1"/>
  </customPropertie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9"/>
  <sheetViews>
    <sheetView topLeftCell="A10" workbookViewId="0">
      <selection activeCell="J41" sqref="J41"/>
    </sheetView>
  </sheetViews>
  <sheetFormatPr baseColWidth="10" defaultColWidth="11.42578125" defaultRowHeight="15" x14ac:dyDescent="0.3"/>
  <cols>
    <col min="1" max="1" width="43.42578125" style="5" customWidth="1"/>
    <col min="2" max="2" width="11.7109375" style="2" bestFit="1" customWidth="1"/>
    <col min="3" max="3" width="14.7109375" style="2" bestFit="1" customWidth="1"/>
    <col min="4" max="4" width="13.28515625" style="3" bestFit="1" customWidth="1"/>
    <col min="5" max="5" width="11.42578125" style="3"/>
    <col min="6" max="6" width="11.5703125" style="4" customWidth="1"/>
    <col min="7" max="7" width="3.42578125" style="4" customWidth="1"/>
    <col min="8" max="16384" width="11.42578125" style="5"/>
  </cols>
  <sheetData>
    <row r="1" spans="1:12" x14ac:dyDescent="0.3">
      <c r="A1" s="38" t="s">
        <v>40</v>
      </c>
      <c r="I1" s="61"/>
      <c r="J1" s="61"/>
      <c r="K1" s="61"/>
      <c r="L1" s="61"/>
    </row>
    <row r="2" spans="1:12" x14ac:dyDescent="0.3">
      <c r="A2" s="38" t="s">
        <v>63</v>
      </c>
      <c r="I2" s="61"/>
      <c r="J2" s="61"/>
      <c r="K2" s="61"/>
      <c r="L2" s="61"/>
    </row>
    <row r="3" spans="1:12" x14ac:dyDescent="0.3">
      <c r="A3" s="24" t="s">
        <v>44</v>
      </c>
    </row>
    <row r="4" spans="1:12" x14ac:dyDescent="0.3">
      <c r="A4" s="24" t="s">
        <v>45</v>
      </c>
    </row>
    <row r="6" spans="1:12" x14ac:dyDescent="0.3">
      <c r="A6" s="6" t="s">
        <v>20</v>
      </c>
      <c r="B6" s="6">
        <v>2011</v>
      </c>
      <c r="C6" s="6">
        <v>2012</v>
      </c>
      <c r="D6" s="7" t="s">
        <v>46</v>
      </c>
      <c r="E6" s="20"/>
      <c r="F6" s="23"/>
    </row>
    <row r="7" spans="1:12" x14ac:dyDescent="0.3">
      <c r="A7" s="18" t="s">
        <v>21</v>
      </c>
      <c r="B7" s="14">
        <v>134429</v>
      </c>
      <c r="C7" s="14">
        <v>289563</v>
      </c>
      <c r="D7" s="17">
        <f>+(C7-B7)/B7</f>
        <v>1.1540218256477397</v>
      </c>
      <c r="E7" s="21"/>
      <c r="F7" s="23"/>
    </row>
    <row r="8" spans="1:12" x14ac:dyDescent="0.3">
      <c r="A8" s="18" t="s">
        <v>22</v>
      </c>
      <c r="B8" s="14">
        <v>329795</v>
      </c>
      <c r="C8" s="14">
        <v>329212</v>
      </c>
      <c r="D8" s="17">
        <f t="shared" ref="D8:D16" si="0">+(C8-B8)/B8</f>
        <v>-1.767764823602541E-3</v>
      </c>
      <c r="E8" s="21"/>
      <c r="F8" s="23"/>
    </row>
    <row r="9" spans="1:12" x14ac:dyDescent="0.3">
      <c r="A9" s="18" t="s">
        <v>23</v>
      </c>
      <c r="B9" s="14">
        <v>591193</v>
      </c>
      <c r="C9" s="14">
        <v>604733</v>
      </c>
      <c r="D9" s="17">
        <f t="shared" si="0"/>
        <v>2.2902842219038454E-2</v>
      </c>
      <c r="E9" s="21"/>
      <c r="F9" s="23"/>
    </row>
    <row r="10" spans="1:12" x14ac:dyDescent="0.3">
      <c r="A10" s="18" t="s">
        <v>36</v>
      </c>
      <c r="B10" s="14">
        <v>620566</v>
      </c>
      <c r="C10" s="14">
        <v>607704</v>
      </c>
      <c r="D10" s="17">
        <f t="shared" si="0"/>
        <v>-2.0726240238749787E-2</v>
      </c>
      <c r="E10" s="21"/>
      <c r="F10" s="23"/>
    </row>
    <row r="11" spans="1:12" x14ac:dyDescent="0.3">
      <c r="A11" s="18" t="s">
        <v>60</v>
      </c>
      <c r="B11" s="14">
        <v>991250</v>
      </c>
      <c r="C11" s="14">
        <v>1049217</v>
      </c>
      <c r="D11" s="17">
        <f t="shared" si="0"/>
        <v>5.8478688524590164E-2</v>
      </c>
      <c r="E11" s="21"/>
      <c r="F11" s="23"/>
    </row>
    <row r="12" spans="1:12" x14ac:dyDescent="0.3">
      <c r="A12" s="18" t="s">
        <v>47</v>
      </c>
      <c r="B12" s="14">
        <v>888285</v>
      </c>
      <c r="C12" s="14">
        <v>874918</v>
      </c>
      <c r="D12" s="17">
        <f t="shared" si="0"/>
        <v>-1.5048098301783774E-2</v>
      </c>
      <c r="E12" s="21"/>
      <c r="F12" s="23"/>
    </row>
    <row r="13" spans="1:12" x14ac:dyDescent="0.3">
      <c r="A13" s="18" t="s">
        <v>24</v>
      </c>
      <c r="B13" s="14">
        <v>131447</v>
      </c>
      <c r="C13" s="14">
        <v>126372</v>
      </c>
      <c r="D13" s="17">
        <f t="shared" si="0"/>
        <v>-3.860871682122833E-2</v>
      </c>
      <c r="E13" s="21"/>
      <c r="F13" s="23"/>
    </row>
    <row r="14" spans="1:12" x14ac:dyDescent="0.3">
      <c r="A14" s="18" t="s">
        <v>25</v>
      </c>
      <c r="B14" s="14">
        <v>2325</v>
      </c>
      <c r="C14" s="14">
        <v>4313</v>
      </c>
      <c r="D14" s="17">
        <f t="shared" si="0"/>
        <v>0.85505376344086026</v>
      </c>
      <c r="E14" s="21"/>
      <c r="F14" s="23"/>
    </row>
    <row r="15" spans="1:12" x14ac:dyDescent="0.3">
      <c r="A15" s="18" t="s">
        <v>26</v>
      </c>
      <c r="B15" s="14">
        <v>4512109</v>
      </c>
      <c r="C15" s="14">
        <f>3975191+39902</f>
        <v>4015093</v>
      </c>
      <c r="D15" s="17">
        <f t="shared" si="0"/>
        <v>-0.11015159429880794</v>
      </c>
      <c r="E15" s="21"/>
      <c r="F15" s="23"/>
    </row>
    <row r="16" spans="1:12" ht="15.75" thickBot="1" x14ac:dyDescent="0.35">
      <c r="A16" s="26" t="s">
        <v>27</v>
      </c>
      <c r="B16" s="27">
        <f>SUM(B7:B15)</f>
        <v>8201399</v>
      </c>
      <c r="C16" s="27">
        <f>SUM(C7:C15)</f>
        <v>7901125</v>
      </c>
      <c r="D16" s="45">
        <f t="shared" si="0"/>
        <v>-3.6612534032303516E-2</v>
      </c>
      <c r="E16" s="22"/>
      <c r="F16" s="23"/>
    </row>
    <row r="17" spans="1:6" x14ac:dyDescent="0.3">
      <c r="A17" s="1"/>
      <c r="C17" s="14"/>
      <c r="E17" s="21"/>
      <c r="F17" s="23"/>
    </row>
    <row r="18" spans="1:6" x14ac:dyDescent="0.3">
      <c r="A18" s="6" t="s">
        <v>48</v>
      </c>
      <c r="B18" s="6">
        <v>2011</v>
      </c>
      <c r="C18" s="6">
        <v>2012</v>
      </c>
      <c r="D18" s="7" t="s">
        <v>46</v>
      </c>
      <c r="E18" s="20"/>
      <c r="F18" s="23"/>
    </row>
    <row r="19" spans="1:6" x14ac:dyDescent="0.3">
      <c r="A19" s="18" t="s">
        <v>28</v>
      </c>
      <c r="B19" s="14">
        <v>1182313</v>
      </c>
      <c r="C19" s="14">
        <v>638431</v>
      </c>
      <c r="D19" s="17">
        <f t="shared" ref="D19:D30" si="1">+(C19-B19)/B19</f>
        <v>-0.46001524131088806</v>
      </c>
      <c r="E19" s="21"/>
      <c r="F19" s="23"/>
    </row>
    <row r="20" spans="1:6" x14ac:dyDescent="0.3">
      <c r="A20" s="18" t="s">
        <v>49</v>
      </c>
      <c r="B20" s="14">
        <v>156545</v>
      </c>
      <c r="C20" s="14">
        <v>144053</v>
      </c>
      <c r="D20" s="17">
        <f t="shared" si="1"/>
        <v>-7.9798141109585108E-2</v>
      </c>
      <c r="E20" s="21"/>
      <c r="F20" s="23"/>
    </row>
    <row r="21" spans="1:6" x14ac:dyDescent="0.3">
      <c r="A21" s="18" t="s">
        <v>38</v>
      </c>
      <c r="B21" s="14">
        <v>245133</v>
      </c>
      <c r="C21" s="14">
        <v>263965</v>
      </c>
      <c r="D21" s="17">
        <f t="shared" si="1"/>
        <v>7.6823601881427631E-2</v>
      </c>
      <c r="E21" s="21"/>
      <c r="F21" s="23"/>
    </row>
    <row r="22" spans="1:6" x14ac:dyDescent="0.3">
      <c r="A22" s="18" t="s">
        <v>30</v>
      </c>
      <c r="B22" s="14">
        <v>134089</v>
      </c>
      <c r="C22" s="14">
        <v>110220</v>
      </c>
      <c r="D22" s="17">
        <f t="shared" si="1"/>
        <v>-0.1780086360551574</v>
      </c>
      <c r="E22" s="21"/>
      <c r="F22" s="23"/>
    </row>
    <row r="23" spans="1:6" x14ac:dyDescent="0.3">
      <c r="A23" s="18" t="s">
        <v>31</v>
      </c>
      <c r="B23" s="14">
        <v>44914</v>
      </c>
      <c r="C23" s="14">
        <v>44736</v>
      </c>
      <c r="D23" s="17">
        <f t="shared" si="1"/>
        <v>-3.9631295364474326E-3</v>
      </c>
      <c r="E23" s="21"/>
      <c r="F23" s="23"/>
    </row>
    <row r="24" spans="1:6" x14ac:dyDescent="0.3">
      <c r="A24" s="18" t="s">
        <v>32</v>
      </c>
      <c r="B24" s="14">
        <v>142956</v>
      </c>
      <c r="C24" s="14">
        <v>179052</v>
      </c>
      <c r="D24" s="17">
        <f t="shared" si="1"/>
        <v>0.25249727188785359</v>
      </c>
      <c r="E24" s="21"/>
      <c r="F24" s="23"/>
    </row>
    <row r="25" spans="1:6" x14ac:dyDescent="0.3">
      <c r="A25" s="18" t="s">
        <v>24</v>
      </c>
      <c r="B25" s="14">
        <v>69193</v>
      </c>
      <c r="C25" s="14">
        <v>101892</v>
      </c>
      <c r="D25" s="17">
        <f t="shared" si="1"/>
        <v>0.47257670573612937</v>
      </c>
      <c r="E25" s="21"/>
      <c r="F25" s="23"/>
    </row>
    <row r="26" spans="1:6" x14ac:dyDescent="0.3">
      <c r="A26" s="18" t="s">
        <v>0</v>
      </c>
      <c r="B26" s="14">
        <v>3341</v>
      </c>
      <c r="C26" s="14">
        <v>2803</v>
      </c>
      <c r="D26" s="17">
        <f t="shared" si="1"/>
        <v>-0.16102963184675248</v>
      </c>
      <c r="E26" s="21"/>
      <c r="F26" s="23"/>
    </row>
    <row r="27" spans="1:6" x14ac:dyDescent="0.3">
      <c r="A27" s="18" t="s">
        <v>33</v>
      </c>
      <c r="B27" s="30">
        <f>SUM(B19:B26)</f>
        <v>1978484</v>
      </c>
      <c r="C27" s="30">
        <f>SUM(C19:C26)</f>
        <v>1485152</v>
      </c>
      <c r="D27" s="17">
        <f t="shared" si="1"/>
        <v>-0.24934849106689769</v>
      </c>
      <c r="E27" s="21"/>
      <c r="F27" s="23"/>
    </row>
    <row r="28" spans="1:6" x14ac:dyDescent="0.3">
      <c r="A28" s="18" t="s">
        <v>39</v>
      </c>
      <c r="B28" s="14">
        <v>14306</v>
      </c>
      <c r="C28" s="14">
        <v>15516</v>
      </c>
      <c r="D28" s="17">
        <f t="shared" si="1"/>
        <v>8.4579896546903399E-2</v>
      </c>
      <c r="E28" s="21"/>
      <c r="F28" s="23"/>
    </row>
    <row r="29" spans="1:6" x14ac:dyDescent="0.3">
      <c r="A29" s="32" t="s">
        <v>34</v>
      </c>
      <c r="B29" s="32">
        <v>6208609</v>
      </c>
      <c r="C29" s="32">
        <v>6400457</v>
      </c>
      <c r="D29" s="47">
        <f t="shared" si="1"/>
        <v>3.0900319218040626E-2</v>
      </c>
      <c r="E29" s="22"/>
      <c r="F29" s="22"/>
    </row>
    <row r="30" spans="1:6" ht="15.75" thickBot="1" x14ac:dyDescent="0.35">
      <c r="A30" s="27" t="s">
        <v>35</v>
      </c>
      <c r="B30" s="27">
        <f>+B27+B28+B29</f>
        <v>8201399</v>
      </c>
      <c r="C30" s="27">
        <f>+C27+C28+C29</f>
        <v>7901125</v>
      </c>
      <c r="D30" s="45">
        <f t="shared" si="1"/>
        <v>-3.6612534032303516E-2</v>
      </c>
      <c r="E30" s="22"/>
      <c r="F30" s="22"/>
    </row>
    <row r="31" spans="1:6" x14ac:dyDescent="0.3">
      <c r="A31" s="19"/>
      <c r="B31" s="14"/>
      <c r="C31" s="14"/>
      <c r="D31" s="17"/>
      <c r="E31" s="21"/>
      <c r="F31" s="23"/>
    </row>
    <row r="32" spans="1:6" x14ac:dyDescent="0.3">
      <c r="A32" s="41" t="s">
        <v>3</v>
      </c>
      <c r="B32" s="14"/>
      <c r="C32" s="14"/>
      <c r="D32" s="17"/>
      <c r="E32" s="21"/>
      <c r="F32" s="23"/>
    </row>
    <row r="33" spans="1:19" x14ac:dyDescent="0.3">
      <c r="A33" s="41" t="s">
        <v>64</v>
      </c>
      <c r="B33" s="14"/>
      <c r="C33" s="14"/>
      <c r="D33" s="17"/>
    </row>
    <row r="34" spans="1:19" x14ac:dyDescent="0.3">
      <c r="A34" s="41" t="s">
        <v>44</v>
      </c>
      <c r="B34" s="14"/>
      <c r="C34" s="14"/>
      <c r="D34" s="17"/>
    </row>
    <row r="35" spans="1:19" x14ac:dyDescent="0.3">
      <c r="A35" s="41" t="s">
        <v>45</v>
      </c>
      <c r="B35" s="14"/>
      <c r="C35" s="14"/>
      <c r="D35" s="17"/>
    </row>
    <row r="36" spans="1:19" x14ac:dyDescent="0.3">
      <c r="A36" s="6"/>
      <c r="B36" s="6">
        <v>2011</v>
      </c>
      <c r="C36" s="6" t="s">
        <v>55</v>
      </c>
      <c r="D36" s="6">
        <v>2012</v>
      </c>
      <c r="E36" s="6" t="s">
        <v>55</v>
      </c>
      <c r="F36" s="7" t="s">
        <v>46</v>
      </c>
    </row>
    <row r="37" spans="1:19" s="9" customFormat="1" x14ac:dyDescent="0.3">
      <c r="A37" s="30" t="s">
        <v>4</v>
      </c>
      <c r="B37" s="50">
        <v>2340233</v>
      </c>
      <c r="C37" s="42">
        <v>1</v>
      </c>
      <c r="D37" s="50">
        <v>2503015</v>
      </c>
      <c r="E37" s="42">
        <v>1</v>
      </c>
      <c r="F37" s="17">
        <f>IF(B37&lt;&gt;0,(D37-B37)/B37,0)</f>
        <v>6.9558031187492875E-2</v>
      </c>
      <c r="G37" s="8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</row>
    <row r="38" spans="1:19" x14ac:dyDescent="0.3">
      <c r="A38" s="14" t="s">
        <v>50</v>
      </c>
      <c r="B38" s="51">
        <v>-1408050</v>
      </c>
      <c r="C38" s="17">
        <f t="shared" ref="C38:C56" si="2">+B38/$B$37</f>
        <v>-0.6016708592691411</v>
      </c>
      <c r="D38" s="51">
        <v>-1453387</v>
      </c>
      <c r="E38" s="17">
        <f>+D38/$D$37</f>
        <v>-0.58065453063605288</v>
      </c>
      <c r="F38" s="17">
        <f t="shared" ref="F38:F54" si="3">IF(B38&lt;&gt;0,(D38-B38)/B38,0)</f>
        <v>3.219843045346401E-2</v>
      </c>
    </row>
    <row r="39" spans="1:19" s="9" customFormat="1" x14ac:dyDescent="0.3">
      <c r="A39" s="30" t="s">
        <v>6</v>
      </c>
      <c r="B39" s="30">
        <f>SUM(B37:B38)</f>
        <v>932183</v>
      </c>
      <c r="C39" s="42">
        <f t="shared" si="2"/>
        <v>0.39832914073085884</v>
      </c>
      <c r="D39" s="30">
        <f>SUM(D37:D38)</f>
        <v>1049628</v>
      </c>
      <c r="E39" s="42">
        <f t="shared" ref="E39:E56" si="4">+D39/$D$37</f>
        <v>0.41934546936394707</v>
      </c>
      <c r="F39" s="17">
        <f t="shared" si="3"/>
        <v>0.12598921027309015</v>
      </c>
      <c r="G39" s="8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</row>
    <row r="40" spans="1:19" x14ac:dyDescent="0.3">
      <c r="A40" s="14" t="s">
        <v>7</v>
      </c>
      <c r="B40" s="14">
        <v>-121989</v>
      </c>
      <c r="C40" s="17">
        <f t="shared" si="2"/>
        <v>-5.2126860872400316E-2</v>
      </c>
      <c r="D40" s="14">
        <v>-122331</v>
      </c>
      <c r="E40" s="17">
        <f t="shared" si="4"/>
        <v>-4.8873458608917647E-2</v>
      </c>
      <c r="F40" s="17">
        <f t="shared" si="3"/>
        <v>2.803531465951848E-3</v>
      </c>
    </row>
    <row r="41" spans="1:19" x14ac:dyDescent="0.3">
      <c r="A41" s="14" t="s">
        <v>8</v>
      </c>
      <c r="B41" s="14">
        <v>-543665</v>
      </c>
      <c r="C41" s="17">
        <f t="shared" si="2"/>
        <v>-0.23231233813043403</v>
      </c>
      <c r="D41" s="14">
        <v>-615743</v>
      </c>
      <c r="E41" s="17">
        <f t="shared" si="4"/>
        <v>-0.2460005233688172</v>
      </c>
      <c r="F41" s="17">
        <f t="shared" si="3"/>
        <v>0.13257796621080997</v>
      </c>
    </row>
    <row r="42" spans="1:19" x14ac:dyDescent="0.3">
      <c r="A42" s="14" t="s">
        <v>84</v>
      </c>
      <c r="B42" s="14">
        <v>-52555</v>
      </c>
      <c r="C42" s="17">
        <f t="shared" si="2"/>
        <v>-2.2457165589922029E-2</v>
      </c>
      <c r="D42" s="14">
        <v>-70736</v>
      </c>
      <c r="E42" s="17">
        <f t="shared" si="4"/>
        <v>-2.8260318056423952E-2</v>
      </c>
      <c r="F42" s="17">
        <f t="shared" si="3"/>
        <v>0.34594234611359526</v>
      </c>
    </row>
    <row r="43" spans="1:19" s="9" customFormat="1" x14ac:dyDescent="0.3">
      <c r="A43" s="30" t="s">
        <v>9</v>
      </c>
      <c r="B43" s="30">
        <f>SUM(B40:B42)</f>
        <v>-718209</v>
      </c>
      <c r="C43" s="42">
        <f t="shared" si="2"/>
        <v>-0.30689636459275638</v>
      </c>
      <c r="D43" s="30">
        <f>SUM(D40:D42)</f>
        <v>-808810</v>
      </c>
      <c r="E43" s="42">
        <f t="shared" si="4"/>
        <v>-0.32313430003415883</v>
      </c>
      <c r="F43" s="17">
        <f t="shared" si="3"/>
        <v>0.12614851665740753</v>
      </c>
      <c r="G43" s="8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</row>
    <row r="44" spans="1:19" s="9" customFormat="1" x14ac:dyDescent="0.3">
      <c r="A44" s="30" t="s">
        <v>1</v>
      </c>
      <c r="B44" s="30">
        <f>+B39+B43</f>
        <v>213974</v>
      </c>
      <c r="C44" s="42">
        <f t="shared" si="2"/>
        <v>9.1432776138102481E-2</v>
      </c>
      <c r="D44" s="30">
        <f>+D39+D43</f>
        <v>240818</v>
      </c>
      <c r="E44" s="42">
        <f t="shared" si="4"/>
        <v>9.6211169329788279E-2</v>
      </c>
      <c r="F44" s="17">
        <f t="shared" si="3"/>
        <v>0.12545449447129089</v>
      </c>
      <c r="G44" s="8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</row>
    <row r="45" spans="1:19" x14ac:dyDescent="0.3">
      <c r="A45" s="14" t="s">
        <v>51</v>
      </c>
      <c r="B45" s="14">
        <v>2642</v>
      </c>
      <c r="C45" s="17">
        <f t="shared" si="2"/>
        <v>1.1289474167743127E-3</v>
      </c>
      <c r="D45" s="14">
        <v>4599</v>
      </c>
      <c r="E45" s="17">
        <f t="shared" si="4"/>
        <v>1.8373841147576024E-3</v>
      </c>
      <c r="F45" s="17">
        <f t="shared" si="3"/>
        <v>0.74072672218016655</v>
      </c>
    </row>
    <row r="46" spans="1:19" x14ac:dyDescent="0.3">
      <c r="A46" s="14" t="s">
        <v>11</v>
      </c>
      <c r="B46" s="14">
        <v>-45293</v>
      </c>
      <c r="C46" s="17">
        <f t="shared" si="2"/>
        <v>-1.9354055771369776E-2</v>
      </c>
      <c r="D46" s="14">
        <v>-35799</v>
      </c>
      <c r="E46" s="17">
        <f t="shared" si="4"/>
        <v>-1.4302351364254709E-2</v>
      </c>
      <c r="F46" s="17">
        <f t="shared" si="3"/>
        <v>-0.20961296447574682</v>
      </c>
    </row>
    <row r="47" spans="1:19" x14ac:dyDescent="0.3">
      <c r="A47" s="14" t="s">
        <v>12</v>
      </c>
      <c r="B47" s="14">
        <v>925</v>
      </c>
      <c r="C47" s="17">
        <f t="shared" si="2"/>
        <v>3.9525978823476123E-4</v>
      </c>
      <c r="D47" s="14">
        <v>12171</v>
      </c>
      <c r="E47" s="17">
        <f t="shared" si="4"/>
        <v>4.8625357818470926E-3</v>
      </c>
      <c r="F47" s="17">
        <f t="shared" si="3"/>
        <v>12.157837837837837</v>
      </c>
    </row>
    <row r="48" spans="1:19" x14ac:dyDescent="0.3">
      <c r="A48" s="14" t="s">
        <v>52</v>
      </c>
      <c r="B48" s="14">
        <v>-761</v>
      </c>
      <c r="C48" s="17">
        <f t="shared" si="2"/>
        <v>-3.2518129605043603E-4</v>
      </c>
      <c r="D48" s="14">
        <v>-13007</v>
      </c>
      <c r="E48" s="17">
        <f t="shared" si="4"/>
        <v>-5.1965329812246434E-3</v>
      </c>
      <c r="F48" s="17">
        <f t="shared" si="3"/>
        <v>16.09198423127464</v>
      </c>
    </row>
    <row r="49" spans="1:19" x14ac:dyDescent="0.3">
      <c r="A49" s="14" t="s">
        <v>14</v>
      </c>
      <c r="B49" s="14">
        <v>16895</v>
      </c>
      <c r="C49" s="17">
        <f t="shared" si="2"/>
        <v>7.219366618623017E-3</v>
      </c>
      <c r="D49" s="14">
        <v>17559</v>
      </c>
      <c r="E49" s="17">
        <f t="shared" si="4"/>
        <v>7.0151397414717851E-3</v>
      </c>
      <c r="F49" s="17">
        <f t="shared" si="3"/>
        <v>3.9301568511393901E-2</v>
      </c>
    </row>
    <row r="50" spans="1:19" x14ac:dyDescent="0.3">
      <c r="A50" s="14" t="s">
        <v>16</v>
      </c>
      <c r="B50" s="14">
        <v>-112</v>
      </c>
      <c r="C50" s="17">
        <f t="shared" si="2"/>
        <v>-4.7858482467344066E-5</v>
      </c>
      <c r="D50" s="14">
        <v>35</v>
      </c>
      <c r="E50" s="17">
        <f t="shared" si="4"/>
        <v>1.3983136337576882E-5</v>
      </c>
      <c r="F50" s="17">
        <f t="shared" si="3"/>
        <v>-1.3125</v>
      </c>
    </row>
    <row r="51" spans="1:19" s="9" customFormat="1" x14ac:dyDescent="0.3">
      <c r="A51" s="30" t="s">
        <v>2</v>
      </c>
      <c r="B51" s="30">
        <f>SUM(B45:B50)</f>
        <v>-25704</v>
      </c>
      <c r="C51" s="42">
        <f t="shared" si="2"/>
        <v>-1.0983521726255463E-2</v>
      </c>
      <c r="D51" s="30">
        <f>SUM(D45:D50)</f>
        <v>-14442</v>
      </c>
      <c r="E51" s="42">
        <f t="shared" si="4"/>
        <v>-5.7698415710652953E-3</v>
      </c>
      <c r="F51" s="17">
        <f t="shared" si="3"/>
        <v>-0.43814192343604108</v>
      </c>
      <c r="G51" s="8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</row>
    <row r="52" spans="1:19" s="9" customFormat="1" x14ac:dyDescent="0.3">
      <c r="A52" s="30" t="s">
        <v>41</v>
      </c>
      <c r="B52" s="30">
        <f>+B44+B51</f>
        <v>188270</v>
      </c>
      <c r="C52" s="42">
        <f t="shared" si="2"/>
        <v>8.0449254411847027E-2</v>
      </c>
      <c r="D52" s="30">
        <f>+D44+D51</f>
        <v>226376</v>
      </c>
      <c r="E52" s="42">
        <f t="shared" si="4"/>
        <v>9.0441327758722975E-2</v>
      </c>
      <c r="F52" s="17">
        <f t="shared" si="3"/>
        <v>0.20240080735114463</v>
      </c>
      <c r="G52" s="8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</row>
    <row r="53" spans="1:19" x14ac:dyDescent="0.3">
      <c r="A53" s="14" t="s">
        <v>15</v>
      </c>
      <c r="B53" s="14">
        <v>-72274</v>
      </c>
      <c r="C53" s="17">
        <f t="shared" si="2"/>
        <v>-3.0883249659328794E-2</v>
      </c>
      <c r="D53" s="14">
        <v>-77508</v>
      </c>
      <c r="E53" s="17">
        <f t="shared" si="4"/>
        <v>-3.0965855178654543E-2</v>
      </c>
      <c r="F53" s="17">
        <f t="shared" si="3"/>
        <v>7.2418850485651831E-2</v>
      </c>
    </row>
    <row r="54" spans="1:19" x14ac:dyDescent="0.3">
      <c r="A54" s="14" t="s">
        <v>18</v>
      </c>
      <c r="B54" s="14">
        <v>-1456</v>
      </c>
      <c r="C54" s="17">
        <f t="shared" si="2"/>
        <v>-6.2216027207547279E-4</v>
      </c>
      <c r="D54" s="14">
        <v>-1780</v>
      </c>
      <c r="E54" s="17">
        <f t="shared" si="4"/>
        <v>-7.1114236231105291E-4</v>
      </c>
      <c r="F54" s="17">
        <f t="shared" si="3"/>
        <v>0.22252747252747251</v>
      </c>
    </row>
    <row r="55" spans="1:19" s="9" customFormat="1" x14ac:dyDescent="0.3">
      <c r="A55" s="43" t="s">
        <v>17</v>
      </c>
      <c r="B55" s="43">
        <f>+B52+B53+B54</f>
        <v>114540</v>
      </c>
      <c r="C55" s="44">
        <f t="shared" si="2"/>
        <v>4.8943844480442762E-2</v>
      </c>
      <c r="D55" s="43">
        <f>+D52+D53+D54</f>
        <v>147088</v>
      </c>
      <c r="E55" s="44">
        <f t="shared" si="4"/>
        <v>5.8764330217757385E-2</v>
      </c>
      <c r="F55" s="44">
        <f>+(D55-B55)/B55</f>
        <v>0.28416273790815438</v>
      </c>
      <c r="G55" s="8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</row>
    <row r="56" spans="1:19" s="9" customFormat="1" ht="15.75" thickBot="1" x14ac:dyDescent="0.35">
      <c r="A56" s="27" t="s">
        <v>19</v>
      </c>
      <c r="B56" s="27">
        <v>280849</v>
      </c>
      <c r="C56" s="45">
        <f t="shared" si="2"/>
        <v>0.12000899055777779</v>
      </c>
      <c r="D56" s="27">
        <v>312054</v>
      </c>
      <c r="E56" s="45">
        <f t="shared" si="4"/>
        <v>0.12467124647674904</v>
      </c>
      <c r="F56" s="45">
        <f>+(D56-B56)/B56</f>
        <v>0.11110952860789962</v>
      </c>
      <c r="G56" s="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</row>
    <row r="57" spans="1:19" x14ac:dyDescent="0.3">
      <c r="A57" s="2"/>
      <c r="C57" s="3"/>
      <c r="D57" s="10"/>
    </row>
    <row r="58" spans="1:19" x14ac:dyDescent="0.3">
      <c r="A58" s="19" t="s">
        <v>53</v>
      </c>
      <c r="B58" s="14"/>
      <c r="C58" s="14"/>
      <c r="D58" s="17"/>
    </row>
    <row r="59" spans="1:19" x14ac:dyDescent="0.3">
      <c r="D59" s="10"/>
    </row>
  </sheetData>
  <pageMargins left="0.7" right="0.7" top="0.75" bottom="0.75" header="0.3" footer="0.3"/>
  <customProperties>
    <customPr name="_pios_id" r:id="rId1"/>
  </customPropertie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5"/>
  <sheetViews>
    <sheetView topLeftCell="F1" workbookViewId="0">
      <selection activeCell="I7" sqref="I7"/>
    </sheetView>
  </sheetViews>
  <sheetFormatPr baseColWidth="10" defaultColWidth="11.42578125" defaultRowHeight="15" x14ac:dyDescent="0.3"/>
  <cols>
    <col min="1" max="1" width="43.7109375" style="73" customWidth="1"/>
    <col min="2" max="2" width="13" style="74" bestFit="1" customWidth="1"/>
    <col min="3" max="3" width="12.7109375" style="74" bestFit="1" customWidth="1"/>
    <col min="4" max="4" width="13.42578125" style="75" bestFit="1" customWidth="1"/>
    <col min="5" max="16384" width="11.42578125" style="73"/>
  </cols>
  <sheetData>
    <row r="1" spans="1:11" x14ac:dyDescent="0.3">
      <c r="E1" s="75"/>
      <c r="F1" s="76"/>
      <c r="G1" s="76"/>
    </row>
    <row r="2" spans="1:11" x14ac:dyDescent="0.3">
      <c r="E2" s="75"/>
      <c r="F2" s="76"/>
      <c r="G2" s="76"/>
    </row>
    <row r="3" spans="1:11" x14ac:dyDescent="0.3">
      <c r="E3" s="75"/>
      <c r="F3" s="76"/>
      <c r="G3" s="76"/>
    </row>
    <row r="4" spans="1:11" x14ac:dyDescent="0.3">
      <c r="E4" s="75"/>
      <c r="F4" s="76"/>
      <c r="G4" s="76"/>
    </row>
    <row r="5" spans="1:11" x14ac:dyDescent="0.3">
      <c r="E5" s="75"/>
      <c r="F5" s="76"/>
      <c r="G5" s="76"/>
    </row>
    <row r="6" spans="1:11" ht="21" x14ac:dyDescent="0.35">
      <c r="A6" s="116" t="s">
        <v>90</v>
      </c>
      <c r="E6" s="75"/>
      <c r="F6" s="76"/>
      <c r="G6" s="76"/>
    </row>
    <row r="7" spans="1:11" ht="15.75" x14ac:dyDescent="0.3">
      <c r="A7" s="78" t="s">
        <v>89</v>
      </c>
      <c r="E7" s="75"/>
      <c r="F7" s="76"/>
      <c r="G7" s="76"/>
    </row>
    <row r="8" spans="1:11" x14ac:dyDescent="0.3">
      <c r="A8" s="79" t="s">
        <v>88</v>
      </c>
      <c r="E8" s="75"/>
      <c r="F8" s="76"/>
      <c r="G8" s="76"/>
    </row>
    <row r="9" spans="1:11" s="85" customFormat="1" x14ac:dyDescent="0.3">
      <c r="A9" s="80"/>
      <c r="B9" s="81"/>
      <c r="C9" s="81"/>
      <c r="D9" s="82"/>
      <c r="E9" s="82"/>
      <c r="F9" s="83"/>
      <c r="G9" s="83"/>
      <c r="H9" s="84"/>
      <c r="I9" s="84"/>
      <c r="J9" s="84"/>
      <c r="K9" s="84"/>
    </row>
    <row r="10" spans="1:11" s="85" customFormat="1" x14ac:dyDescent="0.3">
      <c r="A10" s="104" t="s">
        <v>20</v>
      </c>
      <c r="B10" s="86">
        <v>2011</v>
      </c>
      <c r="C10" s="86">
        <v>2012</v>
      </c>
      <c r="D10" s="87" t="s">
        <v>46</v>
      </c>
    </row>
    <row r="11" spans="1:11" s="85" customFormat="1" x14ac:dyDescent="0.3">
      <c r="A11" s="88" t="s">
        <v>21</v>
      </c>
      <c r="B11" s="81">
        <v>19526</v>
      </c>
      <c r="C11" s="81">
        <v>165</v>
      </c>
      <c r="D11" s="82">
        <f t="shared" ref="D11:D17" si="0">IF(B11&lt;&gt;0,(C11-B11)/B11,0)</f>
        <v>-0.99154972856703882</v>
      </c>
    </row>
    <row r="12" spans="1:11" s="85" customFormat="1" x14ac:dyDescent="0.3">
      <c r="A12" s="88" t="s">
        <v>22</v>
      </c>
      <c r="B12" s="81">
        <v>3391681</v>
      </c>
      <c r="C12" s="81">
        <v>3658770</v>
      </c>
      <c r="D12" s="82">
        <f t="shared" si="0"/>
        <v>7.8748266714941645E-2</v>
      </c>
    </row>
    <row r="13" spans="1:11" s="89" customFormat="1" ht="14.25" customHeight="1" x14ac:dyDescent="0.3">
      <c r="A13" s="88" t="s">
        <v>23</v>
      </c>
      <c r="B13" s="81">
        <v>216302</v>
      </c>
      <c r="C13" s="81">
        <v>25595</v>
      </c>
      <c r="D13" s="82">
        <f t="shared" si="0"/>
        <v>-0.88167007239877582</v>
      </c>
      <c r="E13" s="85"/>
      <c r="F13" s="85"/>
      <c r="H13" s="85"/>
      <c r="I13" s="85"/>
      <c r="J13" s="85"/>
    </row>
    <row r="14" spans="1:11" s="89" customFormat="1" hidden="1" x14ac:dyDescent="0.3">
      <c r="A14" s="88" t="s">
        <v>37</v>
      </c>
      <c r="B14" s="81">
        <v>0</v>
      </c>
      <c r="C14" s="81">
        <v>0</v>
      </c>
      <c r="D14" s="82">
        <f t="shared" si="0"/>
        <v>0</v>
      </c>
      <c r="E14" s="85"/>
      <c r="F14" s="85"/>
      <c r="H14" s="85"/>
      <c r="I14" s="85"/>
      <c r="J14" s="85"/>
    </row>
    <row r="15" spans="1:11" s="89" customFormat="1" x14ac:dyDescent="0.3">
      <c r="A15" s="88" t="s">
        <v>59</v>
      </c>
      <c r="B15" s="81">
        <f>503+155</f>
        <v>658</v>
      </c>
      <c r="C15" s="81">
        <v>583</v>
      </c>
      <c r="D15" s="82">
        <f t="shared" si="0"/>
        <v>-0.11398176291793313</v>
      </c>
      <c r="E15" s="85"/>
      <c r="F15" s="85"/>
      <c r="H15" s="85"/>
      <c r="I15" s="85"/>
      <c r="J15" s="85"/>
    </row>
    <row r="16" spans="1:11" s="89" customFormat="1" x14ac:dyDescent="0.3">
      <c r="A16" s="88" t="s">
        <v>26</v>
      </c>
      <c r="B16" s="81">
        <v>3141857</v>
      </c>
      <c r="C16" s="81">
        <v>3185128</v>
      </c>
      <c r="D16" s="82">
        <f t="shared" si="0"/>
        <v>1.3772428216815723E-2</v>
      </c>
      <c r="E16" s="85"/>
      <c r="F16" s="85"/>
      <c r="H16" s="85"/>
      <c r="I16" s="85"/>
      <c r="J16" s="85"/>
    </row>
    <row r="17" spans="1:10" s="89" customFormat="1" ht="15.75" thickBot="1" x14ac:dyDescent="0.35">
      <c r="A17" s="90" t="s">
        <v>27</v>
      </c>
      <c r="B17" s="91">
        <f>SUM(B11:B16)</f>
        <v>6770024</v>
      </c>
      <c r="C17" s="91">
        <f>SUM(C11:C16)</f>
        <v>6870241</v>
      </c>
      <c r="D17" s="92">
        <f t="shared" si="0"/>
        <v>1.4803049442660764E-2</v>
      </c>
      <c r="E17" s="85"/>
      <c r="F17" s="85"/>
      <c r="H17" s="85"/>
      <c r="I17" s="85"/>
      <c r="J17" s="85"/>
    </row>
    <row r="18" spans="1:10" s="85" customFormat="1" x14ac:dyDescent="0.3">
      <c r="B18" s="81"/>
      <c r="C18" s="81"/>
      <c r="D18" s="82"/>
    </row>
    <row r="19" spans="1:10" s="89" customFormat="1" x14ac:dyDescent="0.3">
      <c r="A19" s="104" t="s">
        <v>48</v>
      </c>
      <c r="B19" s="86">
        <v>2011</v>
      </c>
      <c r="C19" s="86">
        <v>2012</v>
      </c>
      <c r="D19" s="87" t="s">
        <v>46</v>
      </c>
      <c r="E19" s="85"/>
      <c r="F19" s="85"/>
      <c r="H19" s="85"/>
      <c r="I19" s="85"/>
      <c r="J19" s="85"/>
    </row>
    <row r="20" spans="1:10" s="89" customFormat="1" hidden="1" x14ac:dyDescent="0.3">
      <c r="A20" s="88" t="s">
        <v>28</v>
      </c>
      <c r="B20" s="81">
        <v>0</v>
      </c>
      <c r="C20" s="81">
        <v>0</v>
      </c>
      <c r="D20" s="82">
        <f t="shared" ref="D20:D28" si="1">IF(B20&lt;&gt;0,(C20-B20)/B20,0)</f>
        <v>0</v>
      </c>
      <c r="E20" s="85"/>
      <c r="F20" s="85"/>
      <c r="H20" s="85"/>
      <c r="I20" s="85"/>
      <c r="J20" s="85"/>
    </row>
    <row r="21" spans="1:10" s="89" customFormat="1" x14ac:dyDescent="0.3">
      <c r="A21" s="88" t="s">
        <v>29</v>
      </c>
      <c r="B21" s="81">
        <v>301838</v>
      </c>
      <c r="C21" s="81">
        <v>108672</v>
      </c>
      <c r="D21" s="82">
        <f t="shared" si="1"/>
        <v>-0.6399658094739562</v>
      </c>
      <c r="E21" s="85"/>
      <c r="F21" s="85"/>
      <c r="H21" s="85"/>
      <c r="I21" s="85"/>
      <c r="J21" s="85"/>
    </row>
    <row r="22" spans="1:10" s="85" customFormat="1" x14ac:dyDescent="0.3">
      <c r="A22" s="88" t="s">
        <v>30</v>
      </c>
      <c r="B22" s="81">
        <v>1269</v>
      </c>
      <c r="C22" s="81">
        <v>1472</v>
      </c>
      <c r="D22" s="82">
        <f t="shared" si="1"/>
        <v>0.1599684791174153</v>
      </c>
    </row>
    <row r="23" spans="1:10" s="85" customFormat="1" x14ac:dyDescent="0.3">
      <c r="A23" s="88" t="s">
        <v>31</v>
      </c>
      <c r="B23" s="81">
        <v>113</v>
      </c>
      <c r="C23" s="81">
        <v>182</v>
      </c>
      <c r="D23" s="82">
        <f t="shared" si="1"/>
        <v>0.61061946902654862</v>
      </c>
    </row>
    <row r="24" spans="1:10" s="85" customFormat="1" x14ac:dyDescent="0.3">
      <c r="A24" s="88" t="s">
        <v>32</v>
      </c>
      <c r="B24" s="81">
        <v>642</v>
      </c>
      <c r="C24" s="81">
        <v>742</v>
      </c>
      <c r="D24" s="82">
        <f t="shared" si="1"/>
        <v>0.1557632398753894</v>
      </c>
    </row>
    <row r="25" spans="1:10" s="85" customFormat="1" x14ac:dyDescent="0.3">
      <c r="A25" s="88" t="s">
        <v>87</v>
      </c>
      <c r="B25" s="81">
        <v>16593</v>
      </c>
      <c r="C25" s="81">
        <v>17654</v>
      </c>
      <c r="D25" s="82">
        <f t="shared" si="1"/>
        <v>6.3942626408726569E-2</v>
      </c>
    </row>
    <row r="26" spans="1:10" s="95" customFormat="1" x14ac:dyDescent="0.3">
      <c r="A26" s="93" t="s">
        <v>33</v>
      </c>
      <c r="B26" s="80">
        <f>SUM(B20:B25)</f>
        <v>320455</v>
      </c>
      <c r="C26" s="80">
        <f>SUM(C20:C25)</f>
        <v>128722</v>
      </c>
      <c r="D26" s="94">
        <f t="shared" si="1"/>
        <v>-0.59831489600723975</v>
      </c>
      <c r="F26" s="85"/>
      <c r="H26" s="85"/>
      <c r="I26" s="85"/>
      <c r="J26" s="85"/>
    </row>
    <row r="27" spans="1:10" s="95" customFormat="1" x14ac:dyDescent="0.3">
      <c r="A27" s="96" t="s">
        <v>34</v>
      </c>
      <c r="B27" s="97">
        <v>6449569</v>
      </c>
      <c r="C27" s="97">
        <v>6741519</v>
      </c>
      <c r="D27" s="98">
        <f t="shared" si="1"/>
        <v>4.526659068226109E-2</v>
      </c>
      <c r="F27" s="85"/>
      <c r="H27" s="85"/>
      <c r="I27" s="85"/>
      <c r="J27" s="85"/>
    </row>
    <row r="28" spans="1:10" s="95" customFormat="1" ht="15.75" thickBot="1" x14ac:dyDescent="0.35">
      <c r="A28" s="90" t="s">
        <v>35</v>
      </c>
      <c r="B28" s="91">
        <f>+B26+B27</f>
        <v>6770024</v>
      </c>
      <c r="C28" s="91">
        <f>+C26+C27</f>
        <v>6870241</v>
      </c>
      <c r="D28" s="99">
        <f t="shared" si="1"/>
        <v>1.4803049442660764E-2</v>
      </c>
      <c r="F28" s="85"/>
      <c r="H28" s="85"/>
      <c r="I28" s="85"/>
      <c r="J28" s="85"/>
    </row>
    <row r="29" spans="1:10" s="85" customFormat="1" x14ac:dyDescent="0.3">
      <c r="A29" s="88" t="s">
        <v>54</v>
      </c>
      <c r="B29" s="81">
        <f>435123458+25000000</f>
        <v>460123458</v>
      </c>
      <c r="C29" s="81">
        <f>435123458+25000000</f>
        <v>460123458</v>
      </c>
      <c r="D29" s="82"/>
    </row>
    <row r="30" spans="1:10" s="85" customFormat="1" x14ac:dyDescent="0.3">
      <c r="A30" s="88" t="s">
        <v>71</v>
      </c>
      <c r="B30" s="100">
        <f>+B27/+(B29/1000000)</f>
        <v>14017.040183158842</v>
      </c>
      <c r="C30" s="100">
        <f>+C27/+(C29/1000000)</f>
        <v>14651.5438037067</v>
      </c>
      <c r="D30" s="82"/>
    </row>
    <row r="31" spans="1:10" s="85" customFormat="1" x14ac:dyDescent="0.3">
      <c r="A31" s="115"/>
      <c r="B31" s="100"/>
      <c r="C31" s="100"/>
      <c r="D31" s="82"/>
    </row>
    <row r="32" spans="1:10" s="85" customFormat="1" x14ac:dyDescent="0.3">
      <c r="A32" s="115"/>
      <c r="B32" s="100"/>
      <c r="C32" s="100"/>
      <c r="D32" s="82"/>
    </row>
    <row r="33" spans="1:8" ht="21" x14ac:dyDescent="0.35">
      <c r="A33" s="116" t="s">
        <v>92</v>
      </c>
      <c r="E33" s="75"/>
      <c r="F33" s="76"/>
      <c r="G33" s="76"/>
    </row>
    <row r="34" spans="1:8" ht="15.75" x14ac:dyDescent="0.3">
      <c r="A34" s="78" t="s">
        <v>89</v>
      </c>
      <c r="E34" s="75"/>
      <c r="F34" s="76"/>
      <c r="G34" s="76"/>
    </row>
    <row r="35" spans="1:8" x14ac:dyDescent="0.3">
      <c r="A35" s="79" t="s">
        <v>88</v>
      </c>
      <c r="E35" s="75"/>
      <c r="F35" s="76"/>
      <c r="G35" s="76"/>
    </row>
    <row r="36" spans="1:8" s="85" customFormat="1" x14ac:dyDescent="0.3">
      <c r="B36" s="81"/>
      <c r="C36" s="81"/>
      <c r="D36" s="82"/>
    </row>
    <row r="37" spans="1:8" s="85" customFormat="1" x14ac:dyDescent="0.3">
      <c r="B37" s="86">
        <v>2011</v>
      </c>
      <c r="C37" s="86">
        <v>2012</v>
      </c>
      <c r="D37" s="86" t="s">
        <v>46</v>
      </c>
    </row>
    <row r="38" spans="1:8" s="95" customFormat="1" x14ac:dyDescent="0.3">
      <c r="A38" s="85" t="s">
        <v>72</v>
      </c>
      <c r="B38" s="80">
        <v>159357</v>
      </c>
      <c r="C38" s="80">
        <v>218149</v>
      </c>
      <c r="D38" s="82">
        <f>IF(B38&lt;&gt;0,(C38-B38)/B38,0)</f>
        <v>0.36893264807946935</v>
      </c>
      <c r="F38" s="85"/>
      <c r="G38" s="85"/>
      <c r="H38" s="85"/>
    </row>
    <row r="39" spans="1:8" s="85" customFormat="1" hidden="1" x14ac:dyDescent="0.3">
      <c r="A39" s="85" t="s">
        <v>5</v>
      </c>
      <c r="B39" s="81">
        <v>0</v>
      </c>
      <c r="C39" s="81">
        <v>0</v>
      </c>
      <c r="D39" s="82">
        <f t="shared" ref="D39:D49" si="2">IF(B39&lt;&gt;0,(C39-B39)/B39,0)</f>
        <v>0</v>
      </c>
    </row>
    <row r="40" spans="1:8" s="95" customFormat="1" x14ac:dyDescent="0.3">
      <c r="A40" s="85" t="s">
        <v>57</v>
      </c>
      <c r="B40" s="81">
        <v>25135</v>
      </c>
      <c r="C40" s="81">
        <v>26303</v>
      </c>
      <c r="D40" s="82">
        <f t="shared" si="2"/>
        <v>4.6469067037994825E-2</v>
      </c>
      <c r="F40" s="85"/>
      <c r="G40" s="85"/>
      <c r="H40" s="85"/>
    </row>
    <row r="41" spans="1:8" s="95" customFormat="1" x14ac:dyDescent="0.3">
      <c r="A41" s="85" t="s">
        <v>56</v>
      </c>
      <c r="B41" s="81">
        <f>5345+1</f>
        <v>5346</v>
      </c>
      <c r="C41" s="81">
        <v>6284</v>
      </c>
      <c r="D41" s="82">
        <f t="shared" si="2"/>
        <v>0.17545828656939769</v>
      </c>
      <c r="F41" s="85"/>
      <c r="G41" s="85"/>
      <c r="H41" s="85"/>
    </row>
    <row r="42" spans="1:8" s="95" customFormat="1" x14ac:dyDescent="0.3">
      <c r="A42" s="95" t="s">
        <v>4</v>
      </c>
      <c r="B42" s="80">
        <f>SUM(B38:B41)</f>
        <v>189838</v>
      </c>
      <c r="C42" s="80">
        <f>SUM(C38:C41)</f>
        <v>250736</v>
      </c>
      <c r="D42" s="82">
        <f t="shared" si="2"/>
        <v>0.32078930456494487</v>
      </c>
      <c r="F42" s="85"/>
      <c r="G42" s="85"/>
      <c r="H42" s="85"/>
    </row>
    <row r="43" spans="1:8" s="85" customFormat="1" x14ac:dyDescent="0.3">
      <c r="A43" s="85" t="s">
        <v>58</v>
      </c>
      <c r="B43" s="81">
        <v>-6375</v>
      </c>
      <c r="C43" s="81">
        <v>-7474.5929070000002</v>
      </c>
      <c r="D43" s="82">
        <f t="shared" si="2"/>
        <v>0.17248516188235297</v>
      </c>
    </row>
    <row r="44" spans="1:8" s="95" customFormat="1" x14ac:dyDescent="0.3">
      <c r="A44" s="95" t="s">
        <v>42</v>
      </c>
      <c r="B44" s="80">
        <f>SUM(B42:B43)</f>
        <v>183463</v>
      </c>
      <c r="C44" s="80">
        <f>SUM(C42:C43)</f>
        <v>243261.40709299999</v>
      </c>
      <c r="D44" s="82">
        <f t="shared" si="2"/>
        <v>0.32594259928704966</v>
      </c>
      <c r="F44" s="85"/>
      <c r="G44" s="85"/>
      <c r="H44" s="85"/>
    </row>
    <row r="45" spans="1:8" s="95" customFormat="1" x14ac:dyDescent="0.3">
      <c r="A45" s="85" t="s">
        <v>10</v>
      </c>
      <c r="B45" s="81">
        <v>347</v>
      </c>
      <c r="C45" s="81">
        <v>770</v>
      </c>
      <c r="D45" s="82">
        <f t="shared" si="2"/>
        <v>1.2190201729106629</v>
      </c>
      <c r="F45" s="85"/>
      <c r="G45" s="85"/>
      <c r="H45" s="85"/>
    </row>
    <row r="46" spans="1:8" s="85" customFormat="1" x14ac:dyDescent="0.3">
      <c r="A46" s="85" t="s">
        <v>13</v>
      </c>
      <c r="B46" s="81">
        <v>-10998</v>
      </c>
      <c r="C46" s="81">
        <v>-1307</v>
      </c>
      <c r="D46" s="82">
        <f t="shared" si="2"/>
        <v>-0.88116021094744501</v>
      </c>
    </row>
    <row r="47" spans="1:8" s="95" customFormat="1" x14ac:dyDescent="0.3">
      <c r="A47" s="95" t="s">
        <v>43</v>
      </c>
      <c r="B47" s="80">
        <f>SUM(B44:B46)</f>
        <v>172812</v>
      </c>
      <c r="C47" s="80">
        <f>SUM(C44:C46)</f>
        <v>242724.40709299999</v>
      </c>
      <c r="D47" s="82">
        <f t="shared" si="2"/>
        <v>0.40455759491817689</v>
      </c>
      <c r="F47" s="85"/>
      <c r="G47" s="85"/>
      <c r="H47" s="85"/>
    </row>
    <row r="48" spans="1:8" s="85" customFormat="1" x14ac:dyDescent="0.3">
      <c r="A48" s="85" t="s">
        <v>15</v>
      </c>
      <c r="B48" s="81">
        <v>-82</v>
      </c>
      <c r="C48" s="81">
        <v>-279.16199999999998</v>
      </c>
      <c r="D48" s="82">
        <f t="shared" si="2"/>
        <v>2.4044146341463413</v>
      </c>
    </row>
    <row r="49" spans="1:4" s="85" customFormat="1" ht="15.75" thickBot="1" x14ac:dyDescent="0.35">
      <c r="A49" s="102" t="s">
        <v>17</v>
      </c>
      <c r="B49" s="103">
        <f>SUM(B47:B48)</f>
        <v>172730</v>
      </c>
      <c r="C49" s="103">
        <f>SUM(C47:C48)</f>
        <v>242445.24509299998</v>
      </c>
      <c r="D49" s="99">
        <f t="shared" si="2"/>
        <v>0.40360820409309311</v>
      </c>
    </row>
    <row r="50" spans="1:4" s="85" customFormat="1" x14ac:dyDescent="0.3">
      <c r="B50" s="81"/>
      <c r="C50" s="81"/>
      <c r="D50" s="82"/>
    </row>
    <row r="51" spans="1:4" s="85" customFormat="1" x14ac:dyDescent="0.3">
      <c r="B51" s="81"/>
      <c r="C51" s="81"/>
      <c r="D51" s="82"/>
    </row>
    <row r="52" spans="1:4" s="85" customFormat="1" x14ac:dyDescent="0.3">
      <c r="B52" s="81"/>
      <c r="C52" s="81"/>
      <c r="D52" s="82"/>
    </row>
    <row r="53" spans="1:4" s="85" customFormat="1" x14ac:dyDescent="0.3">
      <c r="B53" s="81"/>
      <c r="C53" s="81"/>
      <c r="D53" s="82"/>
    </row>
    <row r="54" spans="1:4" s="85" customFormat="1" x14ac:dyDescent="0.3">
      <c r="B54" s="81"/>
      <c r="C54" s="81"/>
      <c r="D54" s="82"/>
    </row>
    <row r="55" spans="1:4" s="85" customFormat="1" x14ac:dyDescent="0.3">
      <c r="B55" s="81"/>
      <c r="C55" s="81"/>
      <c r="D55" s="82"/>
    </row>
  </sheetData>
  <pageMargins left="0.7" right="0.7" top="0.75" bottom="0.75" header="0.3" footer="0.3"/>
  <pageSetup scale="87" orientation="portrait" r:id="rId1"/>
  <customProperties>
    <customPr name="_pios_id" r:id="rId2"/>
  </customProperties>
  <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82"/>
  <sheetViews>
    <sheetView topLeftCell="A37" workbookViewId="0">
      <selection activeCell="K10" sqref="K10"/>
    </sheetView>
  </sheetViews>
  <sheetFormatPr baseColWidth="10" defaultColWidth="11.42578125" defaultRowHeight="15" x14ac:dyDescent="0.3"/>
  <cols>
    <col min="1" max="1" width="32.140625" style="73" customWidth="1"/>
    <col min="2" max="2" width="13" style="74" bestFit="1" customWidth="1"/>
    <col min="3" max="3" width="14.85546875" style="74" bestFit="1" customWidth="1"/>
    <col min="4" max="4" width="13.42578125" style="75" bestFit="1" customWidth="1"/>
    <col min="5" max="5" width="11.85546875" style="75" bestFit="1" customWidth="1"/>
    <col min="6" max="6" width="11.5703125" style="76" customWidth="1"/>
    <col min="7" max="7" width="3.42578125" style="76" customWidth="1"/>
    <col min="8" max="8" width="5.7109375" style="73" customWidth="1"/>
    <col min="9" max="16384" width="11.42578125" style="73"/>
  </cols>
  <sheetData>
    <row r="6" spans="1:11" ht="21" x14ac:dyDescent="0.35">
      <c r="A6" s="116" t="s">
        <v>40</v>
      </c>
    </row>
    <row r="7" spans="1:11" ht="15.75" x14ac:dyDescent="0.3">
      <c r="A7" s="78" t="s">
        <v>89</v>
      </c>
    </row>
    <row r="8" spans="1:11" x14ac:dyDescent="0.3">
      <c r="A8" s="79" t="s">
        <v>88</v>
      </c>
    </row>
    <row r="9" spans="1:11" s="85" customFormat="1" x14ac:dyDescent="0.3">
      <c r="B9" s="81"/>
      <c r="C9" s="81"/>
      <c r="D9" s="82"/>
      <c r="E9" s="82"/>
      <c r="F9" s="83"/>
      <c r="G9" s="83"/>
      <c r="H9" s="84"/>
      <c r="I9" s="84"/>
      <c r="J9" s="84"/>
      <c r="K9" s="84"/>
    </row>
    <row r="10" spans="1:11" s="85" customFormat="1" x14ac:dyDescent="0.3">
      <c r="A10" s="86" t="s">
        <v>20</v>
      </c>
      <c r="B10" s="86">
        <v>2011</v>
      </c>
      <c r="C10" s="86">
        <v>2012</v>
      </c>
      <c r="D10" s="87" t="s">
        <v>46</v>
      </c>
      <c r="E10" s="105"/>
      <c r="F10" s="83"/>
      <c r="G10" s="83"/>
      <c r="H10" s="106"/>
      <c r="I10" s="84"/>
      <c r="J10" s="84"/>
      <c r="K10" s="84"/>
    </row>
    <row r="11" spans="1:11" s="85" customFormat="1" x14ac:dyDescent="0.3">
      <c r="A11" s="88" t="s">
        <v>21</v>
      </c>
      <c r="B11" s="81">
        <v>133693</v>
      </c>
      <c r="C11" s="81">
        <v>331810</v>
      </c>
      <c r="D11" s="82">
        <f>+(C11-B11)/B11</f>
        <v>1.4818801283537657</v>
      </c>
      <c r="E11" s="107"/>
      <c r="F11" s="83"/>
      <c r="G11" s="83"/>
      <c r="H11" s="108"/>
      <c r="I11" s="84"/>
      <c r="J11" s="84"/>
      <c r="K11" s="84"/>
    </row>
    <row r="12" spans="1:11" s="85" customFormat="1" x14ac:dyDescent="0.3">
      <c r="A12" s="88" t="s">
        <v>22</v>
      </c>
      <c r="B12" s="81">
        <v>329888</v>
      </c>
      <c r="C12" s="81">
        <v>329454</v>
      </c>
      <c r="D12" s="82">
        <f t="shared" ref="D12:D20" si="0">+(C12-B12)/B12</f>
        <v>-1.3155980211465709E-3</v>
      </c>
      <c r="E12" s="107"/>
      <c r="F12" s="83"/>
      <c r="G12" s="83"/>
      <c r="H12" s="106"/>
      <c r="I12" s="84"/>
      <c r="J12" s="84"/>
      <c r="K12" s="84"/>
    </row>
    <row r="13" spans="1:11" s="85" customFormat="1" x14ac:dyDescent="0.3">
      <c r="A13" s="88" t="s">
        <v>23</v>
      </c>
      <c r="B13" s="81">
        <v>648190</v>
      </c>
      <c r="C13" s="81">
        <v>694158</v>
      </c>
      <c r="D13" s="82">
        <f t="shared" si="0"/>
        <v>7.0917477899998457E-2</v>
      </c>
      <c r="E13" s="107"/>
      <c r="F13" s="83"/>
      <c r="G13" s="83"/>
      <c r="H13" s="106"/>
      <c r="I13" s="84"/>
      <c r="J13" s="84"/>
      <c r="K13" s="84"/>
    </row>
    <row r="14" spans="1:11" s="85" customFormat="1" x14ac:dyDescent="0.3">
      <c r="A14" s="88" t="s">
        <v>36</v>
      </c>
      <c r="B14" s="81">
        <v>645152</v>
      </c>
      <c r="C14" s="81">
        <v>595515</v>
      </c>
      <c r="D14" s="82">
        <f t="shared" si="0"/>
        <v>-7.6938457913793959E-2</v>
      </c>
      <c r="E14" s="107"/>
      <c r="F14" s="83"/>
      <c r="G14" s="83"/>
      <c r="H14" s="106"/>
      <c r="I14" s="84"/>
      <c r="J14" s="84"/>
      <c r="K14" s="84"/>
    </row>
    <row r="15" spans="1:11" s="85" customFormat="1" x14ac:dyDescent="0.3">
      <c r="A15" s="88" t="s">
        <v>60</v>
      </c>
      <c r="B15" s="81">
        <v>1019680</v>
      </c>
      <c r="C15" s="81">
        <v>1076293</v>
      </c>
      <c r="D15" s="82">
        <f t="shared" si="0"/>
        <v>5.5520359328416757E-2</v>
      </c>
      <c r="E15" s="107"/>
      <c r="F15" s="83"/>
      <c r="G15" s="83"/>
      <c r="H15" s="106"/>
      <c r="I15" s="84"/>
      <c r="J15" s="84"/>
      <c r="K15" s="84"/>
    </row>
    <row r="16" spans="1:11" s="85" customFormat="1" x14ac:dyDescent="0.3">
      <c r="A16" s="88" t="s">
        <v>47</v>
      </c>
      <c r="B16" s="81">
        <v>897180</v>
      </c>
      <c r="C16" s="81">
        <v>871879</v>
      </c>
      <c r="D16" s="82">
        <f t="shared" si="0"/>
        <v>-2.8200584052252613E-2</v>
      </c>
      <c r="E16" s="107"/>
      <c r="F16" s="83"/>
      <c r="G16" s="83"/>
      <c r="H16" s="106"/>
      <c r="I16" s="84"/>
      <c r="J16" s="84"/>
      <c r="K16" s="84"/>
    </row>
    <row r="17" spans="1:11" s="85" customFormat="1" x14ac:dyDescent="0.3">
      <c r="A17" s="88" t="s">
        <v>24</v>
      </c>
      <c r="B17" s="81">
        <v>125132</v>
      </c>
      <c r="C17" s="81">
        <v>113035</v>
      </c>
      <c r="D17" s="82">
        <f t="shared" si="0"/>
        <v>-9.6673912348559918E-2</v>
      </c>
      <c r="E17" s="107"/>
      <c r="F17" s="83"/>
      <c r="G17" s="83"/>
      <c r="H17" s="106"/>
      <c r="I17" s="84"/>
      <c r="J17" s="84"/>
      <c r="K17" s="84"/>
    </row>
    <row r="18" spans="1:11" s="85" customFormat="1" x14ac:dyDescent="0.3">
      <c r="A18" s="88" t="s">
        <v>25</v>
      </c>
      <c r="B18" s="81">
        <v>2538</v>
      </c>
      <c r="C18" s="81">
        <v>4678</v>
      </c>
      <c r="D18" s="82">
        <f t="shared" si="0"/>
        <v>0.84318360914105595</v>
      </c>
      <c r="E18" s="107"/>
      <c r="F18" s="83"/>
      <c r="G18" s="83"/>
      <c r="H18" s="106"/>
      <c r="I18" s="84"/>
      <c r="J18" s="84"/>
      <c r="K18" s="84"/>
    </row>
    <row r="19" spans="1:11" s="85" customFormat="1" x14ac:dyDescent="0.3">
      <c r="A19" s="88" t="s">
        <v>26</v>
      </c>
      <c r="B19" s="81">
        <v>4108034</v>
      </c>
      <c r="C19" s="81">
        <v>4259574</v>
      </c>
      <c r="D19" s="82">
        <f t="shared" si="0"/>
        <v>3.6888691768373873E-2</v>
      </c>
      <c r="E19" s="107"/>
      <c r="F19" s="83"/>
      <c r="G19" s="83"/>
      <c r="H19" s="106"/>
      <c r="I19" s="84"/>
      <c r="J19" s="84"/>
      <c r="K19" s="84"/>
    </row>
    <row r="20" spans="1:11" s="85" customFormat="1" ht="15.75" thickBot="1" x14ac:dyDescent="0.35">
      <c r="A20" s="90" t="s">
        <v>27</v>
      </c>
      <c r="B20" s="91">
        <f>SUM(B11:B19)</f>
        <v>7909487</v>
      </c>
      <c r="C20" s="91">
        <f>SUM(C11:C19)</f>
        <v>8276396</v>
      </c>
      <c r="D20" s="99">
        <f t="shared" si="0"/>
        <v>4.6388469947545273E-2</v>
      </c>
      <c r="E20" s="109"/>
      <c r="F20" s="83"/>
      <c r="G20" s="83"/>
      <c r="H20" s="106"/>
      <c r="I20" s="84"/>
      <c r="J20" s="84"/>
      <c r="K20" s="84"/>
    </row>
    <row r="21" spans="1:11" s="85" customFormat="1" x14ac:dyDescent="0.3">
      <c r="A21" s="88"/>
      <c r="B21" s="81"/>
      <c r="C21" s="81"/>
      <c r="D21" s="82"/>
      <c r="E21" s="107"/>
      <c r="F21" s="83"/>
      <c r="G21" s="83"/>
      <c r="H21" s="106"/>
      <c r="I21" s="84"/>
      <c r="J21" s="84"/>
      <c r="K21" s="84"/>
    </row>
    <row r="22" spans="1:11" s="85" customFormat="1" x14ac:dyDescent="0.3">
      <c r="A22" s="86" t="s">
        <v>48</v>
      </c>
      <c r="B22" s="86">
        <v>2011</v>
      </c>
      <c r="C22" s="86">
        <v>2012</v>
      </c>
      <c r="D22" s="87" t="s">
        <v>46</v>
      </c>
      <c r="E22" s="105"/>
      <c r="F22" s="83"/>
      <c r="G22" s="83"/>
      <c r="H22" s="108"/>
      <c r="I22" s="84"/>
      <c r="J22" s="84"/>
      <c r="K22" s="84"/>
    </row>
    <row r="23" spans="1:11" s="85" customFormat="1" x14ac:dyDescent="0.3">
      <c r="A23" s="88" t="s">
        <v>28</v>
      </c>
      <c r="B23" s="81">
        <v>668204</v>
      </c>
      <c r="C23" s="81">
        <v>632454</v>
      </c>
      <c r="D23" s="82">
        <f t="shared" ref="D23:D34" si="1">+(C23-B23)/B23</f>
        <v>-5.3501625252168498E-2</v>
      </c>
      <c r="E23" s="107"/>
      <c r="F23" s="83"/>
      <c r="G23" s="83"/>
      <c r="H23" s="106"/>
      <c r="I23" s="84"/>
      <c r="J23" s="84"/>
      <c r="K23" s="84"/>
    </row>
    <row r="24" spans="1:11" s="85" customFormat="1" x14ac:dyDescent="0.3">
      <c r="A24" s="88" t="s">
        <v>49</v>
      </c>
      <c r="B24" s="81">
        <v>159445</v>
      </c>
      <c r="C24" s="81">
        <v>158167</v>
      </c>
      <c r="D24" s="82">
        <f t="shared" si="1"/>
        <v>-8.0153030825676572E-3</v>
      </c>
      <c r="E24" s="107"/>
      <c r="F24" s="83"/>
      <c r="G24" s="83"/>
      <c r="H24" s="108"/>
      <c r="I24" s="84"/>
      <c r="J24" s="84"/>
      <c r="K24" s="84"/>
    </row>
    <row r="25" spans="1:11" s="85" customFormat="1" x14ac:dyDescent="0.3">
      <c r="A25" s="88" t="s">
        <v>38</v>
      </c>
      <c r="B25" s="81">
        <v>203982</v>
      </c>
      <c r="C25" s="81">
        <v>234700</v>
      </c>
      <c r="D25" s="82">
        <f t="shared" si="1"/>
        <v>0.15059171887715583</v>
      </c>
      <c r="E25" s="107"/>
      <c r="F25" s="83"/>
      <c r="G25" s="83"/>
      <c r="H25" s="106"/>
      <c r="I25" s="84"/>
      <c r="J25" s="84"/>
      <c r="K25" s="84"/>
    </row>
    <row r="26" spans="1:11" s="85" customFormat="1" x14ac:dyDescent="0.3">
      <c r="A26" s="88" t="s">
        <v>30</v>
      </c>
      <c r="B26" s="81">
        <v>117373</v>
      </c>
      <c r="C26" s="81">
        <v>86817</v>
      </c>
      <c r="D26" s="82">
        <f t="shared" si="1"/>
        <v>-0.26033244442929804</v>
      </c>
      <c r="E26" s="107"/>
      <c r="F26" s="83"/>
      <c r="G26" s="83"/>
      <c r="H26" s="106"/>
      <c r="I26" s="84"/>
      <c r="J26" s="84"/>
      <c r="K26" s="84"/>
    </row>
    <row r="27" spans="1:11" s="85" customFormat="1" x14ac:dyDescent="0.3">
      <c r="A27" s="88" t="s">
        <v>31</v>
      </c>
      <c r="B27" s="81">
        <v>47209</v>
      </c>
      <c r="C27" s="81">
        <v>45855</v>
      </c>
      <c r="D27" s="82">
        <f t="shared" si="1"/>
        <v>-2.8680971848588192E-2</v>
      </c>
      <c r="E27" s="107"/>
      <c r="F27" s="83"/>
      <c r="G27" s="83"/>
      <c r="H27" s="106"/>
      <c r="I27" s="84"/>
      <c r="J27" s="84"/>
      <c r="K27" s="84"/>
    </row>
    <row r="28" spans="1:11" s="85" customFormat="1" x14ac:dyDescent="0.3">
      <c r="A28" s="88" t="s">
        <v>32</v>
      </c>
      <c r="B28" s="81">
        <v>199188</v>
      </c>
      <c r="C28" s="81">
        <v>252760</v>
      </c>
      <c r="D28" s="82">
        <f t="shared" si="1"/>
        <v>0.26895194489627888</v>
      </c>
      <c r="E28" s="107"/>
      <c r="F28" s="83"/>
      <c r="G28" s="83"/>
      <c r="H28" s="106"/>
      <c r="I28" s="84"/>
      <c r="J28" s="84"/>
      <c r="K28" s="84"/>
    </row>
    <row r="29" spans="1:11" s="85" customFormat="1" x14ac:dyDescent="0.3">
      <c r="A29" s="88" t="s">
        <v>24</v>
      </c>
      <c r="B29" s="81">
        <v>62754</v>
      </c>
      <c r="C29" s="81">
        <v>119193</v>
      </c>
      <c r="D29" s="82">
        <f t="shared" si="1"/>
        <v>0.89936896452815762</v>
      </c>
      <c r="E29" s="107"/>
      <c r="F29" s="83"/>
      <c r="G29" s="83"/>
      <c r="H29" s="106"/>
      <c r="I29" s="84"/>
      <c r="J29" s="84"/>
      <c r="K29" s="84"/>
    </row>
    <row r="30" spans="1:11" s="85" customFormat="1" x14ac:dyDescent="0.3">
      <c r="A30" s="88" t="s">
        <v>0</v>
      </c>
      <c r="B30" s="81">
        <v>7674</v>
      </c>
      <c r="C30" s="81">
        <v>6607</v>
      </c>
      <c r="D30" s="82">
        <f t="shared" si="1"/>
        <v>-0.13904091738337243</v>
      </c>
      <c r="E30" s="107"/>
      <c r="F30" s="83"/>
      <c r="G30" s="83"/>
      <c r="H30" s="106"/>
      <c r="I30" s="84"/>
      <c r="J30" s="84"/>
      <c r="K30" s="84"/>
    </row>
    <row r="31" spans="1:11" s="85" customFormat="1" x14ac:dyDescent="0.3">
      <c r="A31" s="88" t="s">
        <v>33</v>
      </c>
      <c r="B31" s="80">
        <f>SUM(B23:B30)</f>
        <v>1465829</v>
      </c>
      <c r="C31" s="80">
        <f>SUM(C23:C30)</f>
        <v>1536553</v>
      </c>
      <c r="D31" s="82">
        <f t="shared" si="1"/>
        <v>4.8248465544070966E-2</v>
      </c>
      <c r="E31" s="107"/>
      <c r="F31" s="83"/>
      <c r="G31" s="83"/>
      <c r="H31" s="106"/>
      <c r="I31" s="84"/>
      <c r="J31" s="84"/>
      <c r="K31" s="84"/>
    </row>
    <row r="32" spans="1:11" s="85" customFormat="1" x14ac:dyDescent="0.3">
      <c r="A32" s="88" t="s">
        <v>39</v>
      </c>
      <c r="B32" s="81">
        <v>15305</v>
      </c>
      <c r="C32" s="81">
        <v>15731</v>
      </c>
      <c r="D32" s="82">
        <f t="shared" si="1"/>
        <v>2.783404116301862E-2</v>
      </c>
      <c r="E32" s="107"/>
      <c r="F32" s="83"/>
      <c r="G32" s="83"/>
      <c r="H32" s="106"/>
      <c r="I32" s="84"/>
      <c r="J32" s="84"/>
      <c r="K32" s="84"/>
    </row>
    <row r="33" spans="1:11" s="85" customFormat="1" x14ac:dyDescent="0.3">
      <c r="A33" s="97" t="s">
        <v>34</v>
      </c>
      <c r="B33" s="97">
        <v>6428353</v>
      </c>
      <c r="C33" s="97">
        <v>6724112</v>
      </c>
      <c r="D33" s="98">
        <f t="shared" si="1"/>
        <v>4.6008518822783999E-2</v>
      </c>
      <c r="E33" s="109"/>
      <c r="F33" s="83"/>
      <c r="G33" s="83"/>
      <c r="H33" s="108"/>
      <c r="I33" s="84"/>
      <c r="J33" s="84"/>
      <c r="K33" s="84"/>
    </row>
    <row r="34" spans="1:11" s="85" customFormat="1" ht="15.75" thickBot="1" x14ac:dyDescent="0.35">
      <c r="A34" s="91" t="s">
        <v>35</v>
      </c>
      <c r="B34" s="91">
        <f>+B31+B32+B33</f>
        <v>7909487</v>
      </c>
      <c r="C34" s="91">
        <f>+C31+C32+C33</f>
        <v>8276396</v>
      </c>
      <c r="D34" s="99">
        <f t="shared" si="1"/>
        <v>4.6388469947545273E-2</v>
      </c>
      <c r="E34" s="109"/>
      <c r="F34" s="83"/>
      <c r="G34" s="83"/>
      <c r="H34" s="108"/>
      <c r="I34" s="84"/>
      <c r="J34" s="84"/>
      <c r="K34" s="84"/>
    </row>
    <row r="35" spans="1:11" s="85" customFormat="1" x14ac:dyDescent="0.3">
      <c r="B35" s="81"/>
      <c r="C35" s="81"/>
      <c r="D35" s="82"/>
      <c r="E35" s="107"/>
      <c r="F35" s="83"/>
      <c r="G35" s="83"/>
      <c r="H35" s="108"/>
      <c r="I35" s="84"/>
      <c r="J35" s="84"/>
      <c r="K35" s="84"/>
    </row>
    <row r="36" spans="1:11" ht="21" x14ac:dyDescent="0.35">
      <c r="A36" s="116" t="s">
        <v>91</v>
      </c>
    </row>
    <row r="37" spans="1:11" ht="15.75" x14ac:dyDescent="0.3">
      <c r="A37" s="78" t="s">
        <v>89</v>
      </c>
    </row>
    <row r="38" spans="1:11" x14ac:dyDescent="0.3">
      <c r="A38" s="79" t="s">
        <v>88</v>
      </c>
    </row>
    <row r="39" spans="1:11" s="85" customFormat="1" x14ac:dyDescent="0.3">
      <c r="A39" s="86"/>
      <c r="B39" s="86">
        <v>2011</v>
      </c>
      <c r="C39" s="86" t="s">
        <v>55</v>
      </c>
      <c r="D39" s="86">
        <v>2012</v>
      </c>
      <c r="E39" s="86" t="s">
        <v>55</v>
      </c>
      <c r="F39" s="87" t="s">
        <v>46</v>
      </c>
      <c r="G39" s="101"/>
    </row>
    <row r="40" spans="1:11" s="95" customFormat="1" x14ac:dyDescent="0.3">
      <c r="A40" s="80" t="s">
        <v>4</v>
      </c>
      <c r="B40" s="110">
        <v>3643470</v>
      </c>
      <c r="C40" s="94">
        <v>1</v>
      </c>
      <c r="D40" s="110">
        <v>3832919</v>
      </c>
      <c r="E40" s="94">
        <v>1</v>
      </c>
      <c r="F40" s="82">
        <f>IF(B40&lt;&gt;0,(D40-B40)/B40,0)</f>
        <v>5.1996860136079071E-2</v>
      </c>
      <c r="G40" s="111"/>
      <c r="H40" s="85"/>
    </row>
    <row r="41" spans="1:11" s="85" customFormat="1" x14ac:dyDescent="0.3">
      <c r="A41" s="81" t="s">
        <v>50</v>
      </c>
      <c r="B41" s="112">
        <v>-2195803</v>
      </c>
      <c r="C41" s="82">
        <f t="shared" ref="C41:C59" si="2">+B41/$B$40</f>
        <v>-0.60266806094190428</v>
      </c>
      <c r="D41" s="112">
        <v>-2203106</v>
      </c>
      <c r="E41" s="82">
        <f>+D41/$D$40</f>
        <v>-0.57478543115573277</v>
      </c>
      <c r="F41" s="82">
        <f t="shared" ref="F41:F57" si="3">IF(B41&lt;&gt;0,(D41-B41)/B41,0)</f>
        <v>3.3258903462651248E-3</v>
      </c>
      <c r="G41" s="101"/>
    </row>
    <row r="42" spans="1:11" s="95" customFormat="1" x14ac:dyDescent="0.3">
      <c r="A42" s="80" t="s">
        <v>6</v>
      </c>
      <c r="B42" s="80">
        <f>SUM(B40:B41)</f>
        <v>1447667</v>
      </c>
      <c r="C42" s="94">
        <f t="shared" si="2"/>
        <v>0.39733193905809572</v>
      </c>
      <c r="D42" s="80">
        <f>SUM(D40:D41)</f>
        <v>1629813</v>
      </c>
      <c r="E42" s="94">
        <f t="shared" ref="E42:E59" si="4">+D42/$D$40</f>
        <v>0.42521456884426723</v>
      </c>
      <c r="F42" s="82">
        <f t="shared" si="3"/>
        <v>0.1258203716738725</v>
      </c>
      <c r="G42" s="111"/>
      <c r="H42" s="85"/>
    </row>
    <row r="43" spans="1:11" s="85" customFormat="1" x14ac:dyDescent="0.3">
      <c r="A43" s="81" t="s">
        <v>7</v>
      </c>
      <c r="B43" s="81">
        <v>-179820</v>
      </c>
      <c r="C43" s="82">
        <f t="shared" si="2"/>
        <v>-4.9354049848084384E-2</v>
      </c>
      <c r="D43" s="81">
        <v>-193226</v>
      </c>
      <c r="E43" s="82">
        <f t="shared" si="4"/>
        <v>-5.0412231513371403E-2</v>
      </c>
      <c r="F43" s="82">
        <f t="shared" si="3"/>
        <v>7.4552330107885659E-2</v>
      </c>
      <c r="G43" s="101"/>
    </row>
    <row r="44" spans="1:11" s="85" customFormat="1" x14ac:dyDescent="0.3">
      <c r="A44" s="81" t="s">
        <v>8</v>
      </c>
      <c r="B44" s="81">
        <v>-866133</v>
      </c>
      <c r="C44" s="82">
        <f t="shared" si="2"/>
        <v>-0.2377220067682731</v>
      </c>
      <c r="D44" s="81">
        <v>-951496</v>
      </c>
      <c r="E44" s="82">
        <f t="shared" si="4"/>
        <v>-0.24824317967585541</v>
      </c>
      <c r="F44" s="82">
        <f t="shared" si="3"/>
        <v>9.8556457264646416E-2</v>
      </c>
      <c r="G44" s="101"/>
    </row>
    <row r="45" spans="1:11" s="85" customFormat="1" x14ac:dyDescent="0.3">
      <c r="A45" s="81" t="s">
        <v>84</v>
      </c>
      <c r="B45" s="81">
        <v>-83076</v>
      </c>
      <c r="C45" s="82">
        <f t="shared" si="2"/>
        <v>-2.2801340480366243E-2</v>
      </c>
      <c r="D45" s="81">
        <v>-104720</v>
      </c>
      <c r="E45" s="82">
        <f t="shared" si="4"/>
        <v>-2.7321213936428085E-2</v>
      </c>
      <c r="F45" s="82">
        <f t="shared" si="3"/>
        <v>0.26053252443545671</v>
      </c>
      <c r="G45" s="101"/>
    </row>
    <row r="46" spans="1:11" s="95" customFormat="1" x14ac:dyDescent="0.3">
      <c r="A46" s="80" t="s">
        <v>9</v>
      </c>
      <c r="B46" s="80">
        <f>SUM(B43:B45)</f>
        <v>-1129029</v>
      </c>
      <c r="C46" s="94">
        <f t="shared" si="2"/>
        <v>-0.30987739709672374</v>
      </c>
      <c r="D46" s="80">
        <f>SUM(D43:D45)</f>
        <v>-1249442</v>
      </c>
      <c r="E46" s="94">
        <f t="shared" si="4"/>
        <v>-0.3259766251256549</v>
      </c>
      <c r="F46" s="82">
        <f t="shared" si="3"/>
        <v>0.10665182205240079</v>
      </c>
      <c r="G46" s="111"/>
      <c r="H46" s="85"/>
    </row>
    <row r="47" spans="1:11" s="95" customFormat="1" x14ac:dyDescent="0.3">
      <c r="A47" s="80" t="s">
        <v>1</v>
      </c>
      <c r="B47" s="80">
        <f>+B42+B46</f>
        <v>318638</v>
      </c>
      <c r="C47" s="94">
        <f t="shared" si="2"/>
        <v>8.7454541961371993E-2</v>
      </c>
      <c r="D47" s="80">
        <f>+D42+D46</f>
        <v>380371</v>
      </c>
      <c r="E47" s="94">
        <f t="shared" si="4"/>
        <v>9.9237943718612373E-2</v>
      </c>
      <c r="F47" s="82">
        <f t="shared" si="3"/>
        <v>0.19374023186186204</v>
      </c>
      <c r="G47" s="111"/>
      <c r="H47" s="85"/>
    </row>
    <row r="48" spans="1:11" s="85" customFormat="1" x14ac:dyDescent="0.3">
      <c r="A48" s="81" t="s">
        <v>51</v>
      </c>
      <c r="B48" s="81">
        <v>4938</v>
      </c>
      <c r="C48" s="82">
        <f t="shared" si="2"/>
        <v>1.3553014022346828E-3</v>
      </c>
      <c r="D48" s="81">
        <v>8148</v>
      </c>
      <c r="E48" s="82">
        <f t="shared" si="4"/>
        <v>2.1257949881017574E-3</v>
      </c>
      <c r="F48" s="82">
        <f t="shared" si="3"/>
        <v>0.65006075334143376</v>
      </c>
      <c r="G48" s="101"/>
    </row>
    <row r="49" spans="1:8" s="85" customFormat="1" x14ac:dyDescent="0.3">
      <c r="A49" s="81" t="s">
        <v>11</v>
      </c>
      <c r="B49" s="81">
        <v>-64909</v>
      </c>
      <c r="C49" s="82">
        <f t="shared" si="2"/>
        <v>-1.7815159724109159E-2</v>
      </c>
      <c r="D49" s="81">
        <v>-53292</v>
      </c>
      <c r="E49" s="82">
        <f t="shared" si="4"/>
        <v>-1.3903763685066134E-2</v>
      </c>
      <c r="F49" s="82">
        <f t="shared" si="3"/>
        <v>-0.17897364001910368</v>
      </c>
      <c r="G49" s="101"/>
    </row>
    <row r="50" spans="1:8" s="85" customFormat="1" x14ac:dyDescent="0.3">
      <c r="A50" s="81" t="s">
        <v>12</v>
      </c>
      <c r="B50" s="81">
        <v>-3992</v>
      </c>
      <c r="C50" s="82">
        <f t="shared" si="2"/>
        <v>-1.0956588087729555E-3</v>
      </c>
      <c r="D50" s="81">
        <v>8986</v>
      </c>
      <c r="E50" s="82">
        <f t="shared" si="4"/>
        <v>2.344427315056749E-3</v>
      </c>
      <c r="F50" s="82">
        <f t="shared" si="3"/>
        <v>-3.2510020040080159</v>
      </c>
      <c r="G50" s="101"/>
    </row>
    <row r="51" spans="1:8" s="85" customFormat="1" x14ac:dyDescent="0.3">
      <c r="A51" s="81" t="s">
        <v>52</v>
      </c>
      <c r="B51" s="81">
        <v>-17283</v>
      </c>
      <c r="C51" s="82">
        <f t="shared" si="2"/>
        <v>-4.7435549078213898E-3</v>
      </c>
      <c r="D51" s="81">
        <v>-10675</v>
      </c>
      <c r="E51" s="82">
        <f t="shared" si="4"/>
        <v>-2.7850836399099486E-3</v>
      </c>
      <c r="F51" s="82">
        <f t="shared" si="3"/>
        <v>-0.3823410287565816</v>
      </c>
      <c r="G51" s="101"/>
    </row>
    <row r="52" spans="1:8" s="85" customFormat="1" x14ac:dyDescent="0.3">
      <c r="A52" s="81" t="s">
        <v>14</v>
      </c>
      <c r="B52" s="81">
        <v>25235</v>
      </c>
      <c r="C52" s="82">
        <f t="shared" si="2"/>
        <v>6.9260896892248324E-3</v>
      </c>
      <c r="D52" s="81">
        <v>26346</v>
      </c>
      <c r="E52" s="82">
        <f t="shared" si="4"/>
        <v>6.8736125130742396E-3</v>
      </c>
      <c r="F52" s="82">
        <f t="shared" si="3"/>
        <v>4.4026154150980781E-2</v>
      </c>
      <c r="G52" s="101"/>
    </row>
    <row r="53" spans="1:8" s="85" customFormat="1" x14ac:dyDescent="0.3">
      <c r="A53" s="81" t="s">
        <v>16</v>
      </c>
      <c r="B53" s="81">
        <v>-108</v>
      </c>
      <c r="C53" s="82">
        <f t="shared" si="2"/>
        <v>-2.964207198083146E-5</v>
      </c>
      <c r="D53" s="81">
        <v>35</v>
      </c>
      <c r="E53" s="82">
        <f t="shared" si="4"/>
        <v>9.1314217701965518E-6</v>
      </c>
      <c r="F53" s="82">
        <f t="shared" si="3"/>
        <v>-1.3240740740740742</v>
      </c>
      <c r="G53" s="101"/>
    </row>
    <row r="54" spans="1:8" s="95" customFormat="1" x14ac:dyDescent="0.3">
      <c r="A54" s="80" t="s">
        <v>2</v>
      </c>
      <c r="B54" s="80">
        <f>SUM(B48:B53)</f>
        <v>-56119</v>
      </c>
      <c r="C54" s="94">
        <f t="shared" si="2"/>
        <v>-1.5402624421224821E-2</v>
      </c>
      <c r="D54" s="80">
        <f>SUM(D48:D53)</f>
        <v>-20452</v>
      </c>
      <c r="E54" s="94">
        <f t="shared" si="4"/>
        <v>-5.3358810869731394E-3</v>
      </c>
      <c r="F54" s="82">
        <f t="shared" si="3"/>
        <v>-0.6355601489691548</v>
      </c>
      <c r="G54" s="111"/>
      <c r="H54" s="85"/>
    </row>
    <row r="55" spans="1:8" s="95" customFormat="1" x14ac:dyDescent="0.3">
      <c r="A55" s="80" t="s">
        <v>41</v>
      </c>
      <c r="B55" s="80">
        <f>+B47+B54</f>
        <v>262519</v>
      </c>
      <c r="C55" s="94">
        <f t="shared" si="2"/>
        <v>7.205191754014717E-2</v>
      </c>
      <c r="D55" s="80">
        <f>+D47+D54</f>
        <v>359919</v>
      </c>
      <c r="E55" s="94">
        <f t="shared" si="4"/>
        <v>9.3902062631639235E-2</v>
      </c>
      <c r="F55" s="82">
        <f t="shared" si="3"/>
        <v>0.37102076421135233</v>
      </c>
      <c r="G55" s="111"/>
      <c r="H55" s="85"/>
    </row>
    <row r="56" spans="1:8" s="85" customFormat="1" x14ac:dyDescent="0.3">
      <c r="A56" s="81" t="s">
        <v>15</v>
      </c>
      <c r="B56" s="81">
        <v>-89048</v>
      </c>
      <c r="C56" s="82">
        <f t="shared" si="2"/>
        <v>-2.4440437275454443E-2</v>
      </c>
      <c r="D56" s="81">
        <v>-116825</v>
      </c>
      <c r="E56" s="82">
        <f t="shared" si="4"/>
        <v>-3.0479381380091777E-2</v>
      </c>
      <c r="F56" s="82">
        <f t="shared" si="3"/>
        <v>0.31193289012667325</v>
      </c>
      <c r="G56" s="101"/>
    </row>
    <row r="57" spans="1:8" s="85" customFormat="1" x14ac:dyDescent="0.3">
      <c r="A57" s="81" t="s">
        <v>18</v>
      </c>
      <c r="B57" s="81">
        <v>-2325</v>
      </c>
      <c r="C57" s="82">
        <f t="shared" si="2"/>
        <v>-6.3812793847623287E-4</v>
      </c>
      <c r="D57" s="81">
        <v>-1989</v>
      </c>
      <c r="E57" s="82">
        <f t="shared" si="4"/>
        <v>-5.1892565431202692E-4</v>
      </c>
      <c r="F57" s="82">
        <f t="shared" si="3"/>
        <v>-0.14451612903225808</v>
      </c>
      <c r="G57" s="101"/>
    </row>
    <row r="58" spans="1:8" s="95" customFormat="1" x14ac:dyDescent="0.3">
      <c r="A58" s="113" t="s">
        <v>17</v>
      </c>
      <c r="B58" s="113">
        <f>+B55+B56+B57</f>
        <v>171146</v>
      </c>
      <c r="C58" s="114">
        <f t="shared" si="2"/>
        <v>4.6973352326216494E-2</v>
      </c>
      <c r="D58" s="113">
        <f>+D55+D56+D57</f>
        <v>241105</v>
      </c>
      <c r="E58" s="114">
        <f t="shared" si="4"/>
        <v>6.290375559723542E-2</v>
      </c>
      <c r="F58" s="114">
        <f>+(D58-B58)/B58</f>
        <v>0.40876795250838466</v>
      </c>
      <c r="G58" s="111"/>
      <c r="H58" s="85"/>
    </row>
    <row r="59" spans="1:8" s="95" customFormat="1" ht="15.75" thickBot="1" x14ac:dyDescent="0.35">
      <c r="A59" s="91" t="s">
        <v>19</v>
      </c>
      <c r="B59" s="91">
        <v>418998</v>
      </c>
      <c r="C59" s="99">
        <f t="shared" si="2"/>
        <v>0.11499971181318908</v>
      </c>
      <c r="D59" s="91">
        <v>488060</v>
      </c>
      <c r="E59" s="99">
        <f t="shared" si="4"/>
        <v>0.12733376311891798</v>
      </c>
      <c r="F59" s="99">
        <f>+(D59-B59)/B59</f>
        <v>0.16482656241795904</v>
      </c>
      <c r="G59" s="111"/>
      <c r="H59" s="85"/>
    </row>
    <row r="60" spans="1:8" s="85" customFormat="1" x14ac:dyDescent="0.3">
      <c r="A60" s="81"/>
      <c r="B60" s="81"/>
      <c r="C60" s="82"/>
      <c r="D60" s="112"/>
      <c r="E60" s="82"/>
      <c r="F60" s="101"/>
      <c r="G60" s="101"/>
    </row>
    <row r="61" spans="1:8" s="85" customFormat="1" x14ac:dyDescent="0.3">
      <c r="A61" s="85" t="s">
        <v>53</v>
      </c>
      <c r="B61" s="112"/>
      <c r="C61" s="112"/>
      <c r="D61" s="112"/>
      <c r="E61" s="82"/>
      <c r="F61" s="101"/>
      <c r="G61" s="101"/>
    </row>
    <row r="62" spans="1:8" s="85" customFormat="1" x14ac:dyDescent="0.3">
      <c r="B62" s="81"/>
      <c r="C62" s="81"/>
      <c r="D62" s="112"/>
      <c r="E62" s="82"/>
      <c r="F62" s="101"/>
      <c r="G62" s="101"/>
    </row>
    <row r="63" spans="1:8" s="85" customFormat="1" x14ac:dyDescent="0.3">
      <c r="B63" s="81"/>
      <c r="C63" s="81"/>
      <c r="D63" s="82"/>
      <c r="E63" s="82"/>
      <c r="F63" s="101"/>
      <c r="G63" s="101"/>
    </row>
    <row r="64" spans="1:8" s="85" customFormat="1" x14ac:dyDescent="0.3">
      <c r="B64" s="81"/>
      <c r="C64" s="81"/>
      <c r="D64" s="89"/>
      <c r="E64" s="82"/>
      <c r="F64" s="101"/>
      <c r="G64" s="101"/>
    </row>
    <row r="65" spans="5:5" x14ac:dyDescent="0.3">
      <c r="E65" s="77"/>
    </row>
    <row r="82" spans="5:5" x14ac:dyDescent="0.3">
      <c r="E82" s="77"/>
    </row>
  </sheetData>
  <pageMargins left="0.7" right="0.7" top="0.75" bottom="0.75" header="0.3" footer="0.3"/>
  <pageSetup scale="95" orientation="portrait" r:id="rId1"/>
  <rowBreaks count="1" manualBreakCount="1">
    <brk id="35" max="5" man="1"/>
  </rowBreaks>
  <customProperties>
    <customPr name="_pios_id" r:id="rId2"/>
  </customProperties>
  <ignoredErrors>
    <ignoredError sqref="B20" formulaRange="1"/>
  </ignoredErrors>
  <drawing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8"/>
  <sheetViews>
    <sheetView topLeftCell="A7" workbookViewId="0">
      <pane xSplit="1" ySplit="4" topLeftCell="D17" activePane="bottomRight" state="frozen"/>
      <selection activeCell="A7" sqref="A7"/>
      <selection pane="topRight" activeCell="B7" sqref="B7"/>
      <selection pane="bottomLeft" activeCell="A11" sqref="A11"/>
      <selection pane="bottomRight" activeCell="A7" sqref="A1:IV65536"/>
    </sheetView>
  </sheetViews>
  <sheetFormatPr baseColWidth="10" defaultColWidth="11.42578125" defaultRowHeight="15" x14ac:dyDescent="0.3"/>
  <cols>
    <col min="1" max="1" width="43.7109375" style="73" customWidth="1"/>
    <col min="2" max="2" width="14.42578125" style="73" customWidth="1"/>
    <col min="3" max="7" width="11.42578125" style="73" bestFit="1" customWidth="1"/>
    <col min="8" max="8" width="13" style="74" bestFit="1" customWidth="1"/>
    <col min="9" max="9" width="12.7109375" style="74" bestFit="1" customWidth="1"/>
    <col min="10" max="11" width="12.7109375" style="74" customWidth="1"/>
    <col min="12" max="12" width="13.42578125" style="75" bestFit="1" customWidth="1"/>
    <col min="13" max="16384" width="11.42578125" style="73"/>
  </cols>
  <sheetData>
    <row r="1" spans="1:19" x14ac:dyDescent="0.3">
      <c r="M1" s="75"/>
      <c r="N1" s="76"/>
      <c r="O1" s="76"/>
    </row>
    <row r="2" spans="1:19" x14ac:dyDescent="0.3">
      <c r="M2" s="75"/>
      <c r="N2" s="76"/>
      <c r="O2" s="76"/>
    </row>
    <row r="3" spans="1:19" x14ac:dyDescent="0.3">
      <c r="M3" s="75"/>
      <c r="N3" s="76"/>
      <c r="O3" s="76"/>
    </row>
    <row r="4" spans="1:19" x14ac:dyDescent="0.3">
      <c r="M4" s="75"/>
      <c r="N4" s="76"/>
      <c r="O4" s="76"/>
    </row>
    <row r="5" spans="1:19" x14ac:dyDescent="0.3">
      <c r="M5" s="75"/>
      <c r="N5" s="76"/>
      <c r="O5" s="76"/>
    </row>
    <row r="6" spans="1:19" ht="21" x14ac:dyDescent="0.35">
      <c r="A6" s="116" t="s">
        <v>90</v>
      </c>
      <c r="B6" s="116"/>
      <c r="C6" s="116"/>
      <c r="D6" s="116"/>
      <c r="E6" s="116"/>
      <c r="F6" s="116"/>
      <c r="G6" s="116"/>
      <c r="M6" s="75"/>
      <c r="N6" s="76"/>
      <c r="O6" s="76"/>
    </row>
    <row r="7" spans="1:19" ht="15.75" x14ac:dyDescent="0.3">
      <c r="A7" s="78" t="s">
        <v>67</v>
      </c>
      <c r="B7" s="78"/>
      <c r="C7" s="78"/>
      <c r="D7" s="78"/>
      <c r="E7" s="78"/>
      <c r="F7" s="78"/>
      <c r="G7" s="78"/>
      <c r="M7" s="75"/>
      <c r="N7" s="76"/>
      <c r="O7" s="76"/>
    </row>
    <row r="8" spans="1:19" x14ac:dyDescent="0.3">
      <c r="A8" s="79" t="s">
        <v>88</v>
      </c>
      <c r="B8" s="79"/>
      <c r="C8" s="79"/>
      <c r="D8" s="79"/>
      <c r="E8" s="79"/>
      <c r="F8" s="79"/>
      <c r="G8" s="79"/>
      <c r="M8" s="75"/>
      <c r="N8" s="76"/>
      <c r="O8" s="76"/>
    </row>
    <row r="9" spans="1:19" s="85" customFormat="1" x14ac:dyDescent="0.3">
      <c r="A9" s="80"/>
      <c r="B9" s="80"/>
      <c r="C9" s="80"/>
      <c r="D9" s="80"/>
      <c r="E9" s="80"/>
      <c r="F9" s="80"/>
      <c r="G9" s="80"/>
      <c r="H9" s="81"/>
      <c r="I9" s="81"/>
      <c r="J9" s="81"/>
      <c r="K9" s="81"/>
      <c r="L9" s="82"/>
      <c r="M9" s="82"/>
      <c r="N9" s="83"/>
      <c r="O9" s="83"/>
      <c r="P9" s="84"/>
      <c r="Q9" s="84"/>
      <c r="R9" s="84"/>
      <c r="S9" s="84"/>
    </row>
    <row r="10" spans="1:19" s="85" customFormat="1" ht="15.75" thickBot="1" x14ac:dyDescent="0.35">
      <c r="A10" s="104" t="s">
        <v>20</v>
      </c>
      <c r="B10" s="156">
        <v>2005</v>
      </c>
      <c r="C10" s="156">
        <v>2006</v>
      </c>
      <c r="D10" s="156">
        <v>2007</v>
      </c>
      <c r="E10" s="156">
        <v>2008</v>
      </c>
      <c r="F10" s="156">
        <v>2009</v>
      </c>
      <c r="G10" s="156">
        <v>2010</v>
      </c>
      <c r="H10" s="157">
        <v>2011</v>
      </c>
      <c r="I10" s="157">
        <v>2012</v>
      </c>
      <c r="J10" s="145" t="s">
        <v>95</v>
      </c>
      <c r="K10" s="145" t="s">
        <v>95</v>
      </c>
      <c r="L10" s="158" t="s">
        <v>46</v>
      </c>
    </row>
    <row r="11" spans="1:19" s="85" customFormat="1" x14ac:dyDescent="0.3">
      <c r="A11" s="88" t="s">
        <v>21</v>
      </c>
      <c r="B11" s="81">
        <v>5989</v>
      </c>
      <c r="C11" s="81">
        <v>915</v>
      </c>
      <c r="D11" s="81">
        <v>1835</v>
      </c>
      <c r="E11" s="81">
        <v>382</v>
      </c>
      <c r="F11" s="81">
        <v>191</v>
      </c>
      <c r="G11" s="81">
        <v>225</v>
      </c>
      <c r="H11" s="121">
        <v>94</v>
      </c>
      <c r="I11" s="135">
        <v>75</v>
      </c>
      <c r="J11" s="135"/>
      <c r="K11" s="135"/>
      <c r="L11" s="129">
        <f t="shared" ref="L11:L17" si="0">IF(H11&lt;&gt;0,(I11-H11)/H11,0)</f>
        <v>-0.20212765957446807</v>
      </c>
    </row>
    <row r="12" spans="1:19" s="85" customFormat="1" x14ac:dyDescent="0.3">
      <c r="A12" s="88" t="s">
        <v>22</v>
      </c>
      <c r="B12" s="81">
        <v>2353634</v>
      </c>
      <c r="C12" s="81">
        <v>2658218</v>
      </c>
      <c r="D12" s="81">
        <v>2904738</v>
      </c>
      <c r="E12" s="81">
        <v>3041332</v>
      </c>
      <c r="F12" s="81">
        <v>3601952</v>
      </c>
      <c r="G12" s="81">
        <v>2716228</v>
      </c>
      <c r="H12" s="121">
        <v>3554895</v>
      </c>
      <c r="I12" s="135">
        <v>3748345</v>
      </c>
      <c r="J12" s="135"/>
      <c r="K12" s="135"/>
      <c r="L12" s="129">
        <f t="shared" si="0"/>
        <v>5.4417922329632801E-2</v>
      </c>
    </row>
    <row r="13" spans="1:19" s="89" customFormat="1" ht="14.25" customHeight="1" x14ac:dyDescent="0.3">
      <c r="A13" s="88" t="s">
        <v>23</v>
      </c>
      <c r="B13" s="81">
        <v>5093</v>
      </c>
      <c r="C13" s="81">
        <v>21107</v>
      </c>
      <c r="D13" s="81">
        <v>10187</v>
      </c>
      <c r="E13" s="81">
        <v>24218</v>
      </c>
      <c r="F13" s="81">
        <v>43410</v>
      </c>
      <c r="G13" s="81">
        <v>90361</v>
      </c>
      <c r="H13" s="121">
        <v>10662</v>
      </c>
      <c r="I13" s="135">
        <v>14922</v>
      </c>
      <c r="J13" s="135"/>
      <c r="K13" s="135"/>
      <c r="L13" s="129">
        <f t="shared" si="0"/>
        <v>0.39954980303882948</v>
      </c>
      <c r="M13" s="85"/>
      <c r="N13" s="85"/>
      <c r="P13" s="85"/>
      <c r="Q13" s="85"/>
      <c r="R13" s="85"/>
    </row>
    <row r="14" spans="1:19" s="89" customFormat="1" x14ac:dyDescent="0.3">
      <c r="A14" s="88" t="s">
        <v>37</v>
      </c>
      <c r="B14" s="81"/>
      <c r="C14" s="81"/>
      <c r="D14" s="81">
        <v>0</v>
      </c>
      <c r="E14" s="81">
        <v>50</v>
      </c>
      <c r="F14" s="81"/>
      <c r="G14" s="81"/>
      <c r="H14" s="121">
        <v>0</v>
      </c>
      <c r="I14" s="135">
        <v>0</v>
      </c>
      <c r="J14" s="135"/>
      <c r="K14" s="135"/>
      <c r="L14" s="129">
        <f t="shared" si="0"/>
        <v>0</v>
      </c>
      <c r="M14" s="85"/>
      <c r="N14" s="85"/>
      <c r="P14" s="85"/>
      <c r="Q14" s="85"/>
      <c r="R14" s="85"/>
    </row>
    <row r="15" spans="1:19" s="89" customFormat="1" x14ac:dyDescent="0.3">
      <c r="A15" s="88" t="s">
        <v>59</v>
      </c>
      <c r="B15" s="81">
        <v>23371</v>
      </c>
      <c r="C15" s="81">
        <v>1095</v>
      </c>
      <c r="D15" s="81">
        <v>209</v>
      </c>
      <c r="E15" s="81">
        <v>209</v>
      </c>
      <c r="F15" s="81">
        <v>209</v>
      </c>
      <c r="G15" s="81">
        <v>155</v>
      </c>
      <c r="H15" s="121">
        <f>503+155</f>
        <v>658</v>
      </c>
      <c r="I15" s="135">
        <v>118</v>
      </c>
      <c r="J15" s="135"/>
      <c r="K15" s="135"/>
      <c r="L15" s="129">
        <f t="shared" si="0"/>
        <v>-0.82066869300911849</v>
      </c>
      <c r="M15" s="85"/>
      <c r="N15" s="85"/>
      <c r="P15" s="85"/>
      <c r="Q15" s="85"/>
      <c r="R15" s="85"/>
    </row>
    <row r="16" spans="1:19" s="89" customFormat="1" x14ac:dyDescent="0.3">
      <c r="A16" s="88" t="s">
        <v>26</v>
      </c>
      <c r="B16" s="81">
        <v>1356015</v>
      </c>
      <c r="C16" s="81">
        <v>1347305</v>
      </c>
      <c r="D16" s="81">
        <v>1324771</v>
      </c>
      <c r="E16" s="81">
        <v>891321</v>
      </c>
      <c r="F16" s="81">
        <v>1869198</v>
      </c>
      <c r="G16" s="81">
        <v>3596772</v>
      </c>
      <c r="H16" s="121">
        <v>2979150</v>
      </c>
      <c r="I16" s="135">
        <v>3733696</v>
      </c>
      <c r="J16" s="135"/>
      <c r="K16" s="135"/>
      <c r="L16" s="129">
        <f t="shared" si="0"/>
        <v>0.25327559874460837</v>
      </c>
      <c r="M16" s="85"/>
      <c r="N16" s="85"/>
      <c r="P16" s="85"/>
      <c r="Q16" s="85"/>
      <c r="R16" s="85"/>
    </row>
    <row r="17" spans="1:18" s="89" customFormat="1" ht="15.75" thickBot="1" x14ac:dyDescent="0.35">
      <c r="A17" s="90" t="s">
        <v>27</v>
      </c>
      <c r="B17" s="91">
        <f t="shared" ref="B17:I17" si="1">SUM(B11:B16)</f>
        <v>3744102</v>
      </c>
      <c r="C17" s="91">
        <f t="shared" si="1"/>
        <v>4028640</v>
      </c>
      <c r="D17" s="91">
        <f t="shared" si="1"/>
        <v>4241740</v>
      </c>
      <c r="E17" s="91">
        <f t="shared" si="1"/>
        <v>3957512</v>
      </c>
      <c r="F17" s="91">
        <f t="shared" si="1"/>
        <v>5514960</v>
      </c>
      <c r="G17" s="91">
        <f t="shared" si="1"/>
        <v>6403741</v>
      </c>
      <c r="H17" s="122">
        <f t="shared" si="1"/>
        <v>6545459</v>
      </c>
      <c r="I17" s="137">
        <f t="shared" si="1"/>
        <v>7497156</v>
      </c>
      <c r="J17" s="137"/>
      <c r="K17" s="137"/>
      <c r="L17" s="159">
        <f t="shared" si="0"/>
        <v>0.14539805382632448</v>
      </c>
      <c r="M17" s="85"/>
      <c r="N17" s="85"/>
      <c r="P17" s="85"/>
      <c r="Q17" s="85"/>
      <c r="R17" s="85"/>
    </row>
    <row r="18" spans="1:18" s="85" customFormat="1" x14ac:dyDescent="0.3">
      <c r="B18" s="81"/>
      <c r="C18" s="81"/>
      <c r="D18" s="81"/>
      <c r="E18" s="81"/>
      <c r="F18" s="81"/>
      <c r="G18" s="81"/>
      <c r="H18" s="121"/>
      <c r="I18" s="135"/>
      <c r="J18" s="135"/>
      <c r="K18" s="135"/>
      <c r="L18" s="129"/>
    </row>
    <row r="19" spans="1:18" s="89" customFormat="1" x14ac:dyDescent="0.3">
      <c r="A19" s="104" t="s">
        <v>48</v>
      </c>
      <c r="B19" s="86"/>
      <c r="C19" s="86"/>
      <c r="D19" s="86"/>
      <c r="E19" s="86"/>
      <c r="F19" s="86"/>
      <c r="G19" s="86"/>
      <c r="H19" s="160">
        <v>2011</v>
      </c>
      <c r="I19" s="161">
        <v>2012</v>
      </c>
      <c r="J19" s="161"/>
      <c r="K19" s="161"/>
      <c r="L19" s="162" t="s">
        <v>46</v>
      </c>
      <c r="M19" s="85"/>
      <c r="N19" s="85"/>
      <c r="P19" s="85"/>
      <c r="Q19" s="85"/>
      <c r="R19" s="85"/>
    </row>
    <row r="20" spans="1:18" s="89" customFormat="1" x14ac:dyDescent="0.3">
      <c r="A20" s="88" t="s">
        <v>28</v>
      </c>
      <c r="B20" s="81"/>
      <c r="C20" s="81"/>
      <c r="D20" s="81">
        <v>7000</v>
      </c>
      <c r="E20" s="81">
        <v>7000</v>
      </c>
      <c r="F20" s="81">
        <v>0</v>
      </c>
      <c r="G20" s="81">
        <v>445</v>
      </c>
      <c r="H20" s="121">
        <v>0</v>
      </c>
      <c r="I20" s="135">
        <v>7</v>
      </c>
      <c r="J20" s="135"/>
      <c r="K20" s="135"/>
      <c r="L20" s="129">
        <f t="shared" ref="L20:L28" si="2">IF(H20&lt;&gt;0,(I20-H20)/H20,0)</f>
        <v>0</v>
      </c>
      <c r="M20" s="85"/>
      <c r="N20" s="85"/>
      <c r="P20" s="85"/>
      <c r="Q20" s="85"/>
      <c r="R20" s="85"/>
    </row>
    <row r="21" spans="1:18" s="89" customFormat="1" x14ac:dyDescent="0.3">
      <c r="A21" s="88" t="s">
        <v>29</v>
      </c>
      <c r="B21" s="81">
        <v>37598</v>
      </c>
      <c r="C21" s="81">
        <v>60127</v>
      </c>
      <c r="D21" s="81">
        <v>62571</v>
      </c>
      <c r="E21" s="81">
        <v>71267</v>
      </c>
      <c r="F21" s="81">
        <v>111498</v>
      </c>
      <c r="G21" s="81">
        <v>70420</v>
      </c>
      <c r="H21" s="121">
        <v>59466</v>
      </c>
      <c r="I21" s="135">
        <v>65082</v>
      </c>
      <c r="J21" s="135"/>
      <c r="K21" s="135"/>
      <c r="L21" s="129">
        <f t="shared" si="2"/>
        <v>9.4440520633639391E-2</v>
      </c>
      <c r="M21" s="85"/>
      <c r="N21" s="85"/>
      <c r="P21" s="85"/>
      <c r="Q21" s="85"/>
      <c r="R21" s="85"/>
    </row>
    <row r="22" spans="1:18" s="85" customFormat="1" x14ac:dyDescent="0.3">
      <c r="A22" s="88" t="s">
        <v>30</v>
      </c>
      <c r="B22" s="81">
        <v>3128</v>
      </c>
      <c r="C22" s="81">
        <v>98</v>
      </c>
      <c r="D22" s="81">
        <v>645</v>
      </c>
      <c r="E22" s="81">
        <v>1762</v>
      </c>
      <c r="F22" s="81">
        <v>430</v>
      </c>
      <c r="G22" s="81">
        <v>604</v>
      </c>
      <c r="H22" s="121">
        <v>585</v>
      </c>
      <c r="I22" s="135">
        <v>657</v>
      </c>
      <c r="J22" s="135"/>
      <c r="K22" s="135"/>
      <c r="L22" s="129">
        <f t="shared" si="2"/>
        <v>0.12307692307692308</v>
      </c>
    </row>
    <row r="23" spans="1:18" s="85" customFormat="1" x14ac:dyDescent="0.3">
      <c r="A23" s="88" t="s">
        <v>31</v>
      </c>
      <c r="B23" s="81">
        <v>247</v>
      </c>
      <c r="C23" s="81">
        <v>501</v>
      </c>
      <c r="D23" s="81">
        <v>686</v>
      </c>
      <c r="E23" s="81">
        <v>940</v>
      </c>
      <c r="F23" s="81">
        <v>650</v>
      </c>
      <c r="G23" s="81">
        <v>947</v>
      </c>
      <c r="H23" s="121">
        <v>872</v>
      </c>
      <c r="I23" s="135">
        <v>481</v>
      </c>
      <c r="J23" s="135"/>
      <c r="K23" s="135"/>
      <c r="L23" s="129">
        <f t="shared" si="2"/>
        <v>-0.44839449541284404</v>
      </c>
    </row>
    <row r="24" spans="1:18" s="85" customFormat="1" x14ac:dyDescent="0.3">
      <c r="A24" s="88" t="s">
        <v>32</v>
      </c>
      <c r="B24" s="81"/>
      <c r="C24" s="81"/>
      <c r="D24" s="81"/>
      <c r="E24" s="81"/>
      <c r="F24" s="81"/>
      <c r="G24" s="81"/>
      <c r="H24" s="121">
        <v>0</v>
      </c>
      <c r="I24" s="135">
        <v>0</v>
      </c>
      <c r="J24" s="135"/>
      <c r="K24" s="135"/>
      <c r="L24" s="129">
        <f t="shared" si="2"/>
        <v>0</v>
      </c>
    </row>
    <row r="25" spans="1:18" s="85" customFormat="1" x14ac:dyDescent="0.3">
      <c r="A25" s="88" t="s">
        <v>87</v>
      </c>
      <c r="B25" s="81">
        <v>2356</v>
      </c>
      <c r="C25" s="81">
        <v>2509</v>
      </c>
      <c r="D25" s="81">
        <v>2679</v>
      </c>
      <c r="E25" s="81">
        <v>2934</v>
      </c>
      <c r="F25" s="81">
        <v>3179</v>
      </c>
      <c r="G25" s="81">
        <v>7650</v>
      </c>
      <c r="H25" s="121">
        <v>8296</v>
      </c>
      <c r="I25" s="135">
        <v>8803</v>
      </c>
      <c r="J25" s="135"/>
      <c r="K25" s="135"/>
      <c r="L25" s="129">
        <f t="shared" si="2"/>
        <v>6.1113789778206362E-2</v>
      </c>
    </row>
    <row r="26" spans="1:18" s="95" customFormat="1" x14ac:dyDescent="0.3">
      <c r="A26" s="93" t="s">
        <v>33</v>
      </c>
      <c r="B26" s="80">
        <f t="shared" ref="B26:G26" si="3">SUM(B20:B25)</f>
        <v>43329</v>
      </c>
      <c r="C26" s="80">
        <f t="shared" si="3"/>
        <v>63235</v>
      </c>
      <c r="D26" s="80">
        <f t="shared" si="3"/>
        <v>73581</v>
      </c>
      <c r="E26" s="80">
        <f t="shared" si="3"/>
        <v>83903</v>
      </c>
      <c r="F26" s="80">
        <f t="shared" si="3"/>
        <v>115757</v>
      </c>
      <c r="G26" s="80">
        <f t="shared" si="3"/>
        <v>80066</v>
      </c>
      <c r="H26" s="123">
        <f>SUM(H20:H25)</f>
        <v>69219</v>
      </c>
      <c r="I26" s="134">
        <f>SUM(I20:I25)</f>
        <v>75030</v>
      </c>
      <c r="J26" s="134"/>
      <c r="K26" s="134"/>
      <c r="L26" s="138">
        <f t="shared" si="2"/>
        <v>8.3950938326182112E-2</v>
      </c>
      <c r="N26" s="85"/>
      <c r="P26" s="85"/>
      <c r="Q26" s="85"/>
      <c r="R26" s="85"/>
    </row>
    <row r="27" spans="1:18" s="95" customFormat="1" x14ac:dyDescent="0.3">
      <c r="A27" s="96" t="s">
        <v>34</v>
      </c>
      <c r="B27" s="97">
        <v>3700773</v>
      </c>
      <c r="C27" s="97">
        <v>3965405</v>
      </c>
      <c r="D27" s="97">
        <v>4168159</v>
      </c>
      <c r="E27" s="97">
        <v>3873609</v>
      </c>
      <c r="F27" s="97">
        <v>5399203</v>
      </c>
      <c r="G27" s="97">
        <v>6323675</v>
      </c>
      <c r="H27" s="124">
        <v>6476240</v>
      </c>
      <c r="I27" s="163">
        <v>7422126</v>
      </c>
      <c r="J27" s="163"/>
      <c r="K27" s="163"/>
      <c r="L27" s="131">
        <f t="shared" si="2"/>
        <v>0.14605480958086792</v>
      </c>
      <c r="N27" s="85"/>
      <c r="P27" s="85"/>
      <c r="Q27" s="85"/>
      <c r="R27" s="85"/>
    </row>
    <row r="28" spans="1:18" s="95" customFormat="1" ht="15.75" thickBot="1" x14ac:dyDescent="0.35">
      <c r="A28" s="90" t="s">
        <v>35</v>
      </c>
      <c r="B28" s="91">
        <f t="shared" ref="B28:G28" si="4">+B26+B27</f>
        <v>3744102</v>
      </c>
      <c r="C28" s="91">
        <f t="shared" si="4"/>
        <v>4028640</v>
      </c>
      <c r="D28" s="91">
        <f t="shared" si="4"/>
        <v>4241740</v>
      </c>
      <c r="E28" s="91">
        <f t="shared" si="4"/>
        <v>3957512</v>
      </c>
      <c r="F28" s="91">
        <f t="shared" si="4"/>
        <v>5514960</v>
      </c>
      <c r="G28" s="91">
        <f t="shared" si="4"/>
        <v>6403741</v>
      </c>
      <c r="H28" s="122">
        <f>+H26+H27</f>
        <v>6545459</v>
      </c>
      <c r="I28" s="137">
        <f>+I26+I27</f>
        <v>7497156</v>
      </c>
      <c r="J28" s="137"/>
      <c r="K28" s="137"/>
      <c r="L28" s="130">
        <f t="shared" si="2"/>
        <v>0.14539805382632448</v>
      </c>
      <c r="N28" s="85"/>
      <c r="P28" s="85"/>
      <c r="Q28" s="85"/>
      <c r="R28" s="85"/>
    </row>
    <row r="29" spans="1:18" s="85" customFormat="1" x14ac:dyDescent="0.3">
      <c r="A29" s="88" t="s">
        <v>54</v>
      </c>
      <c r="B29" s="81">
        <v>435123458</v>
      </c>
      <c r="C29" s="81">
        <v>435123458</v>
      </c>
      <c r="D29" s="81">
        <v>435123458</v>
      </c>
      <c r="E29" s="81">
        <v>435123458</v>
      </c>
      <c r="F29" s="81">
        <v>435123458</v>
      </c>
      <c r="G29" s="81">
        <v>435123458</v>
      </c>
      <c r="H29" s="121">
        <f>435123458+25000000</f>
        <v>460123458</v>
      </c>
      <c r="I29" s="135">
        <f>435123458+25000000</f>
        <v>460123458</v>
      </c>
      <c r="J29" s="135"/>
      <c r="K29" s="135"/>
      <c r="L29" s="129"/>
    </row>
    <row r="30" spans="1:18" s="85" customFormat="1" x14ac:dyDescent="0.3">
      <c r="A30" s="88" t="s">
        <v>71</v>
      </c>
      <c r="B30" s="100">
        <f t="shared" ref="B30:I30" si="5">+B27/+(B29/1000000)</f>
        <v>8505.1102898708796</v>
      </c>
      <c r="C30" s="100">
        <f t="shared" si="5"/>
        <v>9113.2871075868297</v>
      </c>
      <c r="D30" s="100">
        <f t="shared" si="5"/>
        <v>9579.2560096817397</v>
      </c>
      <c r="E30" s="100">
        <f t="shared" si="5"/>
        <v>8902.3216946395933</v>
      </c>
      <c r="F30" s="100">
        <f t="shared" si="5"/>
        <v>12408.439261851976</v>
      </c>
      <c r="G30" s="100">
        <f t="shared" si="5"/>
        <v>14533.059258781675</v>
      </c>
      <c r="H30" s="164">
        <f t="shared" si="5"/>
        <v>14075.005060924323</v>
      </c>
      <c r="I30" s="165">
        <f t="shared" si="5"/>
        <v>16130.727244947375</v>
      </c>
      <c r="J30" s="165"/>
      <c r="K30" s="165"/>
      <c r="L30" s="129"/>
    </row>
    <row r="31" spans="1:18" s="85" customFormat="1" x14ac:dyDescent="0.3">
      <c r="A31" s="115"/>
      <c r="B31" s="115"/>
      <c r="C31" s="115"/>
      <c r="D31" s="115"/>
      <c r="E31" s="115"/>
      <c r="F31" s="81"/>
      <c r="G31" s="115"/>
      <c r="H31" s="100"/>
      <c r="I31" s="100"/>
      <c r="J31" s="100"/>
      <c r="K31" s="100"/>
      <c r="L31" s="82"/>
    </row>
    <row r="32" spans="1:18" s="85" customFormat="1" x14ac:dyDescent="0.3">
      <c r="A32" s="115"/>
      <c r="B32" s="115"/>
      <c r="C32" s="115"/>
      <c r="D32" s="115"/>
      <c r="E32" s="115"/>
      <c r="F32" s="100"/>
      <c r="G32" s="115"/>
      <c r="H32" s="100"/>
      <c r="I32" s="100"/>
      <c r="J32" s="100"/>
      <c r="K32" s="100"/>
      <c r="L32" s="82"/>
    </row>
    <row r="33" spans="1:16" ht="21" x14ac:dyDescent="0.35">
      <c r="A33" s="116" t="s">
        <v>92</v>
      </c>
      <c r="B33" s="116"/>
      <c r="C33" s="116"/>
      <c r="D33" s="116"/>
      <c r="E33" s="116"/>
      <c r="F33" s="116"/>
      <c r="G33" s="116"/>
      <c r="M33" s="75"/>
      <c r="N33" s="76"/>
      <c r="O33" s="76"/>
    </row>
    <row r="34" spans="1:16" ht="15.75" x14ac:dyDescent="0.3">
      <c r="A34" s="78" t="s">
        <v>93</v>
      </c>
      <c r="B34" s="78"/>
      <c r="C34" s="78"/>
      <c r="D34" s="78"/>
      <c r="E34" s="78"/>
      <c r="F34" s="78"/>
      <c r="G34" s="78"/>
      <c r="M34" s="75"/>
      <c r="N34" s="76"/>
      <c r="O34" s="76"/>
    </row>
    <row r="35" spans="1:16" x14ac:dyDescent="0.3">
      <c r="A35" s="79" t="s">
        <v>88</v>
      </c>
      <c r="B35" s="79"/>
      <c r="C35" s="79"/>
      <c r="D35" s="79"/>
      <c r="E35" s="79"/>
      <c r="F35" s="79"/>
      <c r="G35" s="79"/>
      <c r="M35" s="75"/>
      <c r="N35" s="76"/>
      <c r="O35" s="76"/>
    </row>
    <row r="36" spans="1:16" s="85" customFormat="1" x14ac:dyDescent="0.3">
      <c r="H36" s="81"/>
      <c r="I36" s="81"/>
      <c r="J36" s="81"/>
      <c r="K36" s="81"/>
      <c r="L36" s="82"/>
    </row>
    <row r="37" spans="1:16" s="85" customFormat="1" ht="15.75" thickBot="1" x14ac:dyDescent="0.35">
      <c r="B37" s="156">
        <v>2005</v>
      </c>
      <c r="C37" s="156">
        <v>2006</v>
      </c>
      <c r="D37" s="156">
        <v>2007</v>
      </c>
      <c r="E37" s="156">
        <v>2008</v>
      </c>
      <c r="F37" s="156">
        <v>2009</v>
      </c>
      <c r="G37" s="156">
        <v>2010</v>
      </c>
      <c r="H37" s="157">
        <v>2011</v>
      </c>
      <c r="I37" s="157">
        <v>2012</v>
      </c>
      <c r="J37" s="157"/>
      <c r="K37" s="157"/>
      <c r="L37" s="167" t="s">
        <v>46</v>
      </c>
    </row>
    <row r="38" spans="1:16" s="95" customFormat="1" x14ac:dyDescent="0.3">
      <c r="A38" s="85" t="s">
        <v>72</v>
      </c>
      <c r="B38" s="80">
        <v>158869</v>
      </c>
      <c r="C38" s="80">
        <v>163042</v>
      </c>
      <c r="D38" s="80">
        <v>231987</v>
      </c>
      <c r="E38" s="80">
        <v>268897</v>
      </c>
      <c r="F38" s="80">
        <v>212895</v>
      </c>
      <c r="G38" s="80">
        <v>239836</v>
      </c>
      <c r="H38" s="123">
        <v>223644</v>
      </c>
      <c r="I38" s="134">
        <v>312990</v>
      </c>
      <c r="J38" s="134"/>
      <c r="K38" s="134"/>
      <c r="L38" s="129">
        <f>IF(H38&lt;&gt;0,(I38-H38)/H38,0)</f>
        <v>0.39950099264903149</v>
      </c>
      <c r="M38" s="169"/>
      <c r="N38" s="85"/>
      <c r="O38" s="85"/>
      <c r="P38" s="85"/>
    </row>
    <row r="39" spans="1:16" s="85" customFormat="1" x14ac:dyDescent="0.3">
      <c r="A39" s="85" t="s">
        <v>5</v>
      </c>
      <c r="B39" s="81">
        <v>17762</v>
      </c>
      <c r="C39" s="81">
        <v>56828</v>
      </c>
      <c r="D39" s="81">
        <v>2685</v>
      </c>
      <c r="E39" s="81">
        <v>2704</v>
      </c>
      <c r="F39" s="81">
        <v>0</v>
      </c>
      <c r="G39" s="81">
        <v>1579</v>
      </c>
      <c r="H39" s="121">
        <v>11024</v>
      </c>
      <c r="I39" s="135">
        <v>0</v>
      </c>
      <c r="J39" s="135"/>
      <c r="K39" s="135"/>
      <c r="L39" s="129">
        <f t="shared" ref="L39:L49" si="6">IF(H39&lt;&gt;0,(I39-H39)/H39,0)</f>
        <v>-1</v>
      </c>
      <c r="M39" s="169"/>
    </row>
    <row r="40" spans="1:16" s="95" customFormat="1" x14ac:dyDescent="0.3">
      <c r="A40" s="85" t="s">
        <v>57</v>
      </c>
      <c r="B40" s="81">
        <v>11795</v>
      </c>
      <c r="C40" s="81">
        <v>16684</v>
      </c>
      <c r="D40" s="81">
        <v>11678</v>
      </c>
      <c r="E40" s="81">
        <v>14746</v>
      </c>
      <c r="F40" s="81">
        <v>12979</v>
      </c>
      <c r="G40" s="81">
        <v>30953</v>
      </c>
      <c r="H40" s="121">
        <v>33432</v>
      </c>
      <c r="I40" s="135">
        <v>35105</v>
      </c>
      <c r="J40" s="135"/>
      <c r="K40" s="135"/>
      <c r="L40" s="129">
        <f t="shared" si="6"/>
        <v>5.0041876046901169E-2</v>
      </c>
      <c r="M40" s="169"/>
      <c r="N40" s="85"/>
      <c r="O40" s="85"/>
      <c r="P40" s="85"/>
    </row>
    <row r="41" spans="1:16" s="95" customFormat="1" x14ac:dyDescent="0.3">
      <c r="A41" s="85" t="s">
        <v>56</v>
      </c>
      <c r="B41" s="81">
        <v>2490</v>
      </c>
      <c r="C41" s="81">
        <v>7447</v>
      </c>
      <c r="D41" s="81">
        <v>5519</v>
      </c>
      <c r="E41" s="81">
        <v>13179</v>
      </c>
      <c r="F41" s="81">
        <v>10094</v>
      </c>
      <c r="G41" s="81">
        <v>13131</v>
      </c>
      <c r="H41" s="121">
        <v>7221</v>
      </c>
      <c r="I41" s="135">
        <v>8379</v>
      </c>
      <c r="J41" s="135"/>
      <c r="K41" s="135"/>
      <c r="L41" s="129">
        <f t="shared" si="6"/>
        <v>0.16036560033236394</v>
      </c>
      <c r="M41" s="169"/>
      <c r="N41" s="85"/>
      <c r="O41" s="85"/>
      <c r="P41" s="85"/>
    </row>
    <row r="42" spans="1:16" s="95" customFormat="1" x14ac:dyDescent="0.3">
      <c r="A42" s="95" t="s">
        <v>4</v>
      </c>
      <c r="B42" s="80">
        <f t="shared" ref="B42:G42" si="7">SUM(B38:B41)</f>
        <v>190916</v>
      </c>
      <c r="C42" s="80">
        <f t="shared" si="7"/>
        <v>244001</v>
      </c>
      <c r="D42" s="80">
        <f t="shared" si="7"/>
        <v>251869</v>
      </c>
      <c r="E42" s="80">
        <f t="shared" si="7"/>
        <v>299526</v>
      </c>
      <c r="F42" s="80">
        <f t="shared" si="7"/>
        <v>235968</v>
      </c>
      <c r="G42" s="80">
        <f t="shared" si="7"/>
        <v>285499</v>
      </c>
      <c r="H42" s="123">
        <f>SUM(H38:H41)</f>
        <v>275321</v>
      </c>
      <c r="I42" s="134">
        <f>SUM(I38:I41)</f>
        <v>356474</v>
      </c>
      <c r="J42" s="134"/>
      <c r="K42" s="134"/>
      <c r="L42" s="129">
        <f t="shared" si="6"/>
        <v>0.29475775549267946</v>
      </c>
      <c r="M42" s="169"/>
      <c r="N42" s="85"/>
      <c r="O42" s="85"/>
      <c r="P42" s="85"/>
    </row>
    <row r="43" spans="1:16" s="85" customFormat="1" x14ac:dyDescent="0.3">
      <c r="A43" s="85" t="s">
        <v>58</v>
      </c>
      <c r="B43" s="81">
        <v>-22106</v>
      </c>
      <c r="C43" s="81">
        <v>-41421</v>
      </c>
      <c r="D43" s="81">
        <v>-7188</v>
      </c>
      <c r="E43" s="81">
        <v>-8773</v>
      </c>
      <c r="F43" s="81">
        <v>-8740</v>
      </c>
      <c r="G43" s="81">
        <v>-11563</v>
      </c>
      <c r="H43" s="121">
        <v>-9004</v>
      </c>
      <c r="I43" s="135">
        <v>-10090</v>
      </c>
      <c r="J43" s="135"/>
      <c r="K43" s="135"/>
      <c r="L43" s="129">
        <f t="shared" si="6"/>
        <v>0.12061306086183918</v>
      </c>
      <c r="M43" s="169"/>
    </row>
    <row r="44" spans="1:16" s="95" customFormat="1" x14ac:dyDescent="0.3">
      <c r="A44" s="95" t="s">
        <v>42</v>
      </c>
      <c r="B44" s="80">
        <f t="shared" ref="B44:G44" si="8">SUM(B42:B43)</f>
        <v>168810</v>
      </c>
      <c r="C44" s="80">
        <f t="shared" si="8"/>
        <v>202580</v>
      </c>
      <c r="D44" s="80">
        <f t="shared" si="8"/>
        <v>244681</v>
      </c>
      <c r="E44" s="80">
        <f t="shared" si="8"/>
        <v>290753</v>
      </c>
      <c r="F44" s="80">
        <f t="shared" si="8"/>
        <v>227228</v>
      </c>
      <c r="G44" s="80">
        <f t="shared" si="8"/>
        <v>273936</v>
      </c>
      <c r="H44" s="123">
        <f>SUM(H42:H43)</f>
        <v>266317</v>
      </c>
      <c r="I44" s="134">
        <f>SUM(I42:I43)</f>
        <v>346384</v>
      </c>
      <c r="J44" s="134"/>
      <c r="K44" s="134"/>
      <c r="L44" s="129">
        <f t="shared" si="6"/>
        <v>0.30064547137433961</v>
      </c>
      <c r="M44" s="169"/>
      <c r="N44" s="85"/>
      <c r="O44" s="85"/>
      <c r="P44" s="85"/>
    </row>
    <row r="45" spans="1:16" s="95" customFormat="1" x14ac:dyDescent="0.3">
      <c r="A45" s="85" t="s">
        <v>10</v>
      </c>
      <c r="B45" s="81">
        <v>4490</v>
      </c>
      <c r="C45" s="81">
        <v>8391</v>
      </c>
      <c r="D45" s="81">
        <v>80</v>
      </c>
      <c r="E45" s="81">
        <v>960</v>
      </c>
      <c r="F45" s="81">
        <v>214</v>
      </c>
      <c r="G45" s="81">
        <v>7839</v>
      </c>
      <c r="H45" s="121">
        <v>814</v>
      </c>
      <c r="I45" s="135">
        <v>851</v>
      </c>
      <c r="J45" s="135"/>
      <c r="K45" s="135"/>
      <c r="L45" s="129">
        <f t="shared" si="6"/>
        <v>4.5454545454545456E-2</v>
      </c>
      <c r="M45" s="169"/>
      <c r="N45" s="85"/>
      <c r="O45" s="85"/>
      <c r="P45" s="85"/>
    </row>
    <row r="46" spans="1:16" s="85" customFormat="1" x14ac:dyDescent="0.3">
      <c r="A46" s="85" t="s">
        <v>13</v>
      </c>
      <c r="B46" s="81">
        <v>-388</v>
      </c>
      <c r="C46" s="81">
        <v>-60</v>
      </c>
      <c r="D46" s="81">
        <v>-279</v>
      </c>
      <c r="E46" s="81">
        <v>-633</v>
      </c>
      <c r="F46" s="81">
        <v>-1741</v>
      </c>
      <c r="G46" s="81">
        <v>-1496</v>
      </c>
      <c r="H46" s="121">
        <v>-11022</v>
      </c>
      <c r="I46" s="135">
        <v>-1390</v>
      </c>
      <c r="J46" s="135"/>
      <c r="K46" s="135"/>
      <c r="L46" s="129">
        <f t="shared" si="6"/>
        <v>-0.87388858646343681</v>
      </c>
      <c r="M46" s="169"/>
    </row>
    <row r="47" spans="1:16" s="95" customFormat="1" x14ac:dyDescent="0.3">
      <c r="A47" s="95" t="s">
        <v>43</v>
      </c>
      <c r="B47" s="80">
        <f t="shared" ref="B47:G47" si="9">SUM(B44:B46)</f>
        <v>172912</v>
      </c>
      <c r="C47" s="80">
        <f t="shared" si="9"/>
        <v>210911</v>
      </c>
      <c r="D47" s="80">
        <f t="shared" si="9"/>
        <v>244482</v>
      </c>
      <c r="E47" s="80">
        <f t="shared" si="9"/>
        <v>291080</v>
      </c>
      <c r="F47" s="80">
        <f t="shared" si="9"/>
        <v>225701</v>
      </c>
      <c r="G47" s="80">
        <f t="shared" si="9"/>
        <v>280279</v>
      </c>
      <c r="H47" s="123">
        <f>SUM(H44:H46)</f>
        <v>256109</v>
      </c>
      <c r="I47" s="134">
        <f>SUM(I44:I46)</f>
        <v>345845</v>
      </c>
      <c r="J47" s="134"/>
      <c r="K47" s="134"/>
      <c r="L47" s="129">
        <f t="shared" si="6"/>
        <v>0.35038206388686066</v>
      </c>
      <c r="M47" s="169"/>
      <c r="N47" s="85"/>
      <c r="O47" s="85"/>
      <c r="P47" s="85"/>
    </row>
    <row r="48" spans="1:16" s="85" customFormat="1" x14ac:dyDescent="0.3">
      <c r="A48" s="85" t="s">
        <v>15</v>
      </c>
      <c r="B48" s="81">
        <v>-3501</v>
      </c>
      <c r="C48" s="81">
        <v>-214</v>
      </c>
      <c r="D48" s="81">
        <v>-190</v>
      </c>
      <c r="E48" s="81">
        <v>-74</v>
      </c>
      <c r="F48" s="81">
        <v>-205</v>
      </c>
      <c r="G48" s="81">
        <v>-1876</v>
      </c>
      <c r="H48" s="121">
        <v>-127</v>
      </c>
      <c r="I48" s="135">
        <v>-361</v>
      </c>
      <c r="J48" s="135"/>
      <c r="K48" s="135"/>
      <c r="L48" s="129">
        <f t="shared" si="6"/>
        <v>1.8425196850393701</v>
      </c>
      <c r="M48" s="169"/>
    </row>
    <row r="49" spans="1:13" s="85" customFormat="1" ht="15.75" thickBot="1" x14ac:dyDescent="0.35">
      <c r="A49" s="102" t="s">
        <v>17</v>
      </c>
      <c r="B49" s="103">
        <f t="shared" ref="B49:G49" si="10">SUM(B47:B48)</f>
        <v>169411</v>
      </c>
      <c r="C49" s="103">
        <f t="shared" si="10"/>
        <v>210697</v>
      </c>
      <c r="D49" s="103">
        <f t="shared" si="10"/>
        <v>244292</v>
      </c>
      <c r="E49" s="103">
        <f t="shared" si="10"/>
        <v>291006</v>
      </c>
      <c r="F49" s="103">
        <f t="shared" si="10"/>
        <v>225496</v>
      </c>
      <c r="G49" s="103">
        <f t="shared" si="10"/>
        <v>278403</v>
      </c>
      <c r="H49" s="168">
        <f>SUM(H47:H48)</f>
        <v>255982</v>
      </c>
      <c r="I49" s="166">
        <f>SUM(I47:I48)</f>
        <v>345484</v>
      </c>
      <c r="J49" s="166"/>
      <c r="K49" s="166"/>
      <c r="L49" s="130">
        <f t="shared" si="6"/>
        <v>0.34964177168707172</v>
      </c>
      <c r="M49" s="169"/>
    </row>
    <row r="50" spans="1:13" s="85" customFormat="1" x14ac:dyDescent="0.3">
      <c r="C50" s="80"/>
      <c r="H50" s="81"/>
      <c r="I50" s="81"/>
      <c r="J50" s="81"/>
      <c r="K50" s="81"/>
      <c r="L50" s="82"/>
    </row>
    <row r="51" spans="1:13" s="85" customFormat="1" x14ac:dyDescent="0.3">
      <c r="C51" s="81"/>
      <c r="H51" s="81"/>
      <c r="I51" s="81"/>
      <c r="J51" s="81"/>
      <c r="K51" s="81"/>
      <c r="L51" s="82"/>
    </row>
    <row r="52" spans="1:13" s="85" customFormat="1" x14ac:dyDescent="0.3">
      <c r="C52" s="81"/>
      <c r="E52" s="80"/>
      <c r="H52" s="81"/>
      <c r="I52" s="81"/>
      <c r="J52" s="81"/>
      <c r="K52" s="81"/>
      <c r="L52" s="82"/>
    </row>
    <row r="53" spans="1:13" s="85" customFormat="1" x14ac:dyDescent="0.3">
      <c r="C53" s="81"/>
      <c r="E53" s="81"/>
      <c r="H53" s="81"/>
      <c r="I53" s="81"/>
      <c r="J53" s="81"/>
      <c r="K53" s="81"/>
      <c r="L53" s="82"/>
    </row>
    <row r="54" spans="1:13" s="85" customFormat="1" x14ac:dyDescent="0.3">
      <c r="C54" s="80"/>
      <c r="E54" s="81"/>
      <c r="H54" s="81"/>
      <c r="I54" s="81"/>
      <c r="J54" s="81"/>
      <c r="K54" s="81"/>
      <c r="L54" s="82"/>
    </row>
    <row r="55" spans="1:13" s="85" customFormat="1" x14ac:dyDescent="0.3">
      <c r="C55" s="81"/>
      <c r="E55" s="81"/>
      <c r="H55" s="81"/>
      <c r="I55" s="81"/>
      <c r="J55" s="81"/>
      <c r="K55" s="81"/>
      <c r="L55" s="82"/>
    </row>
    <row r="56" spans="1:13" x14ac:dyDescent="0.3">
      <c r="C56" s="80"/>
      <c r="E56" s="80"/>
    </row>
    <row r="57" spans="1:13" x14ac:dyDescent="0.3">
      <c r="C57" s="81"/>
      <c r="E57" s="81"/>
    </row>
    <row r="58" spans="1:13" x14ac:dyDescent="0.3">
      <c r="C58" s="81"/>
      <c r="E58" s="80"/>
    </row>
  </sheetData>
  <pageMargins left="0.7" right="0.7" top="0.75" bottom="0.75" header="0.3" footer="0.3"/>
  <customProperties>
    <customPr name="_pios_id" r:id="rId1"/>
  </customPropertie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44"/>
  <sheetViews>
    <sheetView workbookViewId="0"/>
  </sheetViews>
  <sheetFormatPr baseColWidth="10" defaultColWidth="11.42578125" defaultRowHeight="15" x14ac:dyDescent="0.3"/>
  <cols>
    <col min="1" max="1" width="43.7109375" style="5" customWidth="1"/>
    <col min="2" max="3" width="11.7109375" style="2" bestFit="1" customWidth="1"/>
    <col min="4" max="4" width="13.28515625" style="3" bestFit="1" customWidth="1"/>
    <col min="5" max="6" width="11.42578125" style="5"/>
    <col min="7" max="7" width="11.5703125" style="11" bestFit="1" customWidth="1"/>
    <col min="8" max="8" width="11.5703125" style="5" bestFit="1" customWidth="1"/>
    <col min="9" max="16384" width="11.42578125" style="5"/>
  </cols>
  <sheetData>
    <row r="1" spans="1:4" x14ac:dyDescent="0.3">
      <c r="A1" s="24" t="s">
        <v>69</v>
      </c>
    </row>
    <row r="2" spans="1:4" x14ac:dyDescent="0.3">
      <c r="A2" s="24" t="s">
        <v>63</v>
      </c>
    </row>
    <row r="3" spans="1:4" x14ac:dyDescent="0.3">
      <c r="A3" s="24" t="s">
        <v>44</v>
      </c>
    </row>
    <row r="4" spans="1:4" x14ac:dyDescent="0.3">
      <c r="A4" s="24" t="s">
        <v>45</v>
      </c>
    </row>
    <row r="5" spans="1:4" ht="12" customHeight="1" x14ac:dyDescent="0.3"/>
    <row r="6" spans="1:4" x14ac:dyDescent="0.3">
      <c r="A6" s="6" t="s">
        <v>20</v>
      </c>
      <c r="B6" s="6">
        <v>2006</v>
      </c>
      <c r="C6" s="6">
        <v>2007</v>
      </c>
      <c r="D6" s="7" t="s">
        <v>46</v>
      </c>
    </row>
    <row r="7" spans="1:4" x14ac:dyDescent="0.3">
      <c r="A7" s="18" t="s">
        <v>21</v>
      </c>
      <c r="B7" s="14">
        <v>33540</v>
      </c>
      <c r="C7" s="14">
        <v>1609</v>
      </c>
      <c r="D7" s="17">
        <f t="shared" ref="D7:D12" si="0">IF(B7&lt;&gt;0,(C7-B7)/B7,0)</f>
        <v>-0.9520274299344067</v>
      </c>
    </row>
    <row r="8" spans="1:4" x14ac:dyDescent="0.3">
      <c r="A8" s="18" t="s">
        <v>22</v>
      </c>
      <c r="B8" s="14">
        <v>2297612</v>
      </c>
      <c r="C8" s="14">
        <v>2666070</v>
      </c>
      <c r="D8" s="17">
        <f t="shared" si="0"/>
        <v>0.16036563179509855</v>
      </c>
    </row>
    <row r="9" spans="1:4" x14ac:dyDescent="0.3">
      <c r="A9" s="18" t="s">
        <v>23</v>
      </c>
      <c r="B9" s="14">
        <v>24472</v>
      </c>
      <c r="C9" s="14">
        <v>21521</v>
      </c>
      <c r="D9" s="17">
        <f t="shared" si="0"/>
        <v>-0.1205867930696306</v>
      </c>
    </row>
    <row r="10" spans="1:4" x14ac:dyDescent="0.3">
      <c r="A10" s="18" t="s">
        <v>59</v>
      </c>
      <c r="B10" s="14">
        <v>15710</v>
      </c>
      <c r="C10" s="14">
        <v>927</v>
      </c>
      <c r="D10" s="17">
        <f t="shared" si="0"/>
        <v>-0.94099299809038828</v>
      </c>
    </row>
    <row r="11" spans="1:4" x14ac:dyDescent="0.3">
      <c r="A11" s="18" t="s">
        <v>26</v>
      </c>
      <c r="B11" s="14">
        <v>844984</v>
      </c>
      <c r="C11" s="14">
        <v>1222939</v>
      </c>
      <c r="D11" s="17">
        <f t="shared" si="0"/>
        <v>0.44729249311229563</v>
      </c>
    </row>
    <row r="12" spans="1:4" ht="15.75" thickBot="1" x14ac:dyDescent="0.35">
      <c r="A12" s="26" t="s">
        <v>27</v>
      </c>
      <c r="B12" s="27">
        <f>SUM(B7:B11)</f>
        <v>3216318</v>
      </c>
      <c r="C12" s="27">
        <f>SUM(C7:C11)</f>
        <v>3913066</v>
      </c>
      <c r="D12" s="46">
        <f t="shared" si="0"/>
        <v>0.21662907709996337</v>
      </c>
    </row>
    <row r="14" spans="1:4" x14ac:dyDescent="0.3">
      <c r="A14" s="6" t="s">
        <v>48</v>
      </c>
      <c r="B14" s="6">
        <v>2006</v>
      </c>
      <c r="C14" s="6">
        <v>2007</v>
      </c>
      <c r="D14" s="7" t="s">
        <v>46</v>
      </c>
    </row>
    <row r="15" spans="1:4" x14ac:dyDescent="0.3">
      <c r="A15" s="18" t="s">
        <v>28</v>
      </c>
      <c r="B15" s="14"/>
      <c r="C15" s="14">
        <v>7000</v>
      </c>
      <c r="D15" s="17">
        <f t="shared" ref="D15:D23" si="1">IF(B15&lt;&gt;0,(C15-B15)/B15,0)</f>
        <v>0</v>
      </c>
    </row>
    <row r="16" spans="1:4" x14ac:dyDescent="0.3">
      <c r="A16" s="18" t="s">
        <v>29</v>
      </c>
      <c r="B16" s="14">
        <v>106792</v>
      </c>
      <c r="C16" s="14">
        <v>113296</v>
      </c>
      <c r="D16" s="17">
        <f t="shared" si="1"/>
        <v>6.0903438459809722E-2</v>
      </c>
    </row>
    <row r="17" spans="1:8" x14ac:dyDescent="0.3">
      <c r="A17" s="18" t="s">
        <v>30</v>
      </c>
      <c r="B17" s="14">
        <v>635</v>
      </c>
      <c r="C17" s="14">
        <v>157</v>
      </c>
      <c r="D17" s="17">
        <f t="shared" si="1"/>
        <v>-0.75275590551181104</v>
      </c>
    </row>
    <row r="18" spans="1:8" x14ac:dyDescent="0.3">
      <c r="A18" s="18" t="s">
        <v>31</v>
      </c>
      <c r="B18" s="14">
        <v>15</v>
      </c>
      <c r="C18" s="14">
        <v>176</v>
      </c>
      <c r="D18" s="17">
        <f t="shared" si="1"/>
        <v>10.733333333333333</v>
      </c>
    </row>
    <row r="19" spans="1:8" x14ac:dyDescent="0.3">
      <c r="A19" s="18" t="s">
        <v>32</v>
      </c>
      <c r="B19" s="14">
        <v>442</v>
      </c>
      <c r="C19" s="14">
        <v>293</v>
      </c>
      <c r="D19" s="17">
        <f t="shared" si="1"/>
        <v>-0.33710407239819007</v>
      </c>
    </row>
    <row r="20" spans="1:8" x14ac:dyDescent="0.3">
      <c r="A20" s="18" t="s">
        <v>24</v>
      </c>
      <c r="B20" s="14">
        <v>7528</v>
      </c>
      <c r="C20" s="14">
        <v>8132</v>
      </c>
      <c r="D20" s="17">
        <f t="shared" si="1"/>
        <v>8.0233793836344311E-2</v>
      </c>
    </row>
    <row r="21" spans="1:8" s="9" customFormat="1" x14ac:dyDescent="0.3">
      <c r="A21" s="29" t="s">
        <v>33</v>
      </c>
      <c r="B21" s="30">
        <f>SUM(B15:B20)</f>
        <v>115412</v>
      </c>
      <c r="C21" s="30">
        <f>SUM(C15:C20)</f>
        <v>129054</v>
      </c>
      <c r="D21" s="42">
        <f t="shared" si="1"/>
        <v>0.11820261324645617</v>
      </c>
      <c r="G21" s="12"/>
    </row>
    <row r="22" spans="1:8" s="9" customFormat="1" x14ac:dyDescent="0.3">
      <c r="A22" s="31" t="s">
        <v>34</v>
      </c>
      <c r="B22" s="32">
        <v>3100906</v>
      </c>
      <c r="C22" s="32">
        <v>3784012</v>
      </c>
      <c r="D22" s="47">
        <f t="shared" si="1"/>
        <v>0.22029239196544495</v>
      </c>
      <c r="G22" s="12"/>
      <c r="H22" s="12"/>
    </row>
    <row r="23" spans="1:8" s="9" customFormat="1" ht="15.75" thickBot="1" x14ac:dyDescent="0.35">
      <c r="A23" s="26" t="s">
        <v>35</v>
      </c>
      <c r="B23" s="27">
        <f>+B21+B22</f>
        <v>3216318</v>
      </c>
      <c r="C23" s="27">
        <f>+C21+C22</f>
        <v>3913066</v>
      </c>
      <c r="D23" s="45">
        <f t="shared" si="1"/>
        <v>0.21662907709996337</v>
      </c>
      <c r="G23" s="12"/>
      <c r="H23" s="12"/>
    </row>
    <row r="24" spans="1:8" x14ac:dyDescent="0.3">
      <c r="A24" s="18" t="s">
        <v>54</v>
      </c>
      <c r="B24" s="14">
        <v>435123458</v>
      </c>
      <c r="C24" s="14">
        <v>435123458</v>
      </c>
      <c r="D24" s="17"/>
      <c r="H24" s="11"/>
    </row>
    <row r="25" spans="1:8" x14ac:dyDescent="0.3">
      <c r="A25" s="18" t="s">
        <v>71</v>
      </c>
      <c r="B25" s="33">
        <f>+B22/+(B24/1000000)</f>
        <v>7126.4969584793098</v>
      </c>
      <c r="C25" s="33">
        <f>+C22/+(C24/1000000)</f>
        <v>8696.4100197971857</v>
      </c>
      <c r="D25" s="17"/>
      <c r="H25" s="11"/>
    </row>
    <row r="26" spans="1:8" x14ac:dyDescent="0.3">
      <c r="G26" s="13"/>
      <c r="H26" s="13"/>
    </row>
    <row r="27" spans="1:8" x14ac:dyDescent="0.3">
      <c r="A27" s="6" t="s">
        <v>70</v>
      </c>
      <c r="B27" s="6">
        <v>2006</v>
      </c>
      <c r="C27" s="6">
        <v>2007</v>
      </c>
      <c r="D27" s="7" t="s">
        <v>46</v>
      </c>
      <c r="H27" s="13"/>
    </row>
    <row r="28" spans="1:8" x14ac:dyDescent="0.3">
      <c r="A28" s="19" t="s">
        <v>64</v>
      </c>
      <c r="B28" s="14"/>
      <c r="C28" s="17"/>
      <c r="D28" s="34"/>
    </row>
    <row r="29" spans="1:8" x14ac:dyDescent="0.3">
      <c r="A29" s="19" t="s">
        <v>44</v>
      </c>
      <c r="B29" s="14"/>
      <c r="C29" s="17"/>
      <c r="D29" s="34"/>
    </row>
    <row r="30" spans="1:8" x14ac:dyDescent="0.3">
      <c r="A30" s="19" t="s">
        <v>45</v>
      </c>
      <c r="B30" s="14"/>
      <c r="C30" s="17"/>
      <c r="D30" s="34"/>
    </row>
    <row r="31" spans="1:8" s="9" customFormat="1" x14ac:dyDescent="0.3">
      <c r="A31" s="19" t="s">
        <v>72</v>
      </c>
      <c r="B31" s="30">
        <v>118009</v>
      </c>
      <c r="C31" s="30">
        <v>40263</v>
      </c>
      <c r="D31" s="25">
        <f t="shared" ref="D31:D42" si="2">IF(C31&lt;&gt;0,(C31-B31)/B31,0)</f>
        <v>-0.65881415824216794</v>
      </c>
      <c r="G31" s="12"/>
    </row>
    <row r="32" spans="1:8" s="9" customFormat="1" x14ac:dyDescent="0.3">
      <c r="A32" s="19" t="s">
        <v>5</v>
      </c>
      <c r="B32" s="14">
        <v>53203</v>
      </c>
      <c r="C32" s="14">
        <v>2701</v>
      </c>
      <c r="D32" s="25">
        <f t="shared" si="2"/>
        <v>-0.94923218615491611</v>
      </c>
      <c r="G32" s="12"/>
    </row>
    <row r="33" spans="1:7" s="9" customFormat="1" x14ac:dyDescent="0.3">
      <c r="A33" s="19" t="s">
        <v>57</v>
      </c>
      <c r="B33" s="14">
        <v>11665</v>
      </c>
      <c r="C33" s="14">
        <v>6224</v>
      </c>
      <c r="D33" s="25">
        <f t="shared" si="2"/>
        <v>-0.46643806258036863</v>
      </c>
      <c r="G33" s="12"/>
    </row>
    <row r="34" spans="1:7" s="9" customFormat="1" x14ac:dyDescent="0.3">
      <c r="A34" s="19" t="s">
        <v>56</v>
      </c>
      <c r="B34" s="14">
        <v>3524</v>
      </c>
      <c r="C34" s="14">
        <v>1991</v>
      </c>
      <c r="D34" s="25">
        <f t="shared" si="2"/>
        <v>-0.43501702610669696</v>
      </c>
      <c r="G34" s="12"/>
    </row>
    <row r="35" spans="1:7" s="9" customFormat="1" x14ac:dyDescent="0.3">
      <c r="A35" s="35" t="s">
        <v>4</v>
      </c>
      <c r="B35" s="30">
        <f>SUM(B31:B34)</f>
        <v>186401</v>
      </c>
      <c r="C35" s="30">
        <f>SUM(C31:C34)</f>
        <v>51179</v>
      </c>
      <c r="D35" s="25">
        <f t="shared" si="2"/>
        <v>-0.725436022338936</v>
      </c>
      <c r="G35" s="12"/>
    </row>
    <row r="36" spans="1:7" x14ac:dyDescent="0.3">
      <c r="A36" s="19" t="s">
        <v>58</v>
      </c>
      <c r="B36" s="14">
        <v>-3079</v>
      </c>
      <c r="C36" s="14">
        <v>-2954</v>
      </c>
      <c r="D36" s="25">
        <f t="shared" si="2"/>
        <v>-4.0597596622279963E-2</v>
      </c>
    </row>
    <row r="37" spans="1:7" s="9" customFormat="1" x14ac:dyDescent="0.3">
      <c r="A37" s="35" t="s">
        <v>42</v>
      </c>
      <c r="B37" s="30">
        <f>SUM(B35:B36)</f>
        <v>183322</v>
      </c>
      <c r="C37" s="30">
        <f>SUM(C35:C36)</f>
        <v>48225</v>
      </c>
      <c r="D37" s="25">
        <f t="shared" si="2"/>
        <v>-0.73693828345752288</v>
      </c>
      <c r="G37" s="12"/>
    </row>
    <row r="38" spans="1:7" x14ac:dyDescent="0.3">
      <c r="A38" s="19" t="s">
        <v>10</v>
      </c>
      <c r="B38" s="14">
        <f>3588+2715</f>
        <v>6303</v>
      </c>
      <c r="C38" s="14">
        <v>9</v>
      </c>
      <c r="D38" s="25">
        <f t="shared" si="2"/>
        <v>-0.99857210851975253</v>
      </c>
    </row>
    <row r="39" spans="1:7" s="9" customFormat="1" x14ac:dyDescent="0.3">
      <c r="A39" s="19" t="s">
        <v>13</v>
      </c>
      <c r="B39" s="14">
        <v>-8672</v>
      </c>
      <c r="C39" s="14">
        <v>-567</v>
      </c>
      <c r="D39" s="25">
        <f t="shared" si="2"/>
        <v>-0.93461715867158668</v>
      </c>
      <c r="G39" s="12"/>
    </row>
    <row r="40" spans="1:7" s="9" customFormat="1" x14ac:dyDescent="0.3">
      <c r="A40" s="35" t="s">
        <v>43</v>
      </c>
      <c r="B40" s="30">
        <f>SUM(B37:B39)</f>
        <v>180953</v>
      </c>
      <c r="C40" s="30">
        <f>SUM(C37:C39)</f>
        <v>47667</v>
      </c>
      <c r="D40" s="25">
        <f t="shared" si="2"/>
        <v>-0.73657800644366211</v>
      </c>
      <c r="G40" s="12"/>
    </row>
    <row r="41" spans="1:7" x14ac:dyDescent="0.3">
      <c r="A41" s="19" t="s">
        <v>15</v>
      </c>
      <c r="B41" s="14">
        <v>-110</v>
      </c>
      <c r="C41" s="14">
        <v>-108</v>
      </c>
      <c r="D41" s="25">
        <f t="shared" si="2"/>
        <v>-1.8181818181818181E-2</v>
      </c>
    </row>
    <row r="42" spans="1:7" ht="15.75" thickBot="1" x14ac:dyDescent="0.35">
      <c r="A42" s="36" t="s">
        <v>17</v>
      </c>
      <c r="B42" s="37">
        <f>SUM(B40:B41)</f>
        <v>180843</v>
      </c>
      <c r="C42" s="37">
        <f>SUM(C40:C41)</f>
        <v>47559</v>
      </c>
      <c r="D42" s="28">
        <f t="shared" si="2"/>
        <v>-0.73701497984439546</v>
      </c>
    </row>
    <row r="44" spans="1:7" x14ac:dyDescent="0.3">
      <c r="A44" s="19" t="s">
        <v>53</v>
      </c>
      <c r="B44" s="14"/>
      <c r="C44" s="14"/>
      <c r="D44" s="17"/>
    </row>
  </sheetData>
  <phoneticPr fontId="0" type="noConversion"/>
  <pageMargins left="0.7" right="0.7" top="0.75" bottom="0.75" header="0.3" footer="0.3"/>
  <customProperties>
    <customPr name="_pios_id" r:id="rId1"/>
  </customProperties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S82"/>
  <sheetViews>
    <sheetView workbookViewId="0">
      <selection activeCell="M20" sqref="M20"/>
    </sheetView>
  </sheetViews>
  <sheetFormatPr baseColWidth="10" defaultColWidth="11.42578125" defaultRowHeight="15" x14ac:dyDescent="0.3"/>
  <cols>
    <col min="1" max="1" width="32.140625" style="73" customWidth="1"/>
    <col min="2" max="4" width="10.42578125" style="73" bestFit="1" customWidth="1"/>
    <col min="5" max="7" width="11.140625" style="73" bestFit="1" customWidth="1"/>
    <col min="8" max="8" width="11.140625" style="74" bestFit="1" customWidth="1"/>
    <col min="9" max="9" width="10.42578125" style="74" bestFit="1" customWidth="1"/>
    <col min="10" max="11" width="10.42578125" style="74" customWidth="1"/>
    <col min="12" max="12" width="11.140625" style="75" bestFit="1" customWidth="1"/>
    <col min="13" max="13" width="10.28515625" style="75" bestFit="1" customWidth="1"/>
    <col min="14" max="14" width="9.28515625" style="76" bestFit="1" customWidth="1"/>
    <col min="15" max="15" width="4.7109375" style="76" bestFit="1" customWidth="1"/>
    <col min="16" max="16" width="5.7109375" style="73" customWidth="1"/>
    <col min="17" max="16384" width="11.42578125" style="73"/>
  </cols>
  <sheetData>
    <row r="6" spans="1:19" ht="21" x14ac:dyDescent="0.35">
      <c r="A6" s="116" t="s">
        <v>40</v>
      </c>
      <c r="B6" s="116"/>
      <c r="C6" s="116"/>
      <c r="D6" s="116"/>
      <c r="E6" s="116"/>
      <c r="F6" s="116"/>
      <c r="G6" s="116"/>
    </row>
    <row r="7" spans="1:19" ht="15.75" x14ac:dyDescent="0.3">
      <c r="A7" s="78" t="s">
        <v>94</v>
      </c>
      <c r="B7" s="78"/>
      <c r="C7" s="78"/>
      <c r="D7" s="78"/>
      <c r="E7" s="78"/>
      <c r="F7" s="78"/>
      <c r="G7" s="78"/>
    </row>
    <row r="8" spans="1:19" x14ac:dyDescent="0.3">
      <c r="A8" s="79" t="s">
        <v>88</v>
      </c>
      <c r="B8" s="79"/>
      <c r="C8" s="79"/>
      <c r="D8" s="79"/>
      <c r="E8" s="79"/>
      <c r="F8" s="79"/>
      <c r="G8" s="79"/>
    </row>
    <row r="9" spans="1:19" s="85" customFormat="1" x14ac:dyDescent="0.3">
      <c r="H9" s="81"/>
      <c r="I9" s="81"/>
      <c r="J9" s="81"/>
      <c r="K9" s="81"/>
      <c r="L9" s="82"/>
      <c r="M9" s="82"/>
      <c r="N9" s="83"/>
      <c r="O9" s="83"/>
      <c r="P9" s="84"/>
      <c r="Q9" s="84"/>
      <c r="R9" s="84"/>
      <c r="S9" s="84"/>
    </row>
    <row r="10" spans="1:19" s="85" customFormat="1" ht="15.75" thickBot="1" x14ac:dyDescent="0.35">
      <c r="A10" s="152" t="s">
        <v>20</v>
      </c>
      <c r="B10" s="144">
        <v>2005</v>
      </c>
      <c r="C10" s="144">
        <v>2006</v>
      </c>
      <c r="D10" s="144">
        <v>2007</v>
      </c>
      <c r="E10" s="144">
        <v>2008</v>
      </c>
      <c r="F10" s="144">
        <v>2009</v>
      </c>
      <c r="G10" s="144">
        <v>2010</v>
      </c>
      <c r="H10" s="145">
        <v>2011</v>
      </c>
      <c r="I10" s="145">
        <v>2012</v>
      </c>
      <c r="J10" s="145" t="s">
        <v>95</v>
      </c>
      <c r="K10" s="145" t="s">
        <v>95</v>
      </c>
      <c r="L10" s="146" t="s">
        <v>46</v>
      </c>
      <c r="M10" s="105"/>
      <c r="N10" s="83"/>
      <c r="O10" s="83"/>
      <c r="P10" s="106"/>
      <c r="Q10" s="84"/>
      <c r="R10" s="84"/>
      <c r="S10" s="84"/>
    </row>
    <row r="11" spans="1:19" s="85" customFormat="1" x14ac:dyDescent="0.3">
      <c r="A11" s="153" t="s">
        <v>21</v>
      </c>
      <c r="B11" s="81">
        <v>121469</v>
      </c>
      <c r="C11" s="81">
        <v>147021</v>
      </c>
      <c r="D11" s="81">
        <v>141066</v>
      </c>
      <c r="E11" s="81">
        <v>200123</v>
      </c>
      <c r="F11" s="81">
        <v>152572</v>
      </c>
      <c r="G11" s="81">
        <v>133389</v>
      </c>
      <c r="H11" s="121">
        <v>193087</v>
      </c>
      <c r="I11" s="117">
        <v>291812</v>
      </c>
      <c r="J11" s="117"/>
      <c r="K11" s="117"/>
      <c r="L11" s="129">
        <f>+(I11-H11)/H11</f>
        <v>0.51129801592028468</v>
      </c>
      <c r="M11" s="107"/>
      <c r="N11" s="83"/>
      <c r="O11" s="83"/>
      <c r="P11" s="108"/>
      <c r="Q11" s="84"/>
      <c r="R11" s="84"/>
      <c r="S11" s="84"/>
    </row>
    <row r="12" spans="1:19" s="85" customFormat="1" x14ac:dyDescent="0.3">
      <c r="A12" s="153" t="s">
        <v>22</v>
      </c>
      <c r="B12" s="81">
        <v>328742</v>
      </c>
      <c r="C12" s="81">
        <v>323226</v>
      </c>
      <c r="D12" s="81">
        <v>322254</v>
      </c>
      <c r="E12" s="81">
        <v>299414</v>
      </c>
      <c r="F12" s="81">
        <v>335272</v>
      </c>
      <c r="G12" s="81">
        <v>330481</v>
      </c>
      <c r="H12" s="121">
        <v>329071</v>
      </c>
      <c r="I12" s="117">
        <v>330090</v>
      </c>
      <c r="J12" s="117"/>
      <c r="K12" s="117"/>
      <c r="L12" s="129">
        <f t="shared" ref="L12:L20" si="0">+(I12-H12)/H12</f>
        <v>3.0965961752934777E-3</v>
      </c>
      <c r="M12" s="107"/>
      <c r="N12" s="170"/>
      <c r="O12" s="83"/>
      <c r="P12" s="106"/>
      <c r="Q12" s="84"/>
      <c r="R12" s="84"/>
      <c r="S12" s="84"/>
    </row>
    <row r="13" spans="1:19" s="85" customFormat="1" x14ac:dyDescent="0.3">
      <c r="A13" s="153" t="s">
        <v>23</v>
      </c>
      <c r="B13" s="81">
        <v>292269</v>
      </c>
      <c r="C13" s="81">
        <v>381730</v>
      </c>
      <c r="D13" s="81">
        <v>426683</v>
      </c>
      <c r="E13" s="81">
        <v>656631</v>
      </c>
      <c r="F13" s="81">
        <v>523529</v>
      </c>
      <c r="G13" s="81">
        <v>586256</v>
      </c>
      <c r="H13" s="121">
        <v>650631</v>
      </c>
      <c r="I13" s="117">
        <v>681860</v>
      </c>
      <c r="J13" s="117"/>
      <c r="K13" s="117"/>
      <c r="L13" s="129">
        <f t="shared" si="0"/>
        <v>4.7998020383289451E-2</v>
      </c>
      <c r="M13" s="107"/>
      <c r="N13" s="83"/>
      <c r="O13" s="83"/>
      <c r="P13" s="106"/>
      <c r="Q13" s="84"/>
      <c r="R13" s="84"/>
      <c r="S13" s="84"/>
    </row>
    <row r="14" spans="1:19" s="85" customFormat="1" x14ac:dyDescent="0.3">
      <c r="A14" s="153" t="s">
        <v>36</v>
      </c>
      <c r="B14" s="81">
        <v>274553</v>
      </c>
      <c r="C14" s="81">
        <v>371699</v>
      </c>
      <c r="D14" s="81">
        <v>434839</v>
      </c>
      <c r="E14" s="81">
        <v>528465</v>
      </c>
      <c r="F14" s="81">
        <v>494120</v>
      </c>
      <c r="G14" s="81">
        <v>553016</v>
      </c>
      <c r="H14" s="121">
        <v>601866</v>
      </c>
      <c r="I14" s="117">
        <v>555796</v>
      </c>
      <c r="J14" s="117"/>
      <c r="K14" s="117"/>
      <c r="L14" s="129">
        <f t="shared" si="0"/>
        <v>-7.6545277520245369E-2</v>
      </c>
      <c r="M14" s="107"/>
      <c r="N14" s="83"/>
      <c r="O14" s="83"/>
      <c r="P14" s="106"/>
      <c r="Q14" s="84"/>
      <c r="R14" s="84"/>
      <c r="S14" s="84"/>
    </row>
    <row r="15" spans="1:19" s="85" customFormat="1" x14ac:dyDescent="0.3">
      <c r="A15" s="153" t="s">
        <v>60</v>
      </c>
      <c r="B15" s="81">
        <v>456824</v>
      </c>
      <c r="C15" s="81">
        <v>561031</v>
      </c>
      <c r="D15" s="81">
        <v>653908</v>
      </c>
      <c r="E15" s="81">
        <v>767527</v>
      </c>
      <c r="F15" s="81">
        <v>977261</v>
      </c>
      <c r="G15" s="81">
        <v>988793</v>
      </c>
      <c r="H15" s="121">
        <v>1009855</v>
      </c>
      <c r="I15" s="117">
        <v>1135785</v>
      </c>
      <c r="J15" s="117"/>
      <c r="K15" s="117"/>
      <c r="L15" s="129">
        <f t="shared" si="0"/>
        <v>0.12470107094582886</v>
      </c>
      <c r="M15" s="107"/>
      <c r="N15" s="83"/>
      <c r="O15" s="83"/>
      <c r="P15" s="106"/>
      <c r="Q15" s="84"/>
      <c r="R15" s="84"/>
      <c r="S15" s="84"/>
    </row>
    <row r="16" spans="1:19" s="85" customFormat="1" x14ac:dyDescent="0.3">
      <c r="A16" s="153" t="s">
        <v>47</v>
      </c>
      <c r="B16" s="81">
        <v>63266</v>
      </c>
      <c r="C16" s="81">
        <v>621440</v>
      </c>
      <c r="D16" s="81">
        <v>564218</v>
      </c>
      <c r="E16" s="81">
        <v>543336</v>
      </c>
      <c r="F16" s="81">
        <v>748013</v>
      </c>
      <c r="G16" s="81">
        <v>853564</v>
      </c>
      <c r="H16" s="121">
        <v>900384</v>
      </c>
      <c r="I16" s="117">
        <v>1025441</v>
      </c>
      <c r="J16" s="117"/>
      <c r="K16" s="117"/>
      <c r="L16" s="129">
        <f t="shared" si="0"/>
        <v>0.13889296122543271</v>
      </c>
      <c r="M16" s="107"/>
      <c r="N16" s="83"/>
      <c r="O16" s="83"/>
      <c r="P16" s="106"/>
      <c r="Q16" s="84"/>
      <c r="R16" s="84"/>
      <c r="S16" s="84"/>
    </row>
    <row r="17" spans="1:19" s="85" customFormat="1" x14ac:dyDescent="0.3">
      <c r="A17" s="153" t="s">
        <v>24</v>
      </c>
      <c r="B17" s="81">
        <v>12635</v>
      </c>
      <c r="C17" s="81">
        <v>23420</v>
      </c>
      <c r="D17" s="81">
        <v>57260</v>
      </c>
      <c r="E17" s="81">
        <v>28175</v>
      </c>
      <c r="F17" s="81">
        <v>79348</v>
      </c>
      <c r="G17" s="81">
        <v>67002</v>
      </c>
      <c r="H17" s="121">
        <v>130401</v>
      </c>
      <c r="I17" s="117">
        <v>57452</v>
      </c>
      <c r="J17" s="117"/>
      <c r="K17" s="117"/>
      <c r="L17" s="129">
        <f t="shared" si="0"/>
        <v>-0.55942055659082368</v>
      </c>
      <c r="M17" s="107"/>
      <c r="N17" s="83"/>
      <c r="O17" s="83"/>
      <c r="P17" s="106"/>
      <c r="Q17" s="84"/>
      <c r="R17" s="84"/>
      <c r="S17" s="84"/>
    </row>
    <row r="18" spans="1:19" s="85" customFormat="1" x14ac:dyDescent="0.3">
      <c r="A18" s="153" t="s">
        <v>25</v>
      </c>
      <c r="B18" s="81">
        <v>3714</v>
      </c>
      <c r="C18" s="81">
        <v>11893</v>
      </c>
      <c r="D18" s="81">
        <v>12073</v>
      </c>
      <c r="E18" s="81">
        <v>44095</v>
      </c>
      <c r="F18" s="81">
        <v>19094</v>
      </c>
      <c r="G18" s="81">
        <v>16902</v>
      </c>
      <c r="H18" s="121">
        <v>18323</v>
      </c>
      <c r="I18" s="117">
        <v>6913</v>
      </c>
      <c r="J18" s="117"/>
      <c r="K18" s="117"/>
      <c r="L18" s="129">
        <f t="shared" si="0"/>
        <v>-0.62271462096818209</v>
      </c>
      <c r="M18" s="107"/>
      <c r="N18" s="83"/>
      <c r="O18" s="83"/>
      <c r="P18" s="106"/>
      <c r="Q18" s="84"/>
      <c r="R18" s="84"/>
      <c r="S18" s="84"/>
    </row>
    <row r="19" spans="1:19" s="85" customFormat="1" x14ac:dyDescent="0.3">
      <c r="A19" s="153" t="s">
        <v>26</v>
      </c>
      <c r="B19" s="81">
        <v>2468685</v>
      </c>
      <c r="C19" s="81">
        <v>2591441</v>
      </c>
      <c r="D19" s="81">
        <v>2736001</v>
      </c>
      <c r="E19" s="81">
        <v>2268787</v>
      </c>
      <c r="F19" s="81">
        <v>3599917</v>
      </c>
      <c r="G19" s="81">
        <v>4555288</v>
      </c>
      <c r="H19" s="121">
        <v>4097551</v>
      </c>
      <c r="I19" s="117">
        <v>4866415</v>
      </c>
      <c r="J19" s="117"/>
      <c r="K19" s="117"/>
      <c r="L19" s="129">
        <f t="shared" si="0"/>
        <v>0.18763988538519716</v>
      </c>
      <c r="M19" s="107"/>
      <c r="N19" s="83"/>
      <c r="O19" s="83"/>
      <c r="P19" s="106"/>
      <c r="Q19" s="84"/>
      <c r="R19" s="84"/>
      <c r="S19" s="84"/>
    </row>
    <row r="20" spans="1:19" s="85" customFormat="1" ht="15.75" thickBot="1" x14ac:dyDescent="0.35">
      <c r="A20" s="154" t="s">
        <v>27</v>
      </c>
      <c r="B20" s="91">
        <v>4022157</v>
      </c>
      <c r="C20" s="91">
        <v>5032901</v>
      </c>
      <c r="D20" s="91">
        <v>5348302</v>
      </c>
      <c r="E20" s="91">
        <v>5336553</v>
      </c>
      <c r="F20" s="91">
        <v>6929126</v>
      </c>
      <c r="G20" s="91">
        <v>8084691</v>
      </c>
      <c r="H20" s="122">
        <f>SUM(H11:H19)</f>
        <v>7931169</v>
      </c>
      <c r="I20" s="118">
        <f>SUM(I11:I19)</f>
        <v>8951564</v>
      </c>
      <c r="J20" s="118"/>
      <c r="K20" s="118"/>
      <c r="L20" s="130">
        <f t="shared" si="0"/>
        <v>0.12865631787697374</v>
      </c>
      <c r="M20" s="109"/>
      <c r="N20" s="83"/>
      <c r="O20" s="83"/>
      <c r="P20" s="106"/>
      <c r="Q20" s="84"/>
      <c r="R20" s="84"/>
      <c r="S20" s="84"/>
    </row>
    <row r="21" spans="1:19" s="85" customFormat="1" x14ac:dyDescent="0.3">
      <c r="A21" s="153"/>
      <c r="B21" s="81"/>
      <c r="C21" s="81"/>
      <c r="D21" s="81"/>
      <c r="E21" s="81"/>
      <c r="F21" s="81"/>
      <c r="G21" s="81"/>
      <c r="H21" s="121"/>
      <c r="I21" s="117"/>
      <c r="J21" s="117"/>
      <c r="K21" s="117"/>
      <c r="L21" s="129"/>
      <c r="M21" s="107"/>
      <c r="N21" s="83"/>
      <c r="O21" s="83"/>
      <c r="P21" s="106"/>
      <c r="Q21" s="84"/>
      <c r="R21" s="84"/>
      <c r="S21" s="84"/>
    </row>
    <row r="22" spans="1:19" s="85" customFormat="1" x14ac:dyDescent="0.3">
      <c r="A22" s="152" t="s">
        <v>48</v>
      </c>
      <c r="B22" s="125">
        <v>2005</v>
      </c>
      <c r="C22" s="125">
        <v>2006</v>
      </c>
      <c r="D22" s="125">
        <v>2007</v>
      </c>
      <c r="E22" s="125">
        <v>2008</v>
      </c>
      <c r="F22" s="125">
        <v>2009</v>
      </c>
      <c r="G22" s="125">
        <v>2010</v>
      </c>
      <c r="H22" s="126">
        <v>2011</v>
      </c>
      <c r="I22" s="127">
        <v>2012</v>
      </c>
      <c r="J22" s="127"/>
      <c r="K22" s="127"/>
      <c r="L22" s="128" t="s">
        <v>46</v>
      </c>
      <c r="M22" s="105"/>
      <c r="N22" s="83"/>
      <c r="O22" s="83"/>
      <c r="P22" s="108"/>
      <c r="Q22" s="84"/>
      <c r="R22" s="84"/>
      <c r="S22" s="84"/>
    </row>
    <row r="23" spans="1:19" s="85" customFormat="1" x14ac:dyDescent="0.3">
      <c r="A23" s="153" t="s">
        <v>28</v>
      </c>
      <c r="B23" s="81">
        <v>41040</v>
      </c>
      <c r="C23" s="81">
        <v>705877</v>
      </c>
      <c r="D23" s="81">
        <v>718503</v>
      </c>
      <c r="E23" s="81">
        <v>884817</v>
      </c>
      <c r="F23" s="81">
        <v>1015157</v>
      </c>
      <c r="G23" s="81">
        <v>1126326</v>
      </c>
      <c r="H23" s="121">
        <v>679598</v>
      </c>
      <c r="I23" s="117">
        <v>690354</v>
      </c>
      <c r="J23" s="117"/>
      <c r="K23" s="117"/>
      <c r="L23" s="129">
        <f t="shared" ref="L23:L34" si="1">+(I23-H23)/H23</f>
        <v>1.5827003610958242E-2</v>
      </c>
      <c r="M23" s="107"/>
      <c r="N23" s="83"/>
      <c r="O23" s="83"/>
      <c r="P23" s="106"/>
      <c r="Q23" s="84"/>
      <c r="R23" s="84"/>
      <c r="S23" s="84"/>
    </row>
    <row r="24" spans="1:19" s="85" customFormat="1" x14ac:dyDescent="0.3">
      <c r="A24" s="153" t="s">
        <v>49</v>
      </c>
      <c r="B24" s="81">
        <v>111023</v>
      </c>
      <c r="C24" s="81">
        <v>146194</v>
      </c>
      <c r="D24" s="81">
        <v>146091</v>
      </c>
      <c r="E24" s="81">
        <v>163812</v>
      </c>
      <c r="F24" s="81">
        <v>124270</v>
      </c>
      <c r="G24" s="81">
        <v>165155</v>
      </c>
      <c r="H24" s="121">
        <v>163168</v>
      </c>
      <c r="I24" s="117">
        <v>170648</v>
      </c>
      <c r="J24" s="117"/>
      <c r="K24" s="117"/>
      <c r="L24" s="129">
        <f t="shared" si="1"/>
        <v>4.5842322023926262E-2</v>
      </c>
      <c r="M24" s="107"/>
      <c r="N24" s="83"/>
      <c r="O24" s="83"/>
      <c r="P24" s="108"/>
      <c r="Q24" s="84"/>
      <c r="R24" s="84"/>
      <c r="S24" s="84"/>
    </row>
    <row r="25" spans="1:19" s="85" customFormat="1" x14ac:dyDescent="0.3">
      <c r="A25" s="153" t="s">
        <v>38</v>
      </c>
      <c r="B25" s="81">
        <v>59396</v>
      </c>
      <c r="C25" s="81">
        <v>108992</v>
      </c>
      <c r="D25" s="81">
        <v>140644</v>
      </c>
      <c r="E25" s="81">
        <v>173147</v>
      </c>
      <c r="F25" s="81">
        <v>141613</v>
      </c>
      <c r="G25" s="81">
        <v>209038</v>
      </c>
      <c r="H25" s="121">
        <v>217244</v>
      </c>
      <c r="I25" s="117">
        <v>259622</v>
      </c>
      <c r="J25" s="117"/>
      <c r="K25" s="117"/>
      <c r="L25" s="129">
        <f t="shared" si="1"/>
        <v>0.19507098009611312</v>
      </c>
      <c r="M25" s="107"/>
      <c r="N25" s="83"/>
      <c r="O25" s="83"/>
      <c r="P25" s="106"/>
      <c r="Q25" s="84"/>
      <c r="R25" s="84"/>
      <c r="S25" s="84"/>
    </row>
    <row r="26" spans="1:19" s="85" customFormat="1" x14ac:dyDescent="0.3">
      <c r="A26" s="153" t="s">
        <v>30</v>
      </c>
      <c r="B26" s="81">
        <v>55165</v>
      </c>
      <c r="C26" s="81">
        <v>54299</v>
      </c>
      <c r="D26" s="81">
        <v>55981</v>
      </c>
      <c r="E26" s="81">
        <v>61484</v>
      </c>
      <c r="F26" s="81">
        <v>52025</v>
      </c>
      <c r="G26" s="81">
        <v>68247</v>
      </c>
      <c r="H26" s="121">
        <v>132822</v>
      </c>
      <c r="I26" s="117">
        <v>138203</v>
      </c>
      <c r="J26" s="117"/>
      <c r="K26" s="117"/>
      <c r="L26" s="129">
        <f t="shared" si="1"/>
        <v>4.0512866844348072E-2</v>
      </c>
      <c r="M26" s="107"/>
      <c r="N26" s="83"/>
      <c r="O26" s="83"/>
      <c r="P26" s="106"/>
      <c r="Q26" s="84"/>
      <c r="R26" s="84"/>
      <c r="S26" s="84"/>
    </row>
    <row r="27" spans="1:19" s="85" customFormat="1" x14ac:dyDescent="0.3">
      <c r="A27" s="153" t="s">
        <v>31</v>
      </c>
      <c r="B27" s="81">
        <v>34448</v>
      </c>
      <c r="C27" s="81">
        <v>46282</v>
      </c>
      <c r="D27" s="81">
        <v>58521</v>
      </c>
      <c r="E27" s="81">
        <v>75362</v>
      </c>
      <c r="F27" s="81">
        <v>77811</v>
      </c>
      <c r="G27" s="81">
        <v>88387</v>
      </c>
      <c r="H27" s="121">
        <v>96429</v>
      </c>
      <c r="I27" s="117">
        <v>109969</v>
      </c>
      <c r="J27" s="117"/>
      <c r="K27" s="117"/>
      <c r="L27" s="129">
        <f t="shared" si="1"/>
        <v>0.1404141907517448</v>
      </c>
      <c r="M27" s="107"/>
      <c r="N27" s="83"/>
      <c r="O27" s="83"/>
      <c r="P27" s="106"/>
      <c r="Q27" s="84"/>
      <c r="R27" s="84"/>
      <c r="S27" s="84"/>
    </row>
    <row r="28" spans="1:19" s="85" customFormat="1" x14ac:dyDescent="0.3">
      <c r="A28" s="153" t="s">
        <v>32</v>
      </c>
      <c r="B28" s="81">
        <v>33024</v>
      </c>
      <c r="C28" s="81">
        <v>38698</v>
      </c>
      <c r="D28" s="81">
        <v>57731</v>
      </c>
      <c r="E28" s="81">
        <v>63828</v>
      </c>
      <c r="F28" s="81">
        <v>65860</v>
      </c>
      <c r="G28" s="81">
        <v>31651</v>
      </c>
      <c r="H28" s="121">
        <v>33608</v>
      </c>
      <c r="I28" s="117">
        <v>28288</v>
      </c>
      <c r="J28" s="117"/>
      <c r="K28" s="117"/>
      <c r="L28" s="129">
        <f t="shared" si="1"/>
        <v>-0.15829564389431089</v>
      </c>
      <c r="M28" s="107"/>
      <c r="N28" s="83"/>
      <c r="O28" s="83"/>
      <c r="P28" s="106"/>
      <c r="Q28" s="84"/>
      <c r="R28" s="84"/>
      <c r="S28" s="84"/>
    </row>
    <row r="29" spans="1:19" s="85" customFormat="1" x14ac:dyDescent="0.3">
      <c r="A29" s="153" t="s">
        <v>24</v>
      </c>
      <c r="B29" s="81">
        <v>12261</v>
      </c>
      <c r="C29" s="81">
        <v>10307</v>
      </c>
      <c r="D29" s="81">
        <v>36889</v>
      </c>
      <c r="E29" s="81">
        <v>44153</v>
      </c>
      <c r="F29" s="81">
        <v>59601</v>
      </c>
      <c r="G29" s="81">
        <v>58990</v>
      </c>
      <c r="H29" s="121">
        <v>112430</v>
      </c>
      <c r="I29" s="117">
        <v>125466</v>
      </c>
      <c r="J29" s="117"/>
      <c r="K29" s="117"/>
      <c r="L29" s="129">
        <f t="shared" si="1"/>
        <v>0.11594770079160366</v>
      </c>
      <c r="M29" s="107"/>
      <c r="N29" s="83"/>
      <c r="O29" s="83"/>
      <c r="P29" s="106"/>
      <c r="Q29" s="84"/>
      <c r="R29" s="84"/>
      <c r="S29" s="84"/>
    </row>
    <row r="30" spans="1:19" s="85" customFormat="1" x14ac:dyDescent="0.3">
      <c r="A30" s="153" t="s">
        <v>0</v>
      </c>
      <c r="B30" s="81">
        <v>938</v>
      </c>
      <c r="C30" s="81">
        <v>1750</v>
      </c>
      <c r="D30" s="81">
        <v>1583</v>
      </c>
      <c r="E30" s="81">
        <v>2766</v>
      </c>
      <c r="F30" s="81">
        <v>2549</v>
      </c>
      <c r="G30" s="81">
        <v>1983</v>
      </c>
      <c r="H30" s="121">
        <v>5031</v>
      </c>
      <c r="I30" s="117">
        <v>3762</v>
      </c>
      <c r="J30" s="117"/>
      <c r="K30" s="117"/>
      <c r="L30" s="129">
        <f t="shared" si="1"/>
        <v>-0.25223613595706618</v>
      </c>
      <c r="M30" s="107"/>
      <c r="N30" s="83"/>
      <c r="O30" s="83"/>
      <c r="P30" s="106"/>
      <c r="Q30" s="84"/>
      <c r="R30" s="84"/>
      <c r="S30" s="84"/>
    </row>
    <row r="31" spans="1:19" s="85" customFormat="1" x14ac:dyDescent="0.3">
      <c r="A31" s="153" t="s">
        <v>33</v>
      </c>
      <c r="B31" s="80">
        <v>347295</v>
      </c>
      <c r="C31" s="80">
        <v>1112399</v>
      </c>
      <c r="D31" s="80">
        <v>1215943</v>
      </c>
      <c r="E31" s="80">
        <v>1469369</v>
      </c>
      <c r="F31" s="80">
        <v>1538886</v>
      </c>
      <c r="G31" s="80">
        <v>1749777</v>
      </c>
      <c r="H31" s="123">
        <f>SUM(H23:H30)</f>
        <v>1440330</v>
      </c>
      <c r="I31" s="119">
        <f>SUM(I23:I30)</f>
        <v>1526312</v>
      </c>
      <c r="J31" s="119"/>
      <c r="K31" s="119"/>
      <c r="L31" s="129">
        <f t="shared" si="1"/>
        <v>5.9696041879291555E-2</v>
      </c>
      <c r="M31" s="107"/>
      <c r="N31" s="83"/>
      <c r="O31" s="83"/>
      <c r="P31" s="106"/>
      <c r="Q31" s="84"/>
      <c r="R31" s="84"/>
      <c r="S31" s="84"/>
    </row>
    <row r="32" spans="1:19" s="85" customFormat="1" x14ac:dyDescent="0.3">
      <c r="A32" s="153" t="s">
        <v>39</v>
      </c>
      <c r="B32" s="81">
        <v>2519</v>
      </c>
      <c r="C32" s="81">
        <v>2618</v>
      </c>
      <c r="D32" s="81">
        <v>2964</v>
      </c>
      <c r="E32" s="81">
        <v>2751</v>
      </c>
      <c r="F32" s="81">
        <v>3611</v>
      </c>
      <c r="G32" s="81">
        <v>11268</v>
      </c>
      <c r="H32" s="121">
        <v>16209</v>
      </c>
      <c r="I32" s="117">
        <v>16294</v>
      </c>
      <c r="J32" s="117"/>
      <c r="K32" s="117"/>
      <c r="L32" s="129">
        <f t="shared" si="1"/>
        <v>5.2440002467764825E-3</v>
      </c>
      <c r="M32" s="107"/>
      <c r="N32" s="83"/>
      <c r="O32" s="83"/>
      <c r="P32" s="106"/>
      <c r="Q32" s="84"/>
      <c r="R32" s="84"/>
      <c r="S32" s="84"/>
    </row>
    <row r="33" spans="1:19" s="85" customFormat="1" x14ac:dyDescent="0.3">
      <c r="A33" s="155" t="s">
        <v>34</v>
      </c>
      <c r="B33" s="97">
        <v>3672343</v>
      </c>
      <c r="C33" s="97">
        <v>3917884</v>
      </c>
      <c r="D33" s="97">
        <v>4129395</v>
      </c>
      <c r="E33" s="97">
        <v>3864433</v>
      </c>
      <c r="F33" s="97">
        <v>5386629</v>
      </c>
      <c r="G33" s="97">
        <v>6323646</v>
      </c>
      <c r="H33" s="124">
        <v>6474630</v>
      </c>
      <c r="I33" s="120">
        <v>7408958</v>
      </c>
      <c r="J33" s="120"/>
      <c r="K33" s="120"/>
      <c r="L33" s="131">
        <f t="shared" si="1"/>
        <v>0.14430600667528493</v>
      </c>
      <c r="M33" s="109"/>
      <c r="N33" s="83"/>
      <c r="O33" s="83"/>
      <c r="P33" s="108"/>
      <c r="Q33" s="84"/>
      <c r="R33" s="84"/>
      <c r="S33" s="84"/>
    </row>
    <row r="34" spans="1:19" s="85" customFormat="1" ht="15.75" thickBot="1" x14ac:dyDescent="0.35">
      <c r="A34" s="151" t="s">
        <v>35</v>
      </c>
      <c r="B34" s="91">
        <v>4022157</v>
      </c>
      <c r="C34" s="91">
        <v>5032901</v>
      </c>
      <c r="D34" s="91">
        <v>5348302</v>
      </c>
      <c r="E34" s="91">
        <v>5336553</v>
      </c>
      <c r="F34" s="91">
        <v>6929126</v>
      </c>
      <c r="G34" s="91">
        <v>8084691</v>
      </c>
      <c r="H34" s="122">
        <f>+H31+H32+H33</f>
        <v>7931169</v>
      </c>
      <c r="I34" s="118">
        <f>+I31+I32+I33</f>
        <v>8951564</v>
      </c>
      <c r="J34" s="118"/>
      <c r="K34" s="118"/>
      <c r="L34" s="130">
        <f t="shared" si="1"/>
        <v>0.12865631787697374</v>
      </c>
      <c r="M34" s="109"/>
      <c r="N34" s="83"/>
      <c r="O34" s="83"/>
      <c r="P34" s="108"/>
      <c r="Q34" s="84"/>
      <c r="R34" s="84"/>
      <c r="S34" s="84"/>
    </row>
    <row r="35" spans="1:19" s="85" customFormat="1" x14ac:dyDescent="0.3">
      <c r="H35" s="81"/>
      <c r="I35" s="81"/>
      <c r="J35" s="81"/>
      <c r="K35" s="81"/>
      <c r="L35" s="82"/>
      <c r="M35" s="107"/>
      <c r="N35" s="83"/>
      <c r="O35" s="83"/>
      <c r="P35" s="108"/>
      <c r="Q35" s="84"/>
      <c r="R35" s="84"/>
      <c r="S35" s="84"/>
    </row>
    <row r="36" spans="1:19" ht="21" x14ac:dyDescent="0.35">
      <c r="A36" s="116" t="s">
        <v>91</v>
      </c>
      <c r="B36" s="116"/>
      <c r="C36" s="116"/>
      <c r="D36" s="116"/>
      <c r="E36" s="116"/>
      <c r="F36" s="116"/>
      <c r="G36" s="116"/>
    </row>
    <row r="37" spans="1:19" ht="15.75" x14ac:dyDescent="0.3">
      <c r="A37" s="78" t="s">
        <v>93</v>
      </c>
      <c r="B37" s="78"/>
      <c r="C37" s="78"/>
      <c r="D37" s="78"/>
      <c r="E37" s="78"/>
      <c r="F37" s="78"/>
      <c r="G37" s="78"/>
    </row>
    <row r="38" spans="1:19" x14ac:dyDescent="0.3">
      <c r="A38" s="79" t="s">
        <v>88</v>
      </c>
      <c r="B38" s="79"/>
      <c r="C38" s="79"/>
      <c r="D38" s="79"/>
      <c r="E38" s="79"/>
      <c r="F38" s="79"/>
      <c r="G38" s="79"/>
    </row>
    <row r="39" spans="1:19" s="85" customFormat="1" ht="15.75" thickBot="1" x14ac:dyDescent="0.35">
      <c r="A39" s="86"/>
      <c r="B39" s="144">
        <v>2005</v>
      </c>
      <c r="C39" s="144">
        <v>2006</v>
      </c>
      <c r="D39" s="144">
        <v>2007</v>
      </c>
      <c r="E39" s="144">
        <v>2008</v>
      </c>
      <c r="F39" s="144">
        <v>2009</v>
      </c>
      <c r="G39" s="144">
        <v>2010</v>
      </c>
      <c r="H39" s="145">
        <v>2011</v>
      </c>
      <c r="I39" s="146" t="s">
        <v>55</v>
      </c>
      <c r="J39" s="146"/>
      <c r="K39" s="146"/>
      <c r="L39" s="145">
        <v>2012</v>
      </c>
      <c r="M39" s="146" t="s">
        <v>55</v>
      </c>
      <c r="N39" s="147" t="s">
        <v>46</v>
      </c>
      <c r="O39" s="101"/>
    </row>
    <row r="40" spans="1:19" s="95" customFormat="1" x14ac:dyDescent="0.3">
      <c r="A40" s="148" t="s">
        <v>4</v>
      </c>
      <c r="B40" s="110">
        <v>2297199</v>
      </c>
      <c r="C40" s="110">
        <v>2872015</v>
      </c>
      <c r="D40" s="110">
        <v>3449517</v>
      </c>
      <c r="E40" s="110">
        <v>4009727</v>
      </c>
      <c r="F40" s="110">
        <v>4588366</v>
      </c>
      <c r="G40" s="110">
        <v>4458858</v>
      </c>
      <c r="H40" s="141">
        <v>5057382.6182662696</v>
      </c>
      <c r="I40" s="138">
        <v>1</v>
      </c>
      <c r="J40" s="138"/>
      <c r="K40" s="138"/>
      <c r="L40" s="132">
        <v>5305782</v>
      </c>
      <c r="M40" s="138">
        <v>1</v>
      </c>
      <c r="N40" s="129">
        <f>IF(H40&lt;&gt;0,(L40-H40)/H40,0)</f>
        <v>4.9116193193799659E-2</v>
      </c>
      <c r="O40" s="111"/>
      <c r="P40" s="85"/>
    </row>
    <row r="41" spans="1:19" s="85" customFormat="1" x14ac:dyDescent="0.3">
      <c r="A41" s="149" t="s">
        <v>50</v>
      </c>
      <c r="B41" s="112">
        <v>-1428204</v>
      </c>
      <c r="C41" s="112">
        <v>-1760636</v>
      </c>
      <c r="D41" s="112">
        <v>-2035308</v>
      </c>
      <c r="E41" s="112">
        <v>-2384094</v>
      </c>
      <c r="F41" s="112">
        <v>-2818189</v>
      </c>
      <c r="G41" s="112">
        <v>-2587907.8744791602</v>
      </c>
      <c r="H41" s="142">
        <v>-3030201.8461819952</v>
      </c>
      <c r="I41" s="129">
        <f>+H41/$H$40</f>
        <v>-0.59916404885750651</v>
      </c>
      <c r="J41" s="129"/>
      <c r="K41" s="129"/>
      <c r="L41" s="133">
        <v>-3064460</v>
      </c>
      <c r="M41" s="129">
        <f>+L41/$L$40</f>
        <v>-0.57756990392745122</v>
      </c>
      <c r="N41" s="129">
        <f t="shared" ref="N41:N57" si="2">IF(H41&lt;&gt;0,(L41-H41)/H41,0)</f>
        <v>1.1305568261457394E-2</v>
      </c>
      <c r="O41" s="101"/>
    </row>
    <row r="42" spans="1:19" s="95" customFormat="1" x14ac:dyDescent="0.3">
      <c r="A42" s="148" t="s">
        <v>6</v>
      </c>
      <c r="B42" s="80">
        <v>868995</v>
      </c>
      <c r="C42" s="80">
        <v>1111379</v>
      </c>
      <c r="D42" s="80">
        <v>1414209</v>
      </c>
      <c r="E42" s="80">
        <v>1625633</v>
      </c>
      <c r="F42" s="80">
        <v>1770177</v>
      </c>
      <c r="G42" s="80">
        <v>1870950.1255208398</v>
      </c>
      <c r="H42" s="123">
        <f>SUM(H40:H41)</f>
        <v>2027180.7720842743</v>
      </c>
      <c r="I42" s="138">
        <f t="shared" ref="I42:I59" si="3">+H42/$H$40</f>
        <v>0.40083595114249349</v>
      </c>
      <c r="J42" s="138"/>
      <c r="K42" s="138"/>
      <c r="L42" s="134">
        <f>SUM(L40:L41)</f>
        <v>2241322</v>
      </c>
      <c r="M42" s="138">
        <f t="shared" ref="M42:M59" si="4">+L42/$L$40</f>
        <v>0.42243009607254878</v>
      </c>
      <c r="N42" s="129">
        <f t="shared" si="2"/>
        <v>0.10563499361507526</v>
      </c>
      <c r="O42" s="111"/>
      <c r="P42" s="85"/>
    </row>
    <row r="43" spans="1:19" s="85" customFormat="1" x14ac:dyDescent="0.3">
      <c r="A43" s="149" t="s">
        <v>7</v>
      </c>
      <c r="B43" s="81">
        <v>-95853</v>
      </c>
      <c r="C43" s="81">
        <v>-127200</v>
      </c>
      <c r="D43" s="81">
        <v>-165507</v>
      </c>
      <c r="E43" s="81">
        <v>-183777</v>
      </c>
      <c r="F43" s="81">
        <v>-218875</v>
      </c>
      <c r="G43" s="81">
        <v>-212941</v>
      </c>
      <c r="H43" s="121">
        <v>-250061.17590559012</v>
      </c>
      <c r="I43" s="129">
        <f t="shared" si="3"/>
        <v>-4.9444780982640789E-2</v>
      </c>
      <c r="J43" s="129"/>
      <c r="K43" s="129"/>
      <c r="L43" s="135">
        <v>-270303</v>
      </c>
      <c r="M43" s="129">
        <f t="shared" si="4"/>
        <v>-5.0944987939572341E-2</v>
      </c>
      <c r="N43" s="129">
        <f t="shared" si="2"/>
        <v>8.0947488234047668E-2</v>
      </c>
      <c r="O43" s="101"/>
    </row>
    <row r="44" spans="1:19" s="85" customFormat="1" x14ac:dyDescent="0.3">
      <c r="A44" s="149" t="s">
        <v>8</v>
      </c>
      <c r="B44" s="81">
        <v>-509961</v>
      </c>
      <c r="C44" s="81">
        <v>-684105</v>
      </c>
      <c r="D44" s="81">
        <v>-815817</v>
      </c>
      <c r="E44" s="81">
        <v>-975970</v>
      </c>
      <c r="F44" s="81">
        <v>-1102578</v>
      </c>
      <c r="G44" s="81">
        <v>-1103652</v>
      </c>
      <c r="H44" s="121">
        <v>-1221301.5797654777</v>
      </c>
      <c r="I44" s="129">
        <f t="shared" si="3"/>
        <v>-0.24148886330141939</v>
      </c>
      <c r="J44" s="129"/>
      <c r="K44" s="129"/>
      <c r="L44" s="135">
        <v>-1326976</v>
      </c>
      <c r="M44" s="129">
        <f t="shared" si="4"/>
        <v>-0.25009998526136201</v>
      </c>
      <c r="N44" s="129">
        <f t="shared" si="2"/>
        <v>8.6526065294056695E-2</v>
      </c>
      <c r="O44" s="101"/>
    </row>
    <row r="45" spans="1:19" s="85" customFormat="1" x14ac:dyDescent="0.3">
      <c r="A45" s="149" t="s">
        <v>84</v>
      </c>
      <c r="B45" s="81"/>
      <c r="C45" s="81"/>
      <c r="D45" s="81"/>
      <c r="E45" s="81"/>
      <c r="F45" s="81"/>
      <c r="G45" s="81">
        <v>-121613</v>
      </c>
      <c r="H45" s="121">
        <v>-123323</v>
      </c>
      <c r="I45" s="129">
        <f t="shared" si="3"/>
        <v>-2.4384747864356085E-2</v>
      </c>
      <c r="J45" s="129"/>
      <c r="K45" s="129"/>
      <c r="L45" s="135">
        <v>-122931</v>
      </c>
      <c r="M45" s="129">
        <f t="shared" si="4"/>
        <v>-2.3169251959466106E-2</v>
      </c>
      <c r="N45" s="129">
        <f t="shared" si="2"/>
        <v>-3.178644697258419E-3</v>
      </c>
      <c r="O45" s="101"/>
    </row>
    <row r="46" spans="1:19" s="95" customFormat="1" x14ac:dyDescent="0.3">
      <c r="A46" s="148" t="s">
        <v>9</v>
      </c>
      <c r="B46" s="80">
        <v>-605814</v>
      </c>
      <c r="C46" s="80">
        <v>-811305</v>
      </c>
      <c r="D46" s="80">
        <v>-981324</v>
      </c>
      <c r="E46" s="80">
        <v>-1159747</v>
      </c>
      <c r="F46" s="80">
        <v>-1321453</v>
      </c>
      <c r="G46" s="80">
        <v>-1438206</v>
      </c>
      <c r="H46" s="123">
        <f>SUM(H43:H45)</f>
        <v>-1594685.7556710679</v>
      </c>
      <c r="I46" s="138">
        <f t="shared" si="3"/>
        <v>-0.31531839214841628</v>
      </c>
      <c r="J46" s="138"/>
      <c r="K46" s="138"/>
      <c r="L46" s="134">
        <f>SUM(L43:L45)</f>
        <v>-1720210</v>
      </c>
      <c r="M46" s="138">
        <f t="shared" si="4"/>
        <v>-0.32421422516040049</v>
      </c>
      <c r="N46" s="129">
        <f t="shared" si="2"/>
        <v>7.8714093910062954E-2</v>
      </c>
      <c r="O46" s="111"/>
      <c r="P46" s="85"/>
    </row>
    <row r="47" spans="1:19" s="95" customFormat="1" x14ac:dyDescent="0.3">
      <c r="A47" s="148" t="s">
        <v>1</v>
      </c>
      <c r="B47" s="80">
        <v>263181</v>
      </c>
      <c r="C47" s="80">
        <v>300074</v>
      </c>
      <c r="D47" s="80">
        <v>432885</v>
      </c>
      <c r="E47" s="80">
        <v>465886</v>
      </c>
      <c r="F47" s="80">
        <v>448724</v>
      </c>
      <c r="G47" s="80">
        <v>432744.12552083982</v>
      </c>
      <c r="H47" s="123">
        <f>+H42+H46</f>
        <v>432495.01641320647</v>
      </c>
      <c r="I47" s="138">
        <f t="shared" si="3"/>
        <v>8.5517558994077231E-2</v>
      </c>
      <c r="J47" s="138"/>
      <c r="K47" s="138"/>
      <c r="L47" s="134">
        <f>+L42+L46</f>
        <v>521112</v>
      </c>
      <c r="M47" s="138">
        <f t="shared" si="4"/>
        <v>9.8215870912148298E-2</v>
      </c>
      <c r="N47" s="129">
        <f t="shared" si="2"/>
        <v>0.2048971207153257</v>
      </c>
      <c r="O47" s="111"/>
      <c r="P47" s="85"/>
    </row>
    <row r="48" spans="1:19" s="85" customFormat="1" x14ac:dyDescent="0.3">
      <c r="A48" s="149" t="s">
        <v>51</v>
      </c>
      <c r="B48" s="81">
        <v>14213</v>
      </c>
      <c r="C48" s="81">
        <v>13821</v>
      </c>
      <c r="D48" s="81">
        <v>11386</v>
      </c>
      <c r="E48" s="81">
        <v>11580</v>
      </c>
      <c r="F48" s="81">
        <v>9537</v>
      </c>
      <c r="G48" s="81">
        <v>8084</v>
      </c>
      <c r="H48" s="121">
        <v>7592</v>
      </c>
      <c r="I48" s="129">
        <f t="shared" si="3"/>
        <v>1.5011717667117357E-3</v>
      </c>
      <c r="J48" s="129"/>
      <c r="K48" s="129"/>
      <c r="L48" s="135">
        <v>12296</v>
      </c>
      <c r="M48" s="129">
        <f t="shared" si="4"/>
        <v>2.3174717694771476E-3</v>
      </c>
      <c r="N48" s="129">
        <f t="shared" si="2"/>
        <v>0.61959957850368808</v>
      </c>
      <c r="O48" s="101"/>
    </row>
    <row r="49" spans="1:16" s="85" customFormat="1" x14ac:dyDescent="0.3">
      <c r="A49" s="149" t="s">
        <v>11</v>
      </c>
      <c r="B49" s="81">
        <v>-25197</v>
      </c>
      <c r="C49" s="81">
        <v>-64413</v>
      </c>
      <c r="D49" s="81">
        <v>-84176</v>
      </c>
      <c r="E49" s="81">
        <v>-88738</v>
      </c>
      <c r="F49" s="81">
        <v>-103331</v>
      </c>
      <c r="G49" s="81">
        <v>-79867</v>
      </c>
      <c r="H49" s="121">
        <v>-84666</v>
      </c>
      <c r="I49" s="129">
        <f t="shared" si="3"/>
        <v>-1.6741070706061095E-2</v>
      </c>
      <c r="J49" s="129"/>
      <c r="K49" s="129"/>
      <c r="L49" s="135">
        <v>-70722</v>
      </c>
      <c r="M49" s="129">
        <f t="shared" si="4"/>
        <v>-1.3329232147117993E-2</v>
      </c>
      <c r="N49" s="129">
        <f t="shared" si="2"/>
        <v>-0.16469421019063143</v>
      </c>
      <c r="O49" s="101"/>
    </row>
    <row r="50" spans="1:16" s="85" customFormat="1" x14ac:dyDescent="0.3">
      <c r="A50" s="149" t="s">
        <v>12</v>
      </c>
      <c r="B50" s="81">
        <v>-24458</v>
      </c>
      <c r="C50" s="81">
        <v>-32576</v>
      </c>
      <c r="D50" s="81">
        <v>-17533</v>
      </c>
      <c r="E50" s="81">
        <v>-27906</v>
      </c>
      <c r="F50" s="81">
        <v>-1787</v>
      </c>
      <c r="G50" s="81">
        <v>-28926</v>
      </c>
      <c r="H50" s="121">
        <v>-3636</v>
      </c>
      <c r="I50" s="129">
        <f t="shared" si="3"/>
        <v>-7.1894896519545195E-4</v>
      </c>
      <c r="J50" s="129"/>
      <c r="K50" s="129"/>
      <c r="L50" s="135">
        <v>1782</v>
      </c>
      <c r="M50" s="129">
        <f t="shared" si="4"/>
        <v>3.3586001083346433E-4</v>
      </c>
      <c r="N50" s="129">
        <f t="shared" si="2"/>
        <v>-1.4900990099009901</v>
      </c>
      <c r="O50" s="101"/>
    </row>
    <row r="51" spans="1:16" s="85" customFormat="1" x14ac:dyDescent="0.3">
      <c r="A51" s="149" t="s">
        <v>52</v>
      </c>
      <c r="B51" s="81">
        <v>-1493</v>
      </c>
      <c r="C51" s="81">
        <v>-70809</v>
      </c>
      <c r="D51" s="81">
        <v>-27554</v>
      </c>
      <c r="E51" s="81">
        <v>-96678</v>
      </c>
      <c r="F51" s="81">
        <v>-89202</v>
      </c>
      <c r="G51" s="81">
        <v>-23551</v>
      </c>
      <c r="H51" s="121">
        <v>-26933</v>
      </c>
      <c r="I51" s="129">
        <f t="shared" si="3"/>
        <v>-5.3254819800905139E-3</v>
      </c>
      <c r="J51" s="129"/>
      <c r="K51" s="129"/>
      <c r="L51" s="135">
        <v>-13536</v>
      </c>
      <c r="M51" s="129">
        <f t="shared" si="4"/>
        <v>-2.5511790721895471E-3</v>
      </c>
      <c r="N51" s="129">
        <f t="shared" si="2"/>
        <v>-0.49741952251884308</v>
      </c>
      <c r="O51" s="101"/>
    </row>
    <row r="52" spans="1:16" s="85" customFormat="1" x14ac:dyDescent="0.3">
      <c r="A52" s="149" t="s">
        <v>14</v>
      </c>
      <c r="B52" s="81">
        <v>22218</v>
      </c>
      <c r="C52" s="81">
        <v>29348</v>
      </c>
      <c r="D52" s="81">
        <v>25763</v>
      </c>
      <c r="E52" s="81">
        <v>27907</v>
      </c>
      <c r="F52" s="81">
        <v>28975</v>
      </c>
      <c r="G52" s="81">
        <v>30996</v>
      </c>
      <c r="H52" s="121">
        <v>33531</v>
      </c>
      <c r="I52" s="129">
        <f t="shared" si="3"/>
        <v>6.6301093927306652E-3</v>
      </c>
      <c r="J52" s="129"/>
      <c r="K52" s="129"/>
      <c r="L52" s="135">
        <v>35188</v>
      </c>
      <c r="M52" s="129">
        <f t="shared" si="4"/>
        <v>6.6320101353579929E-3</v>
      </c>
      <c r="N52" s="129">
        <f t="shared" si="2"/>
        <v>4.9416957442366766E-2</v>
      </c>
      <c r="O52" s="101"/>
    </row>
    <row r="53" spans="1:16" s="85" customFormat="1" x14ac:dyDescent="0.3">
      <c r="A53" s="149" t="s">
        <v>16</v>
      </c>
      <c r="B53" s="81">
        <v>18955</v>
      </c>
      <c r="C53" s="81">
        <v>71319</v>
      </c>
      <c r="D53" s="81">
        <v>6759</v>
      </c>
      <c r="E53" s="81">
        <v>80511</v>
      </c>
      <c r="F53" s="81">
        <v>2124</v>
      </c>
      <c r="G53" s="81">
        <v>1513.7364279999999</v>
      </c>
      <c r="H53" s="121">
        <v>11185</v>
      </c>
      <c r="I53" s="129">
        <f t="shared" si="3"/>
        <v>2.2116183101515761E-3</v>
      </c>
      <c r="J53" s="129"/>
      <c r="K53" s="129"/>
      <c r="L53" s="135">
        <v>0</v>
      </c>
      <c r="M53" s="129">
        <f t="shared" si="4"/>
        <v>0</v>
      </c>
      <c r="N53" s="129">
        <f t="shared" si="2"/>
        <v>-1</v>
      </c>
      <c r="O53" s="101"/>
    </row>
    <row r="54" spans="1:16" s="95" customFormat="1" x14ac:dyDescent="0.3">
      <c r="A54" s="148" t="s">
        <v>2</v>
      </c>
      <c r="B54" s="80">
        <v>4238</v>
      </c>
      <c r="C54" s="80">
        <v>-53310</v>
      </c>
      <c r="D54" s="80">
        <v>-85355</v>
      </c>
      <c r="E54" s="80">
        <v>-93324</v>
      </c>
      <c r="F54" s="80">
        <v>-153684</v>
      </c>
      <c r="G54" s="80">
        <v>-91750.263571999996</v>
      </c>
      <c r="H54" s="123">
        <f>SUM(H48:H53)</f>
        <v>-62927</v>
      </c>
      <c r="I54" s="138">
        <f t="shared" si="3"/>
        <v>-1.2442602181753082E-2</v>
      </c>
      <c r="J54" s="138"/>
      <c r="K54" s="138"/>
      <c r="L54" s="134">
        <f>SUM(L48:L53)</f>
        <v>-34992</v>
      </c>
      <c r="M54" s="138">
        <f t="shared" si="4"/>
        <v>-6.5950693036389355E-3</v>
      </c>
      <c r="N54" s="129">
        <f t="shared" si="2"/>
        <v>-0.44392709012029813</v>
      </c>
      <c r="O54" s="111"/>
      <c r="P54" s="85"/>
    </row>
    <row r="55" spans="1:16" s="95" customFormat="1" x14ac:dyDescent="0.3">
      <c r="A55" s="148" t="s">
        <v>41</v>
      </c>
      <c r="B55" s="80">
        <v>267419</v>
      </c>
      <c r="C55" s="80">
        <v>246764</v>
      </c>
      <c r="D55" s="80">
        <v>347530</v>
      </c>
      <c r="E55" s="80">
        <v>372562</v>
      </c>
      <c r="F55" s="80">
        <v>295040</v>
      </c>
      <c r="G55" s="80">
        <v>340993.86194883985</v>
      </c>
      <c r="H55" s="123">
        <f>+H47+H54</f>
        <v>369568.01641320647</v>
      </c>
      <c r="I55" s="138">
        <f t="shared" si="3"/>
        <v>7.3074956812324149E-2</v>
      </c>
      <c r="J55" s="138"/>
      <c r="K55" s="138"/>
      <c r="L55" s="134">
        <f>+L47+L54</f>
        <v>486120</v>
      </c>
      <c r="M55" s="138">
        <f t="shared" si="4"/>
        <v>9.1620801608509356E-2</v>
      </c>
      <c r="N55" s="129">
        <f t="shared" si="2"/>
        <v>0.31537356700391284</v>
      </c>
      <c r="O55" s="111"/>
      <c r="P55" s="85"/>
    </row>
    <row r="56" spans="1:16" s="85" customFormat="1" x14ac:dyDescent="0.3">
      <c r="A56" s="149" t="s">
        <v>15</v>
      </c>
      <c r="B56" s="81">
        <v>-84076</v>
      </c>
      <c r="C56" s="81">
        <v>-70246</v>
      </c>
      <c r="D56" s="81">
        <v>-99987</v>
      </c>
      <c r="E56" s="81">
        <v>-73232</v>
      </c>
      <c r="F56" s="81">
        <v>-81309</v>
      </c>
      <c r="G56" s="81">
        <v>-76992.534036829995</v>
      </c>
      <c r="H56" s="121">
        <v>-113919.04882074999</v>
      </c>
      <c r="I56" s="129">
        <f t="shared" si="3"/>
        <v>-2.2525297652840587E-2</v>
      </c>
      <c r="J56" s="129"/>
      <c r="K56" s="129"/>
      <c r="L56" s="135">
        <v>-138457</v>
      </c>
      <c r="M56" s="129">
        <f t="shared" si="4"/>
        <v>-2.609549355778281E-2</v>
      </c>
      <c r="N56" s="129">
        <f t="shared" si="2"/>
        <v>0.21539813958471626</v>
      </c>
      <c r="O56" s="101"/>
    </row>
    <row r="57" spans="1:16" s="85" customFormat="1" x14ac:dyDescent="0.3">
      <c r="A57" s="149" t="s">
        <v>18</v>
      </c>
      <c r="B57" s="81">
        <v>-23</v>
      </c>
      <c r="C57" s="81">
        <v>17</v>
      </c>
      <c r="D57" s="81">
        <v>-230</v>
      </c>
      <c r="E57" s="81">
        <v>-279</v>
      </c>
      <c r="F57" s="81">
        <v>-457</v>
      </c>
      <c r="G57" s="81">
        <v>-762.45166136</v>
      </c>
      <c r="H57" s="121">
        <v>-2137.6216936399992</v>
      </c>
      <c r="I57" s="129">
        <f t="shared" si="3"/>
        <v>-4.2267351612261463E-4</v>
      </c>
      <c r="J57" s="129"/>
      <c r="K57" s="129"/>
      <c r="L57" s="135">
        <v>-2156</v>
      </c>
      <c r="M57" s="129">
        <f t="shared" si="4"/>
        <v>-4.0634914890962348E-4</v>
      </c>
      <c r="N57" s="129">
        <f t="shared" si="2"/>
        <v>8.5975485815292865E-3</v>
      </c>
      <c r="O57" s="101"/>
    </row>
    <row r="58" spans="1:16" s="95" customFormat="1" x14ac:dyDescent="0.3">
      <c r="A58" s="150" t="s">
        <v>17</v>
      </c>
      <c r="B58" s="113">
        <v>183320</v>
      </c>
      <c r="C58" s="113">
        <v>176535</v>
      </c>
      <c r="D58" s="113">
        <v>247313</v>
      </c>
      <c r="E58" s="113">
        <v>299051</v>
      </c>
      <c r="F58" s="113">
        <v>213274</v>
      </c>
      <c r="G58" s="113">
        <v>263238.87625064986</v>
      </c>
      <c r="H58" s="143">
        <f>+H55+H56+H57</f>
        <v>253511.34589881651</v>
      </c>
      <c r="I58" s="139">
        <f t="shared" si="3"/>
        <v>5.0126985643360954E-2</v>
      </c>
      <c r="J58" s="139"/>
      <c r="K58" s="139"/>
      <c r="L58" s="136">
        <f>+L55+L56+L57</f>
        <v>345507</v>
      </c>
      <c r="M58" s="139">
        <f t="shared" si="4"/>
        <v>6.5118958901816917E-2</v>
      </c>
      <c r="N58" s="139">
        <f>+(L58-H58)/H58</f>
        <v>0.36288574688843134</v>
      </c>
      <c r="O58" s="111"/>
      <c r="P58" s="85"/>
    </row>
    <row r="59" spans="1:16" s="95" customFormat="1" ht="15.75" thickBot="1" x14ac:dyDescent="0.35">
      <c r="A59" s="151" t="s">
        <v>19</v>
      </c>
      <c r="B59" s="91">
        <v>317502</v>
      </c>
      <c r="C59" s="91">
        <v>382594</v>
      </c>
      <c r="D59" s="91">
        <v>528754</v>
      </c>
      <c r="E59" s="91">
        <v>569823</v>
      </c>
      <c r="F59" s="91">
        <v>551034</v>
      </c>
      <c r="G59" s="91">
        <v>538165</v>
      </c>
      <c r="H59" s="122">
        <v>568131.17041880696</v>
      </c>
      <c r="I59" s="140">
        <f t="shared" si="3"/>
        <v>0.11233699589325694</v>
      </c>
      <c r="J59" s="140"/>
      <c r="K59" s="140"/>
      <c r="L59" s="137">
        <v>671095</v>
      </c>
      <c r="M59" s="140">
        <f t="shared" si="4"/>
        <v>0.1264837115433691</v>
      </c>
      <c r="N59" s="130">
        <f>+(L59-H59)/H59</f>
        <v>0.18123249513891593</v>
      </c>
      <c r="O59" s="111"/>
      <c r="P59" s="85"/>
    </row>
    <row r="60" spans="1:16" s="85" customFormat="1" x14ac:dyDescent="0.3">
      <c r="A60" s="81"/>
      <c r="B60" s="81"/>
      <c r="C60" s="81"/>
      <c r="D60" s="81"/>
      <c r="E60" s="81"/>
      <c r="F60" s="81"/>
      <c r="G60" s="81"/>
      <c r="H60" s="81"/>
      <c r="I60" s="82"/>
      <c r="J60" s="82"/>
      <c r="K60" s="82"/>
      <c r="L60" s="112"/>
      <c r="M60" s="82"/>
      <c r="N60" s="101"/>
      <c r="O60" s="101"/>
    </row>
    <row r="61" spans="1:16" s="85" customFormat="1" x14ac:dyDescent="0.3">
      <c r="A61" s="85" t="s">
        <v>53</v>
      </c>
      <c r="H61" s="112"/>
      <c r="I61" s="112"/>
      <c r="J61" s="112"/>
      <c r="K61" s="112"/>
      <c r="L61" s="112"/>
      <c r="M61" s="82"/>
      <c r="N61" s="101"/>
      <c r="O61" s="101"/>
    </row>
    <row r="62" spans="1:16" s="85" customFormat="1" x14ac:dyDescent="0.3">
      <c r="H62" s="81"/>
      <c r="I62" s="81"/>
      <c r="J62" s="81"/>
      <c r="K62" s="81"/>
      <c r="L62" s="112"/>
      <c r="M62" s="82"/>
      <c r="N62" s="101"/>
      <c r="O62" s="101"/>
    </row>
    <row r="63" spans="1:16" s="85" customFormat="1" x14ac:dyDescent="0.3">
      <c r="H63" s="81"/>
      <c r="I63" s="81"/>
      <c r="J63" s="81"/>
      <c r="K63" s="81"/>
      <c r="L63" s="82"/>
      <c r="M63" s="82"/>
      <c r="N63" s="101"/>
      <c r="O63" s="101"/>
    </row>
    <row r="64" spans="1:16" s="85" customFormat="1" x14ac:dyDescent="0.3">
      <c r="H64" s="81"/>
      <c r="I64" s="81"/>
      <c r="J64" s="81"/>
      <c r="K64" s="81"/>
      <c r="L64" s="89"/>
      <c r="M64" s="82"/>
      <c r="N64" s="101"/>
      <c r="O64" s="101"/>
    </row>
    <row r="65" spans="13:13" x14ac:dyDescent="0.3">
      <c r="M65" s="77"/>
    </row>
    <row r="82" spans="13:13" x14ac:dyDescent="0.3">
      <c r="M82" s="77"/>
    </row>
  </sheetData>
  <pageMargins left="0.7" right="0.7" top="0.75" bottom="0.75" header="0.3" footer="0.3"/>
  <pageSetup paperSize="11" orientation="portrait" r:id="rId1"/>
  <customProperties>
    <customPr name="_pios_id" r:id="rId2"/>
  </customProperties>
  <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8"/>
  <sheetViews>
    <sheetView topLeftCell="E7" workbookViewId="0">
      <selection activeCell="Q26" sqref="Q26"/>
    </sheetView>
  </sheetViews>
  <sheetFormatPr baseColWidth="10" defaultColWidth="11.42578125" defaultRowHeight="15" x14ac:dyDescent="0.3"/>
  <cols>
    <col min="1" max="1" width="43.7109375" style="73" customWidth="1"/>
    <col min="2" max="2" width="14.42578125" style="73" customWidth="1"/>
    <col min="3" max="7" width="11.42578125" style="73" bestFit="1" customWidth="1"/>
    <col min="8" max="8" width="13" style="74" bestFit="1" customWidth="1"/>
    <col min="9" max="9" width="12.7109375" style="74" bestFit="1" customWidth="1"/>
    <col min="10" max="11" width="12.7109375" style="74" customWidth="1"/>
    <col min="12" max="12" width="13.42578125" style="75" bestFit="1" customWidth="1"/>
    <col min="13" max="16384" width="11.42578125" style="73"/>
  </cols>
  <sheetData>
    <row r="1" spans="1:19" x14ac:dyDescent="0.3">
      <c r="M1" s="75"/>
      <c r="N1" s="76"/>
      <c r="O1" s="76"/>
    </row>
    <row r="2" spans="1:19" x14ac:dyDescent="0.3">
      <c r="M2" s="75"/>
      <c r="N2" s="76"/>
      <c r="O2" s="76"/>
    </row>
    <row r="3" spans="1:19" x14ac:dyDescent="0.3">
      <c r="M3" s="75"/>
      <c r="N3" s="76"/>
      <c r="O3" s="76"/>
    </row>
    <row r="4" spans="1:19" x14ac:dyDescent="0.3">
      <c r="M4" s="75"/>
      <c r="N4" s="76"/>
      <c r="O4" s="76"/>
    </row>
    <row r="5" spans="1:19" x14ac:dyDescent="0.3">
      <c r="M5" s="75"/>
      <c r="N5" s="76"/>
      <c r="O5" s="76"/>
    </row>
    <row r="6" spans="1:19" ht="21" x14ac:dyDescent="0.35">
      <c r="A6" s="116" t="s">
        <v>90</v>
      </c>
      <c r="B6" s="116"/>
      <c r="C6" s="116"/>
      <c r="D6" s="116"/>
      <c r="E6" s="116"/>
      <c r="F6" s="116"/>
      <c r="G6" s="116"/>
      <c r="M6" s="75"/>
      <c r="N6" s="76"/>
      <c r="O6" s="76"/>
    </row>
    <row r="7" spans="1:19" ht="15.75" x14ac:dyDescent="0.3">
      <c r="A7" s="78" t="s">
        <v>67</v>
      </c>
      <c r="B7" s="78"/>
      <c r="C7" s="78"/>
      <c r="D7" s="78"/>
      <c r="E7" s="78"/>
      <c r="F7" s="78"/>
      <c r="G7" s="78"/>
      <c r="M7" s="75"/>
      <c r="N7" s="76"/>
      <c r="O7" s="76"/>
    </row>
    <row r="8" spans="1:19" x14ac:dyDescent="0.3">
      <c r="A8" s="79" t="s">
        <v>88</v>
      </c>
      <c r="B8" s="79"/>
      <c r="C8" s="79"/>
      <c r="D8" s="79"/>
      <c r="E8" s="79"/>
      <c r="F8" s="79"/>
      <c r="G8" s="79"/>
      <c r="M8" s="75"/>
      <c r="N8" s="76"/>
      <c r="O8" s="76"/>
    </row>
    <row r="9" spans="1:19" s="85" customFormat="1" x14ac:dyDescent="0.3">
      <c r="A9" s="80"/>
      <c r="B9" s="80"/>
      <c r="C9" s="80"/>
      <c r="D9" s="80"/>
      <c r="E9" s="80"/>
      <c r="F9" s="80"/>
      <c r="G9" s="80"/>
      <c r="H9" s="81"/>
      <c r="I9" s="81"/>
      <c r="J9" s="81"/>
      <c r="K9" s="81"/>
      <c r="L9" s="82"/>
      <c r="M9" s="82"/>
      <c r="N9" s="83"/>
      <c r="O9" s="83"/>
      <c r="P9" s="84"/>
      <c r="Q9" s="84"/>
      <c r="R9" s="84"/>
      <c r="S9" s="84"/>
    </row>
    <row r="10" spans="1:19" s="85" customFormat="1" ht="15.75" thickBot="1" x14ac:dyDescent="0.35">
      <c r="A10" s="104" t="s">
        <v>20</v>
      </c>
      <c r="B10" s="156">
        <v>2005</v>
      </c>
      <c r="C10" s="156">
        <v>2006</v>
      </c>
      <c r="D10" s="156">
        <v>2007</v>
      </c>
      <c r="E10" s="156">
        <v>2008</v>
      </c>
      <c r="F10" s="156">
        <v>2009</v>
      </c>
      <c r="G10" s="156">
        <v>2010</v>
      </c>
      <c r="H10" s="157">
        <v>2011</v>
      </c>
      <c r="I10" s="157">
        <v>2012</v>
      </c>
      <c r="J10" s="158" t="s">
        <v>46</v>
      </c>
      <c r="K10" s="145" t="s">
        <v>96</v>
      </c>
      <c r="L10" s="145" t="s">
        <v>95</v>
      </c>
      <c r="M10" s="158" t="s">
        <v>46</v>
      </c>
    </row>
    <row r="11" spans="1:19" s="85" customFormat="1" x14ac:dyDescent="0.3">
      <c r="A11" s="88" t="s">
        <v>21</v>
      </c>
      <c r="B11" s="81">
        <v>5989</v>
      </c>
      <c r="C11" s="81">
        <v>915</v>
      </c>
      <c r="D11" s="81">
        <v>1835</v>
      </c>
      <c r="E11" s="81">
        <v>382</v>
      </c>
      <c r="F11" s="81">
        <v>191</v>
      </c>
      <c r="G11" s="81">
        <v>225</v>
      </c>
      <c r="H11" s="121">
        <v>94</v>
      </c>
      <c r="I11" s="135">
        <v>75</v>
      </c>
      <c r="J11" s="129">
        <f>IF(H11&lt;&gt;0,(I11-H11)/H11,0)</f>
        <v>-0.20212765957446807</v>
      </c>
      <c r="K11" s="135">
        <v>109</v>
      </c>
      <c r="L11" s="135">
        <v>183</v>
      </c>
      <c r="M11" s="129">
        <f>IF(K11&lt;&gt;0,(L11-K11)/K11,0)</f>
        <v>0.67889908256880738</v>
      </c>
      <c r="N11" s="82"/>
    </row>
    <row r="12" spans="1:19" s="85" customFormat="1" x14ac:dyDescent="0.3">
      <c r="A12" s="88" t="s">
        <v>22</v>
      </c>
      <c r="B12" s="81">
        <v>2353634</v>
      </c>
      <c r="C12" s="81">
        <v>2658218</v>
      </c>
      <c r="D12" s="81">
        <v>2904738</v>
      </c>
      <c r="E12" s="81">
        <v>3041332</v>
      </c>
      <c r="F12" s="81">
        <v>3601952</v>
      </c>
      <c r="G12" s="81">
        <v>2716228</v>
      </c>
      <c r="H12" s="121">
        <v>3554895</v>
      </c>
      <c r="I12" s="135">
        <v>3748345</v>
      </c>
      <c r="J12" s="129">
        <f t="shared" ref="J12:J17" si="0">IF(H12&lt;&gt;0,(I12-H12)/H12,0)</f>
        <v>5.4417922329632801E-2</v>
      </c>
      <c r="K12" s="135">
        <v>3542714</v>
      </c>
      <c r="L12" s="135">
        <v>3787717</v>
      </c>
      <c r="M12" s="129">
        <f t="shared" ref="M12:M17" si="1">IF(K12&lt;&gt;0,(L12-K12)/K12,0)</f>
        <v>6.9156866741148168E-2</v>
      </c>
      <c r="N12" s="82"/>
    </row>
    <row r="13" spans="1:19" s="89" customFormat="1" ht="14.25" customHeight="1" x14ac:dyDescent="0.3">
      <c r="A13" s="88" t="s">
        <v>23</v>
      </c>
      <c r="B13" s="81">
        <v>5093</v>
      </c>
      <c r="C13" s="81">
        <v>21107</v>
      </c>
      <c r="D13" s="81">
        <v>10187</v>
      </c>
      <c r="E13" s="81">
        <v>24218</v>
      </c>
      <c r="F13" s="81">
        <v>43410</v>
      </c>
      <c r="G13" s="81">
        <v>90361</v>
      </c>
      <c r="H13" s="121">
        <v>10662</v>
      </c>
      <c r="I13" s="135">
        <v>14922</v>
      </c>
      <c r="J13" s="129">
        <f t="shared" si="0"/>
        <v>0.39954980303882948</v>
      </c>
      <c r="K13" s="135">
        <v>57620</v>
      </c>
      <c r="L13" s="135">
        <v>53661</v>
      </c>
      <c r="M13" s="129">
        <f t="shared" si="1"/>
        <v>-6.8708781673030198E-2</v>
      </c>
      <c r="N13" s="82"/>
      <c r="O13" s="85"/>
      <c r="Q13" s="85"/>
      <c r="R13" s="85"/>
      <c r="S13" s="85"/>
    </row>
    <row r="14" spans="1:19" s="89" customFormat="1" x14ac:dyDescent="0.3">
      <c r="A14" s="88" t="s">
        <v>37</v>
      </c>
      <c r="B14" s="81"/>
      <c r="C14" s="81"/>
      <c r="D14" s="81">
        <v>0</v>
      </c>
      <c r="E14" s="81">
        <v>50</v>
      </c>
      <c r="F14" s="81"/>
      <c r="G14" s="81"/>
      <c r="H14" s="121">
        <v>0</v>
      </c>
      <c r="I14" s="135">
        <v>0</v>
      </c>
      <c r="J14" s="129">
        <f t="shared" si="0"/>
        <v>0</v>
      </c>
      <c r="K14" s="135">
        <v>0</v>
      </c>
      <c r="L14" s="135">
        <v>0</v>
      </c>
      <c r="M14" s="129">
        <f t="shared" si="1"/>
        <v>0</v>
      </c>
      <c r="N14" s="82"/>
      <c r="O14" s="85"/>
      <c r="Q14" s="85"/>
      <c r="R14" s="85"/>
      <c r="S14" s="85"/>
    </row>
    <row r="15" spans="1:19" s="89" customFormat="1" x14ac:dyDescent="0.3">
      <c r="A15" s="88" t="s">
        <v>59</v>
      </c>
      <c r="B15" s="81">
        <v>23371</v>
      </c>
      <c r="C15" s="81">
        <v>1095</v>
      </c>
      <c r="D15" s="81">
        <v>209</v>
      </c>
      <c r="E15" s="81">
        <v>209</v>
      </c>
      <c r="F15" s="81">
        <v>209</v>
      </c>
      <c r="G15" s="81">
        <v>155</v>
      </c>
      <c r="H15" s="121">
        <f>503+155</f>
        <v>658</v>
      </c>
      <c r="I15" s="135">
        <v>118</v>
      </c>
      <c r="J15" s="129">
        <f t="shared" si="0"/>
        <v>-0.82066869300911849</v>
      </c>
      <c r="K15" s="135">
        <v>751</v>
      </c>
      <c r="L15" s="135">
        <v>5049</v>
      </c>
      <c r="M15" s="129">
        <f t="shared" si="1"/>
        <v>5.7230359520639151</v>
      </c>
      <c r="N15" s="82"/>
      <c r="O15" s="85"/>
      <c r="Q15" s="85"/>
      <c r="R15" s="85"/>
      <c r="S15" s="85"/>
    </row>
    <row r="16" spans="1:19" s="89" customFormat="1" x14ac:dyDescent="0.3">
      <c r="A16" s="88" t="s">
        <v>26</v>
      </c>
      <c r="B16" s="81">
        <v>1356015</v>
      </c>
      <c r="C16" s="81">
        <v>1347305</v>
      </c>
      <c r="D16" s="81">
        <v>1324771</v>
      </c>
      <c r="E16" s="81">
        <v>891321</v>
      </c>
      <c r="F16" s="81">
        <v>1869198</v>
      </c>
      <c r="G16" s="81">
        <v>3596772</v>
      </c>
      <c r="H16" s="121">
        <v>2979150</v>
      </c>
      <c r="I16" s="135">
        <v>3733696</v>
      </c>
      <c r="J16" s="129">
        <f t="shared" si="0"/>
        <v>0.25327559874460837</v>
      </c>
      <c r="K16" s="135">
        <v>2984131</v>
      </c>
      <c r="L16" s="135">
        <v>3775560</v>
      </c>
      <c r="M16" s="129">
        <f t="shared" si="1"/>
        <v>0.26521255266608607</v>
      </c>
      <c r="N16" s="82"/>
      <c r="O16" s="85"/>
      <c r="Q16" s="85"/>
      <c r="R16" s="85"/>
      <c r="S16" s="85"/>
    </row>
    <row r="17" spans="1:19" s="89" customFormat="1" ht="15.75" thickBot="1" x14ac:dyDescent="0.35">
      <c r="A17" s="90" t="s">
        <v>27</v>
      </c>
      <c r="B17" s="91">
        <f t="shared" ref="B17:I17" si="2">SUM(B11:B16)</f>
        <v>3744102</v>
      </c>
      <c r="C17" s="91">
        <f t="shared" si="2"/>
        <v>4028640</v>
      </c>
      <c r="D17" s="91">
        <f t="shared" si="2"/>
        <v>4241740</v>
      </c>
      <c r="E17" s="91">
        <f t="shared" si="2"/>
        <v>3957512</v>
      </c>
      <c r="F17" s="91">
        <f t="shared" si="2"/>
        <v>5514960</v>
      </c>
      <c r="G17" s="91">
        <f t="shared" si="2"/>
        <v>6403741</v>
      </c>
      <c r="H17" s="122">
        <f t="shared" si="2"/>
        <v>6545459</v>
      </c>
      <c r="I17" s="137">
        <f t="shared" si="2"/>
        <v>7497156</v>
      </c>
      <c r="J17" s="159">
        <f t="shared" si="0"/>
        <v>0.14539805382632448</v>
      </c>
      <c r="K17" s="137">
        <f>SUM(K11:K16)</f>
        <v>6585325</v>
      </c>
      <c r="L17" s="137">
        <f>SUM(L11:L16)</f>
        <v>7622170</v>
      </c>
      <c r="M17" s="159">
        <f t="shared" si="1"/>
        <v>0.15744781009289593</v>
      </c>
      <c r="N17" s="82"/>
      <c r="O17" s="85"/>
      <c r="Q17" s="85"/>
      <c r="R17" s="85"/>
      <c r="S17" s="85"/>
    </row>
    <row r="18" spans="1:19" s="85" customFormat="1" x14ac:dyDescent="0.3">
      <c r="B18" s="81"/>
      <c r="C18" s="81"/>
      <c r="D18" s="81"/>
      <c r="E18" s="81"/>
      <c r="F18" s="81"/>
      <c r="G18" s="81"/>
      <c r="H18" s="121"/>
      <c r="I18" s="135"/>
      <c r="J18" s="129"/>
      <c r="K18" s="135"/>
      <c r="L18" s="135"/>
      <c r="M18" s="129"/>
      <c r="N18" s="107"/>
    </row>
    <row r="19" spans="1:19" s="89" customFormat="1" x14ac:dyDescent="0.3">
      <c r="A19" s="104" t="s">
        <v>48</v>
      </c>
      <c r="B19" s="86"/>
      <c r="C19" s="86"/>
      <c r="D19" s="86"/>
      <c r="E19" s="86"/>
      <c r="F19" s="86"/>
      <c r="G19" s="86"/>
      <c r="H19" s="160">
        <v>2011</v>
      </c>
      <c r="I19" s="161">
        <v>2012</v>
      </c>
      <c r="J19" s="162" t="s">
        <v>46</v>
      </c>
      <c r="K19" s="161" t="s">
        <v>96</v>
      </c>
      <c r="L19" s="161" t="s">
        <v>95</v>
      </c>
      <c r="M19" s="162" t="s">
        <v>46</v>
      </c>
      <c r="N19" s="107"/>
      <c r="O19" s="85"/>
      <c r="Q19" s="85"/>
      <c r="R19" s="85"/>
      <c r="S19" s="85"/>
    </row>
    <row r="20" spans="1:19" s="89" customFormat="1" x14ac:dyDescent="0.3">
      <c r="A20" s="88" t="s">
        <v>28</v>
      </c>
      <c r="B20" s="81"/>
      <c r="C20" s="81"/>
      <c r="D20" s="81">
        <v>7000</v>
      </c>
      <c r="E20" s="81">
        <v>7000</v>
      </c>
      <c r="F20" s="81">
        <v>0</v>
      </c>
      <c r="G20" s="81">
        <v>445</v>
      </c>
      <c r="H20" s="121">
        <v>0</v>
      </c>
      <c r="I20" s="135">
        <v>7</v>
      </c>
      <c r="J20" s="129">
        <f t="shared" ref="J20:J28" si="3">IF(H20&lt;&gt;0,(I20-H20)/H20,0)</f>
        <v>0</v>
      </c>
      <c r="K20" s="135">
        <v>0</v>
      </c>
      <c r="L20" s="135">
        <v>0</v>
      </c>
      <c r="M20" s="129">
        <f t="shared" ref="M20:M28" si="4">IF(K20&lt;&gt;0,(L20-K20)/K20,0)</f>
        <v>0</v>
      </c>
      <c r="N20" s="82"/>
      <c r="O20" s="85"/>
      <c r="Q20" s="85"/>
      <c r="R20" s="85"/>
      <c r="S20" s="85"/>
    </row>
    <row r="21" spans="1:19" s="89" customFormat="1" x14ac:dyDescent="0.3">
      <c r="A21" s="88" t="s">
        <v>29</v>
      </c>
      <c r="B21" s="81">
        <v>37598</v>
      </c>
      <c r="C21" s="81">
        <v>60127</v>
      </c>
      <c r="D21" s="81">
        <v>62571</v>
      </c>
      <c r="E21" s="81">
        <v>71267</v>
      </c>
      <c r="F21" s="81">
        <v>111498</v>
      </c>
      <c r="G21" s="81">
        <v>70420</v>
      </c>
      <c r="H21" s="121">
        <v>59466</v>
      </c>
      <c r="I21" s="135">
        <v>65082</v>
      </c>
      <c r="J21" s="129">
        <f t="shared" si="3"/>
        <v>9.4440520633639391E-2</v>
      </c>
      <c r="K21" s="135">
        <v>196694</v>
      </c>
      <c r="L21" s="135">
        <v>221819</v>
      </c>
      <c r="M21" s="129">
        <f t="shared" si="4"/>
        <v>0.12773648408187338</v>
      </c>
      <c r="N21" s="82"/>
      <c r="O21" s="85"/>
      <c r="Q21" s="85"/>
      <c r="R21" s="85"/>
      <c r="S21" s="85"/>
    </row>
    <row r="22" spans="1:19" s="85" customFormat="1" x14ac:dyDescent="0.3">
      <c r="A22" s="88" t="s">
        <v>30</v>
      </c>
      <c r="B22" s="81">
        <v>3128</v>
      </c>
      <c r="C22" s="81">
        <v>98</v>
      </c>
      <c r="D22" s="81">
        <v>645</v>
      </c>
      <c r="E22" s="81">
        <v>1762</v>
      </c>
      <c r="F22" s="81">
        <v>430</v>
      </c>
      <c r="G22" s="81">
        <v>604</v>
      </c>
      <c r="H22" s="121">
        <v>585</v>
      </c>
      <c r="I22" s="135">
        <v>657</v>
      </c>
      <c r="J22" s="129">
        <f t="shared" si="3"/>
        <v>0.12307692307692308</v>
      </c>
      <c r="K22" s="135">
        <v>884</v>
      </c>
      <c r="L22" s="135">
        <v>1015</v>
      </c>
      <c r="M22" s="129">
        <f t="shared" si="4"/>
        <v>0.14819004524886878</v>
      </c>
      <c r="N22" s="82"/>
    </row>
    <row r="23" spans="1:19" s="85" customFormat="1" x14ac:dyDescent="0.3">
      <c r="A23" s="88" t="s">
        <v>31</v>
      </c>
      <c r="B23" s="81">
        <v>247</v>
      </c>
      <c r="C23" s="81">
        <v>501</v>
      </c>
      <c r="D23" s="81">
        <v>686</v>
      </c>
      <c r="E23" s="81">
        <v>940</v>
      </c>
      <c r="F23" s="81">
        <v>650</v>
      </c>
      <c r="G23" s="81">
        <v>947</v>
      </c>
      <c r="H23" s="121">
        <v>872</v>
      </c>
      <c r="I23" s="135">
        <v>481</v>
      </c>
      <c r="J23" s="129">
        <f t="shared" si="3"/>
        <v>-0.44839449541284404</v>
      </c>
      <c r="K23" s="135">
        <v>789</v>
      </c>
      <c r="L23" s="135">
        <v>482</v>
      </c>
      <c r="M23" s="129">
        <f t="shared" si="4"/>
        <v>-0.38910012674271227</v>
      </c>
      <c r="N23" s="82"/>
    </row>
    <row r="24" spans="1:19" s="85" customFormat="1" x14ac:dyDescent="0.3">
      <c r="A24" s="88" t="s">
        <v>32</v>
      </c>
      <c r="B24" s="81"/>
      <c r="C24" s="81"/>
      <c r="D24" s="81"/>
      <c r="E24" s="81"/>
      <c r="F24" s="81"/>
      <c r="G24" s="81"/>
      <c r="H24" s="121">
        <v>0</v>
      </c>
      <c r="I24" s="135">
        <v>0</v>
      </c>
      <c r="J24" s="129">
        <f t="shared" si="3"/>
        <v>0</v>
      </c>
      <c r="K24" s="135">
        <v>269</v>
      </c>
      <c r="L24" s="135">
        <v>2432</v>
      </c>
      <c r="M24" s="129">
        <f t="shared" si="4"/>
        <v>8.0408921933085509</v>
      </c>
      <c r="N24" s="82"/>
    </row>
    <row r="25" spans="1:19" s="85" customFormat="1" x14ac:dyDescent="0.3">
      <c r="A25" s="88" t="s">
        <v>87</v>
      </c>
      <c r="B25" s="81">
        <v>2356</v>
      </c>
      <c r="C25" s="81">
        <v>2509</v>
      </c>
      <c r="D25" s="81">
        <v>2679</v>
      </c>
      <c r="E25" s="81">
        <v>2934</v>
      </c>
      <c r="F25" s="81">
        <v>3179</v>
      </c>
      <c r="G25" s="81">
        <v>7650</v>
      </c>
      <c r="H25" s="121">
        <v>8296</v>
      </c>
      <c r="I25" s="135">
        <v>8803</v>
      </c>
      <c r="J25" s="129">
        <f t="shared" si="3"/>
        <v>6.1113789778206362E-2</v>
      </c>
      <c r="K25" s="135">
        <v>35612</v>
      </c>
      <c r="L25" s="135">
        <v>38966</v>
      </c>
      <c r="M25" s="129">
        <f t="shared" si="4"/>
        <v>9.4181736493316862E-2</v>
      </c>
      <c r="N25" s="82"/>
    </row>
    <row r="26" spans="1:19" s="95" customFormat="1" x14ac:dyDescent="0.3">
      <c r="A26" s="93" t="s">
        <v>33</v>
      </c>
      <c r="B26" s="80">
        <f t="shared" ref="B26:G26" si="5">SUM(B20:B25)</f>
        <v>43329</v>
      </c>
      <c r="C26" s="80">
        <f t="shared" si="5"/>
        <v>63235</v>
      </c>
      <c r="D26" s="80">
        <f t="shared" si="5"/>
        <v>73581</v>
      </c>
      <c r="E26" s="80">
        <f t="shared" si="5"/>
        <v>83903</v>
      </c>
      <c r="F26" s="80">
        <f t="shared" si="5"/>
        <v>115757</v>
      </c>
      <c r="G26" s="80">
        <f t="shared" si="5"/>
        <v>80066</v>
      </c>
      <c r="H26" s="123">
        <f>SUM(H20:H25)</f>
        <v>69219</v>
      </c>
      <c r="I26" s="134">
        <f>SUM(I20:I25)</f>
        <v>75030</v>
      </c>
      <c r="J26" s="138">
        <f t="shared" si="3"/>
        <v>8.3950938326182112E-2</v>
      </c>
      <c r="K26" s="134">
        <f>SUM(K20:K25)</f>
        <v>234248</v>
      </c>
      <c r="L26" s="134">
        <f>SUM(L20:L25)</f>
        <v>264714</v>
      </c>
      <c r="M26" s="138">
        <f t="shared" si="4"/>
        <v>0.13005874116321164</v>
      </c>
      <c r="N26" s="82"/>
      <c r="O26" s="85"/>
      <c r="Q26" s="85"/>
      <c r="R26" s="85"/>
      <c r="S26" s="85"/>
    </row>
    <row r="27" spans="1:19" s="95" customFormat="1" x14ac:dyDescent="0.3">
      <c r="A27" s="96" t="s">
        <v>34</v>
      </c>
      <c r="B27" s="97">
        <v>3700773</v>
      </c>
      <c r="C27" s="97">
        <v>3965405</v>
      </c>
      <c r="D27" s="97">
        <v>4168159</v>
      </c>
      <c r="E27" s="97">
        <v>3873609</v>
      </c>
      <c r="F27" s="97">
        <v>5399203</v>
      </c>
      <c r="G27" s="97">
        <v>6323675</v>
      </c>
      <c r="H27" s="124">
        <v>6476240</v>
      </c>
      <c r="I27" s="163">
        <v>7422126</v>
      </c>
      <c r="J27" s="131">
        <f t="shared" si="3"/>
        <v>0.14605480958086792</v>
      </c>
      <c r="K27" s="163">
        <v>6351077</v>
      </c>
      <c r="L27" s="163">
        <v>7357456</v>
      </c>
      <c r="M27" s="131">
        <f t="shared" si="4"/>
        <v>0.15845800641371535</v>
      </c>
      <c r="N27" s="82"/>
      <c r="O27" s="85"/>
      <c r="Q27" s="85"/>
      <c r="R27" s="85"/>
      <c r="S27" s="85"/>
    </row>
    <row r="28" spans="1:19" s="95" customFormat="1" ht="15.75" thickBot="1" x14ac:dyDescent="0.35">
      <c r="A28" s="90" t="s">
        <v>35</v>
      </c>
      <c r="B28" s="91">
        <f t="shared" ref="B28:G28" si="6">+B26+B27</f>
        <v>3744102</v>
      </c>
      <c r="C28" s="91">
        <f t="shared" si="6"/>
        <v>4028640</v>
      </c>
      <c r="D28" s="91">
        <f t="shared" si="6"/>
        <v>4241740</v>
      </c>
      <c r="E28" s="91">
        <f t="shared" si="6"/>
        <v>3957512</v>
      </c>
      <c r="F28" s="91">
        <f t="shared" si="6"/>
        <v>5514960</v>
      </c>
      <c r="G28" s="91">
        <f t="shared" si="6"/>
        <v>6403741</v>
      </c>
      <c r="H28" s="122">
        <f>+H26+H27</f>
        <v>6545459</v>
      </c>
      <c r="I28" s="137">
        <f>+I26+I27</f>
        <v>7497156</v>
      </c>
      <c r="J28" s="130">
        <f t="shared" si="3"/>
        <v>0.14539805382632448</v>
      </c>
      <c r="K28" s="137">
        <f>+K26+K27</f>
        <v>6585325</v>
      </c>
      <c r="L28" s="137">
        <f>+L26+L27</f>
        <v>7622170</v>
      </c>
      <c r="M28" s="130">
        <f t="shared" si="4"/>
        <v>0.15744781009289593</v>
      </c>
      <c r="N28" s="82"/>
      <c r="O28" s="85"/>
      <c r="Q28" s="85"/>
      <c r="R28" s="85"/>
      <c r="S28" s="85"/>
    </row>
    <row r="29" spans="1:19" s="85" customFormat="1" x14ac:dyDescent="0.3">
      <c r="A29" s="88" t="s">
        <v>54</v>
      </c>
      <c r="B29" s="81">
        <v>435123458</v>
      </c>
      <c r="C29" s="81">
        <v>435123458</v>
      </c>
      <c r="D29" s="81">
        <v>435123458</v>
      </c>
      <c r="E29" s="81">
        <v>435123458</v>
      </c>
      <c r="F29" s="81">
        <v>435123458</v>
      </c>
      <c r="G29" s="81">
        <v>435123458</v>
      </c>
      <c r="H29" s="121">
        <f>435123458+25000000</f>
        <v>460123458</v>
      </c>
      <c r="I29" s="135">
        <f>435123458+25000000</f>
        <v>460123458</v>
      </c>
      <c r="J29" s="129"/>
      <c r="K29" s="135">
        <f>435123458+25000000</f>
        <v>460123458</v>
      </c>
      <c r="L29" s="135">
        <f>435123458+25000000</f>
        <v>460123458</v>
      </c>
      <c r="M29" s="129"/>
      <c r="N29" s="107"/>
    </row>
    <row r="30" spans="1:19" s="85" customFormat="1" x14ac:dyDescent="0.3">
      <c r="A30" s="88" t="s">
        <v>71</v>
      </c>
      <c r="B30" s="100">
        <f t="shared" ref="B30:I30" si="7">+B27/+(B29/1000000)</f>
        <v>8505.1102898708796</v>
      </c>
      <c r="C30" s="100">
        <f t="shared" si="7"/>
        <v>9113.2871075868297</v>
      </c>
      <c r="D30" s="100">
        <f t="shared" si="7"/>
        <v>9579.2560096817397</v>
      </c>
      <c r="E30" s="100">
        <f t="shared" si="7"/>
        <v>8902.3216946395933</v>
      </c>
      <c r="F30" s="100">
        <f t="shared" si="7"/>
        <v>12408.439261851976</v>
      </c>
      <c r="G30" s="100">
        <f t="shared" si="7"/>
        <v>14533.059258781675</v>
      </c>
      <c r="H30" s="164">
        <f t="shared" si="7"/>
        <v>14075.005060924323</v>
      </c>
      <c r="I30" s="165">
        <f t="shared" si="7"/>
        <v>16130.727244947375</v>
      </c>
      <c r="J30" s="129"/>
      <c r="K30" s="165">
        <f>+K27/+(K29/1000000)</f>
        <v>13802.984589409914</v>
      </c>
      <c r="L30" s="165">
        <f>+L27/+(L29/1000000)</f>
        <v>15990.178010007045</v>
      </c>
      <c r="M30" s="129"/>
      <c r="N30" s="107"/>
    </row>
    <row r="31" spans="1:19" s="85" customFormat="1" x14ac:dyDescent="0.3">
      <c r="A31" s="115"/>
      <c r="B31" s="115"/>
      <c r="C31" s="115"/>
      <c r="D31" s="115"/>
      <c r="E31" s="115"/>
      <c r="F31" s="81"/>
      <c r="G31" s="115"/>
      <c r="H31" s="100"/>
      <c r="I31" s="100"/>
      <c r="J31" s="100"/>
      <c r="K31" s="100"/>
      <c r="L31" s="82"/>
      <c r="N31" s="107"/>
    </row>
    <row r="32" spans="1:19" s="85" customFormat="1" x14ac:dyDescent="0.3">
      <c r="A32" s="115"/>
      <c r="B32" s="115"/>
      <c r="C32" s="115"/>
      <c r="D32" s="115"/>
      <c r="E32" s="115"/>
      <c r="F32" s="100"/>
      <c r="G32" s="115"/>
      <c r="H32" s="100"/>
      <c r="I32" s="100"/>
      <c r="J32" s="100"/>
      <c r="K32" s="100"/>
      <c r="L32" s="82"/>
      <c r="N32" s="107"/>
    </row>
    <row r="33" spans="1:17" ht="21" x14ac:dyDescent="0.35">
      <c r="A33" s="116" t="s">
        <v>92</v>
      </c>
      <c r="B33" s="116"/>
      <c r="C33" s="116"/>
      <c r="D33" s="116"/>
      <c r="E33" s="116"/>
      <c r="F33" s="116"/>
      <c r="G33" s="116"/>
      <c r="M33" s="75"/>
      <c r="N33" s="109"/>
      <c r="O33" s="76"/>
    </row>
    <row r="34" spans="1:17" ht="15.75" x14ac:dyDescent="0.3">
      <c r="A34" s="78" t="s">
        <v>93</v>
      </c>
      <c r="B34" s="78"/>
      <c r="C34" s="78"/>
      <c r="D34" s="78"/>
      <c r="E34" s="78"/>
      <c r="F34" s="78"/>
      <c r="G34" s="78"/>
      <c r="M34" s="75"/>
      <c r="N34" s="109"/>
      <c r="O34" s="76"/>
    </row>
    <row r="35" spans="1:17" x14ac:dyDescent="0.3">
      <c r="A35" s="79" t="s">
        <v>88</v>
      </c>
      <c r="B35" s="79"/>
      <c r="C35" s="79"/>
      <c r="D35" s="79"/>
      <c r="E35" s="79"/>
      <c r="F35" s="79"/>
      <c r="G35" s="79"/>
      <c r="M35" s="75"/>
      <c r="N35" s="109"/>
      <c r="O35" s="76"/>
    </row>
    <row r="36" spans="1:17" s="85" customFormat="1" x14ac:dyDescent="0.3">
      <c r="H36" s="81"/>
      <c r="I36" s="81"/>
      <c r="J36" s="81"/>
      <c r="K36" s="81"/>
      <c r="L36" s="82"/>
      <c r="N36" s="107"/>
    </row>
    <row r="37" spans="1:17" s="85" customFormat="1" ht="15.75" thickBot="1" x14ac:dyDescent="0.35">
      <c r="B37" s="156">
        <v>2005</v>
      </c>
      <c r="C37" s="156">
        <v>2006</v>
      </c>
      <c r="D37" s="156">
        <v>2007</v>
      </c>
      <c r="E37" s="156">
        <v>2008</v>
      </c>
      <c r="F37" s="156">
        <v>2009</v>
      </c>
      <c r="G37" s="156">
        <v>2010</v>
      </c>
      <c r="H37" s="157">
        <v>2011</v>
      </c>
      <c r="I37" s="157">
        <v>2012</v>
      </c>
      <c r="J37" s="167" t="s">
        <v>46</v>
      </c>
      <c r="K37" s="145" t="s">
        <v>96</v>
      </c>
      <c r="L37" s="145" t="s">
        <v>95</v>
      </c>
      <c r="M37" s="167" t="s">
        <v>46</v>
      </c>
      <c r="O37" s="107"/>
    </row>
    <row r="38" spans="1:17" s="95" customFormat="1" x14ac:dyDescent="0.3">
      <c r="A38" s="85" t="s">
        <v>72</v>
      </c>
      <c r="B38" s="80">
        <v>158869</v>
      </c>
      <c r="C38" s="80">
        <v>163042</v>
      </c>
      <c r="D38" s="80">
        <v>231987</v>
      </c>
      <c r="E38" s="80">
        <v>268897</v>
      </c>
      <c r="F38" s="80">
        <v>212895</v>
      </c>
      <c r="G38" s="80">
        <v>239836</v>
      </c>
      <c r="H38" s="123">
        <v>223644</v>
      </c>
      <c r="I38" s="134">
        <v>312990</v>
      </c>
      <c r="J38" s="129">
        <f>IF(H38&lt;&gt;0,(I38-H38)/H38,0)</f>
        <v>0.39950099264903149</v>
      </c>
      <c r="K38" s="134">
        <v>55583</v>
      </c>
      <c r="L38" s="134">
        <v>77093</v>
      </c>
      <c r="M38" s="129">
        <f>IF(K38&lt;&gt;0,(L38-K38)/K38,0)</f>
        <v>0.38698882751920549</v>
      </c>
      <c r="N38" s="169"/>
      <c r="O38" s="85"/>
      <c r="P38" s="85"/>
      <c r="Q38" s="85"/>
    </row>
    <row r="39" spans="1:17" s="85" customFormat="1" x14ac:dyDescent="0.3">
      <c r="A39" s="85" t="s">
        <v>5</v>
      </c>
      <c r="B39" s="81">
        <v>17762</v>
      </c>
      <c r="C39" s="81">
        <v>56828</v>
      </c>
      <c r="D39" s="81">
        <v>2685</v>
      </c>
      <c r="E39" s="81">
        <v>2704</v>
      </c>
      <c r="F39" s="81">
        <v>0</v>
      </c>
      <c r="G39" s="81">
        <v>1579</v>
      </c>
      <c r="H39" s="121">
        <v>11024</v>
      </c>
      <c r="I39" s="135">
        <v>0</v>
      </c>
      <c r="J39" s="129">
        <f t="shared" ref="J39:J49" si="8">IF(H39&lt;&gt;0,(I39-H39)/H39,0)</f>
        <v>-1</v>
      </c>
      <c r="K39" s="135">
        <v>0</v>
      </c>
      <c r="L39" s="135">
        <v>0</v>
      </c>
      <c r="M39" s="129">
        <f t="shared" ref="M39:M49" si="9">IF(K39&lt;&gt;0,(L39-K39)/K39,0)</f>
        <v>0</v>
      </c>
      <c r="N39" s="169"/>
    </row>
    <row r="40" spans="1:17" s="95" customFormat="1" x14ac:dyDescent="0.3">
      <c r="A40" s="85" t="s">
        <v>57</v>
      </c>
      <c r="B40" s="81">
        <v>11795</v>
      </c>
      <c r="C40" s="81">
        <v>16684</v>
      </c>
      <c r="D40" s="81">
        <v>11678</v>
      </c>
      <c r="E40" s="81">
        <v>14746</v>
      </c>
      <c r="F40" s="81">
        <v>12979</v>
      </c>
      <c r="G40" s="81">
        <v>30953</v>
      </c>
      <c r="H40" s="121">
        <v>33432</v>
      </c>
      <c r="I40" s="135">
        <v>35105</v>
      </c>
      <c r="J40" s="129">
        <f t="shared" si="8"/>
        <v>5.0041876046901169E-2</v>
      </c>
      <c r="K40" s="135">
        <v>8296</v>
      </c>
      <c r="L40" s="135">
        <v>8803</v>
      </c>
      <c r="M40" s="129">
        <f t="shared" si="9"/>
        <v>6.1113789778206362E-2</v>
      </c>
      <c r="N40" s="169"/>
      <c r="O40" s="85"/>
      <c r="P40" s="85"/>
      <c r="Q40" s="85"/>
    </row>
    <row r="41" spans="1:17" s="95" customFormat="1" x14ac:dyDescent="0.3">
      <c r="A41" s="85" t="s">
        <v>56</v>
      </c>
      <c r="B41" s="81">
        <v>2490</v>
      </c>
      <c r="C41" s="81">
        <v>7447</v>
      </c>
      <c r="D41" s="81">
        <v>5519</v>
      </c>
      <c r="E41" s="81">
        <v>13179</v>
      </c>
      <c r="F41" s="81">
        <v>10094</v>
      </c>
      <c r="G41" s="81">
        <v>13131</v>
      </c>
      <c r="H41" s="121">
        <v>7221</v>
      </c>
      <c r="I41" s="135">
        <v>8379</v>
      </c>
      <c r="J41" s="129">
        <f t="shared" si="8"/>
        <v>0.16036560033236394</v>
      </c>
      <c r="K41" s="135">
        <v>2095</v>
      </c>
      <c r="L41" s="135">
        <v>2650</v>
      </c>
      <c r="M41" s="129">
        <f t="shared" si="9"/>
        <v>0.2649164677804296</v>
      </c>
      <c r="N41" s="169"/>
      <c r="O41" s="85"/>
      <c r="P41" s="85"/>
      <c r="Q41" s="85"/>
    </row>
    <row r="42" spans="1:17" s="95" customFormat="1" x14ac:dyDescent="0.3">
      <c r="A42" s="95" t="s">
        <v>4</v>
      </c>
      <c r="B42" s="80">
        <f t="shared" ref="B42:G42" si="10">SUM(B38:B41)</f>
        <v>190916</v>
      </c>
      <c r="C42" s="80">
        <f t="shared" si="10"/>
        <v>244001</v>
      </c>
      <c r="D42" s="80">
        <f t="shared" si="10"/>
        <v>251869</v>
      </c>
      <c r="E42" s="80">
        <f t="shared" si="10"/>
        <v>299526</v>
      </c>
      <c r="F42" s="80">
        <f t="shared" si="10"/>
        <v>235968</v>
      </c>
      <c r="G42" s="80">
        <f t="shared" si="10"/>
        <v>285499</v>
      </c>
      <c r="H42" s="123">
        <f>SUM(H38:H41)</f>
        <v>275321</v>
      </c>
      <c r="I42" s="134">
        <f>SUM(I38:I41)</f>
        <v>356474</v>
      </c>
      <c r="J42" s="129">
        <f t="shared" si="8"/>
        <v>0.29475775549267946</v>
      </c>
      <c r="K42" s="134">
        <f>SUM(K38:K41)</f>
        <v>65974</v>
      </c>
      <c r="L42" s="134">
        <f>SUM(L38:L41)</f>
        <v>88546</v>
      </c>
      <c r="M42" s="129">
        <f t="shared" si="9"/>
        <v>0.34213478036802375</v>
      </c>
      <c r="N42" s="169"/>
      <c r="O42" s="85"/>
      <c r="P42" s="85"/>
      <c r="Q42" s="85"/>
    </row>
    <row r="43" spans="1:17" s="85" customFormat="1" x14ac:dyDescent="0.3">
      <c r="A43" s="85" t="s">
        <v>58</v>
      </c>
      <c r="B43" s="81">
        <v>-22106</v>
      </c>
      <c r="C43" s="81">
        <v>-41421</v>
      </c>
      <c r="D43" s="81">
        <v>-7188</v>
      </c>
      <c r="E43" s="81">
        <v>-8773</v>
      </c>
      <c r="F43" s="81">
        <v>-8740</v>
      </c>
      <c r="G43" s="81">
        <v>-11563</v>
      </c>
      <c r="H43" s="121">
        <v>-9004</v>
      </c>
      <c r="I43" s="135">
        <v>-10090</v>
      </c>
      <c r="J43" s="129">
        <f t="shared" si="8"/>
        <v>0.12061306086183918</v>
      </c>
      <c r="K43" s="135">
        <v>-8176</v>
      </c>
      <c r="L43" s="135">
        <f>-2393-5938</f>
        <v>-8331</v>
      </c>
      <c r="M43" s="129">
        <f t="shared" si="9"/>
        <v>1.8957925636007827E-2</v>
      </c>
      <c r="N43" s="169"/>
    </row>
    <row r="44" spans="1:17" s="95" customFormat="1" x14ac:dyDescent="0.3">
      <c r="A44" s="95" t="s">
        <v>42</v>
      </c>
      <c r="B44" s="80">
        <f t="shared" ref="B44:G44" si="11">SUM(B42:B43)</f>
        <v>168810</v>
      </c>
      <c r="C44" s="80">
        <f t="shared" si="11"/>
        <v>202580</v>
      </c>
      <c r="D44" s="80">
        <f t="shared" si="11"/>
        <v>244681</v>
      </c>
      <c r="E44" s="80">
        <f t="shared" si="11"/>
        <v>290753</v>
      </c>
      <c r="F44" s="80">
        <f t="shared" si="11"/>
        <v>227228</v>
      </c>
      <c r="G44" s="80">
        <f t="shared" si="11"/>
        <v>273936</v>
      </c>
      <c r="H44" s="123">
        <f>SUM(H42:H43)</f>
        <v>266317</v>
      </c>
      <c r="I44" s="134">
        <f>SUM(I42:I43)</f>
        <v>346384</v>
      </c>
      <c r="J44" s="129">
        <f t="shared" si="8"/>
        <v>0.30064547137433961</v>
      </c>
      <c r="K44" s="134">
        <f>SUM(K42:K43)</f>
        <v>57798</v>
      </c>
      <c r="L44" s="134">
        <f>SUM(L42:L43)</f>
        <v>80215</v>
      </c>
      <c r="M44" s="129">
        <f t="shared" si="9"/>
        <v>0.38785079068479877</v>
      </c>
      <c r="N44" s="169"/>
      <c r="O44" s="85"/>
      <c r="P44" s="85"/>
      <c r="Q44" s="85"/>
    </row>
    <row r="45" spans="1:17" s="95" customFormat="1" x14ac:dyDescent="0.3">
      <c r="A45" s="85" t="s">
        <v>10</v>
      </c>
      <c r="B45" s="81">
        <v>4490</v>
      </c>
      <c r="C45" s="81">
        <v>8391</v>
      </c>
      <c r="D45" s="81">
        <v>80</v>
      </c>
      <c r="E45" s="81">
        <v>960</v>
      </c>
      <c r="F45" s="81">
        <v>214</v>
      </c>
      <c r="G45" s="81">
        <v>7839</v>
      </c>
      <c r="H45" s="121">
        <v>814</v>
      </c>
      <c r="I45" s="135">
        <v>851</v>
      </c>
      <c r="J45" s="129">
        <f t="shared" si="8"/>
        <v>4.5454545454545456E-2</v>
      </c>
      <c r="K45" s="135">
        <v>652</v>
      </c>
      <c r="L45" s="135">
        <v>61</v>
      </c>
      <c r="M45" s="129">
        <f t="shared" si="9"/>
        <v>-0.90644171779141103</v>
      </c>
      <c r="N45" s="169"/>
      <c r="O45" s="85"/>
      <c r="P45" s="85"/>
      <c r="Q45" s="85"/>
    </row>
    <row r="46" spans="1:17" s="85" customFormat="1" x14ac:dyDescent="0.3">
      <c r="A46" s="85" t="s">
        <v>13</v>
      </c>
      <c r="B46" s="81">
        <v>-388</v>
      </c>
      <c r="C46" s="81">
        <v>-60</v>
      </c>
      <c r="D46" s="81">
        <v>-279</v>
      </c>
      <c r="E46" s="81">
        <v>-633</v>
      </c>
      <c r="F46" s="81">
        <v>-1741</v>
      </c>
      <c r="G46" s="81">
        <v>-1496</v>
      </c>
      <c r="H46" s="121">
        <v>-11022</v>
      </c>
      <c r="I46" s="135">
        <v>-1390</v>
      </c>
      <c r="J46" s="129">
        <f t="shared" si="8"/>
        <v>-0.87388858646343681</v>
      </c>
      <c r="K46" s="135">
        <v>-25</v>
      </c>
      <c r="L46" s="135">
        <v>-127</v>
      </c>
      <c r="M46" s="129">
        <f t="shared" si="9"/>
        <v>4.08</v>
      </c>
      <c r="N46" s="169"/>
    </row>
    <row r="47" spans="1:17" s="95" customFormat="1" x14ac:dyDescent="0.3">
      <c r="A47" s="95" t="s">
        <v>43</v>
      </c>
      <c r="B47" s="80">
        <f t="shared" ref="B47:G47" si="12">SUM(B44:B46)</f>
        <v>172912</v>
      </c>
      <c r="C47" s="80">
        <f t="shared" si="12"/>
        <v>210911</v>
      </c>
      <c r="D47" s="80">
        <f t="shared" si="12"/>
        <v>244482</v>
      </c>
      <c r="E47" s="80">
        <f t="shared" si="12"/>
        <v>291080</v>
      </c>
      <c r="F47" s="80">
        <f t="shared" si="12"/>
        <v>225701</v>
      </c>
      <c r="G47" s="80">
        <f t="shared" si="12"/>
        <v>280279</v>
      </c>
      <c r="H47" s="123">
        <f>SUM(H44:H46)</f>
        <v>256109</v>
      </c>
      <c r="I47" s="134">
        <f>SUM(I44:I46)</f>
        <v>345845</v>
      </c>
      <c r="J47" s="129">
        <f t="shared" si="8"/>
        <v>0.35038206388686066</v>
      </c>
      <c r="K47" s="134">
        <f>SUM(K44:K46)</f>
        <v>58425</v>
      </c>
      <c r="L47" s="134">
        <f>SUM(L44:L46)</f>
        <v>80149</v>
      </c>
      <c r="M47" s="129">
        <f t="shared" si="9"/>
        <v>0.37182712879760377</v>
      </c>
      <c r="N47" s="169"/>
      <c r="O47" s="85"/>
      <c r="P47" s="85"/>
      <c r="Q47" s="85"/>
    </row>
    <row r="48" spans="1:17" s="85" customFormat="1" x14ac:dyDescent="0.3">
      <c r="A48" s="85" t="s">
        <v>15</v>
      </c>
      <c r="B48" s="81">
        <v>-3501</v>
      </c>
      <c r="C48" s="81">
        <v>-214</v>
      </c>
      <c r="D48" s="81">
        <v>-190</v>
      </c>
      <c r="E48" s="81">
        <v>-74</v>
      </c>
      <c r="F48" s="81">
        <v>-205</v>
      </c>
      <c r="G48" s="81">
        <v>-1876</v>
      </c>
      <c r="H48" s="121">
        <v>-127</v>
      </c>
      <c r="I48" s="135">
        <v>-361</v>
      </c>
      <c r="J48" s="129">
        <f t="shared" si="8"/>
        <v>1.8425196850393701</v>
      </c>
      <c r="K48" s="135">
        <v>-8</v>
      </c>
      <c r="L48" s="135">
        <v>-2289</v>
      </c>
      <c r="M48" s="129">
        <f t="shared" si="9"/>
        <v>285.125</v>
      </c>
      <c r="N48" s="169"/>
    </row>
    <row r="49" spans="1:14" s="85" customFormat="1" ht="15.75" thickBot="1" x14ac:dyDescent="0.35">
      <c r="A49" s="102" t="s">
        <v>17</v>
      </c>
      <c r="B49" s="103">
        <f t="shared" ref="B49:G49" si="13">SUM(B47:B48)</f>
        <v>169411</v>
      </c>
      <c r="C49" s="103">
        <f t="shared" si="13"/>
        <v>210697</v>
      </c>
      <c r="D49" s="103">
        <f t="shared" si="13"/>
        <v>244292</v>
      </c>
      <c r="E49" s="103">
        <f t="shared" si="13"/>
        <v>291006</v>
      </c>
      <c r="F49" s="103">
        <f t="shared" si="13"/>
        <v>225496</v>
      </c>
      <c r="G49" s="103">
        <f t="shared" si="13"/>
        <v>278403</v>
      </c>
      <c r="H49" s="168">
        <f>SUM(H47:H48)</f>
        <v>255982</v>
      </c>
      <c r="I49" s="166">
        <f>SUM(I47:I48)</f>
        <v>345484</v>
      </c>
      <c r="J49" s="130">
        <f t="shared" si="8"/>
        <v>0.34964177168707172</v>
      </c>
      <c r="K49" s="166">
        <f>SUM(K47:K48)</f>
        <v>58417</v>
      </c>
      <c r="L49" s="166">
        <f>SUM(L47:L48)</f>
        <v>77860</v>
      </c>
      <c r="M49" s="130">
        <f t="shared" si="9"/>
        <v>0.33283119639830872</v>
      </c>
      <c r="N49" s="169"/>
    </row>
    <row r="50" spans="1:14" s="85" customFormat="1" x14ac:dyDescent="0.3">
      <c r="C50" s="80"/>
      <c r="H50" s="81"/>
      <c r="I50" s="81"/>
      <c r="J50" s="81"/>
      <c r="K50" s="81"/>
      <c r="L50" s="82"/>
    </row>
    <row r="51" spans="1:14" s="85" customFormat="1" x14ac:dyDescent="0.3">
      <c r="C51" s="81"/>
      <c r="H51" s="81"/>
      <c r="I51" s="81"/>
      <c r="J51" s="81"/>
      <c r="K51" s="81"/>
      <c r="L51" s="82"/>
    </row>
    <row r="52" spans="1:14" s="85" customFormat="1" x14ac:dyDescent="0.3">
      <c r="C52" s="81"/>
      <c r="E52" s="80"/>
      <c r="H52" s="81"/>
      <c r="I52" s="81"/>
      <c r="J52" s="81"/>
      <c r="K52" s="81"/>
      <c r="L52" s="82"/>
    </row>
    <row r="53" spans="1:14" s="85" customFormat="1" x14ac:dyDescent="0.3">
      <c r="C53" s="81"/>
      <c r="E53" s="81"/>
      <c r="H53" s="81"/>
      <c r="I53" s="81"/>
      <c r="J53" s="81"/>
      <c r="K53" s="81"/>
      <c r="L53" s="82"/>
    </row>
    <row r="54" spans="1:14" s="85" customFormat="1" x14ac:dyDescent="0.3">
      <c r="C54" s="80"/>
      <c r="E54" s="81"/>
      <c r="H54" s="81"/>
      <c r="I54" s="81"/>
      <c r="J54" s="81"/>
      <c r="K54" s="81"/>
      <c r="L54" s="82"/>
    </row>
    <row r="55" spans="1:14" s="85" customFormat="1" x14ac:dyDescent="0.3">
      <c r="C55" s="81"/>
      <c r="E55" s="81"/>
      <c r="H55" s="81"/>
      <c r="I55" s="81"/>
      <c r="J55" s="81"/>
      <c r="K55" s="81"/>
      <c r="L55" s="82"/>
    </row>
    <row r="56" spans="1:14" x14ac:dyDescent="0.3">
      <c r="C56" s="80"/>
      <c r="E56" s="80"/>
    </row>
    <row r="57" spans="1:14" x14ac:dyDescent="0.3">
      <c r="C57" s="81"/>
      <c r="E57" s="81"/>
    </row>
    <row r="58" spans="1:14" x14ac:dyDescent="0.3">
      <c r="C58" s="81"/>
      <c r="E58" s="80"/>
    </row>
  </sheetData>
  <pageMargins left="0.7" right="0.7" top="0.75" bottom="0.75" header="0.3" footer="0.3"/>
  <customProperties>
    <customPr name="_pios_id" r:id="rId1"/>
  </customPropertie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S82"/>
  <sheetViews>
    <sheetView topLeftCell="D7" workbookViewId="0">
      <selection activeCell="N20" sqref="N20"/>
    </sheetView>
  </sheetViews>
  <sheetFormatPr baseColWidth="10" defaultColWidth="11.42578125" defaultRowHeight="15" x14ac:dyDescent="0.3"/>
  <cols>
    <col min="1" max="1" width="32.140625" style="73" customWidth="1"/>
    <col min="2" max="4" width="10.42578125" style="73" bestFit="1" customWidth="1"/>
    <col min="5" max="7" width="11.140625" style="73" bestFit="1" customWidth="1"/>
    <col min="8" max="8" width="11.140625" style="74" bestFit="1" customWidth="1"/>
    <col min="9" max="9" width="10.42578125" style="74" bestFit="1" customWidth="1"/>
    <col min="10" max="10" width="11.140625" style="74" bestFit="1" customWidth="1"/>
    <col min="11" max="11" width="10.42578125" style="74" customWidth="1"/>
    <col min="12" max="12" width="11.140625" style="75" bestFit="1" customWidth="1"/>
    <col min="13" max="13" width="10.28515625" style="75" bestFit="1" customWidth="1"/>
    <col min="14" max="14" width="9.28515625" style="76" bestFit="1" customWidth="1"/>
    <col min="15" max="15" width="10.42578125" style="76" bestFit="1" customWidth="1"/>
    <col min="16" max="16" width="10.28515625" style="73" bestFit="1" customWidth="1"/>
    <col min="17" max="16384" width="11.42578125" style="73"/>
  </cols>
  <sheetData>
    <row r="6" spans="1:19" ht="21" x14ac:dyDescent="0.35">
      <c r="A6" s="116" t="s">
        <v>40</v>
      </c>
      <c r="B6" s="116"/>
      <c r="C6" s="116"/>
      <c r="D6" s="116"/>
      <c r="E6" s="116"/>
      <c r="F6" s="116"/>
      <c r="G6" s="116"/>
    </row>
    <row r="7" spans="1:19" ht="15.75" x14ac:dyDescent="0.3">
      <c r="A7" s="78" t="s">
        <v>98</v>
      </c>
      <c r="B7" s="78"/>
      <c r="C7" s="78"/>
      <c r="D7" s="78"/>
      <c r="E7" s="78"/>
      <c r="F7" s="78"/>
      <c r="G7" s="78"/>
    </row>
    <row r="8" spans="1:19" x14ac:dyDescent="0.3">
      <c r="A8" s="79" t="s">
        <v>88</v>
      </c>
      <c r="B8" s="79"/>
      <c r="C8" s="79"/>
      <c r="D8" s="79"/>
      <c r="E8" s="79"/>
      <c r="F8" s="79"/>
      <c r="G8" s="79"/>
    </row>
    <row r="9" spans="1:19" s="85" customFormat="1" x14ac:dyDescent="0.3">
      <c r="H9" s="81"/>
      <c r="I9" s="81"/>
      <c r="J9" s="81"/>
      <c r="K9" s="81"/>
      <c r="L9" s="82"/>
      <c r="M9" s="82"/>
      <c r="N9" s="83"/>
      <c r="O9" s="83"/>
      <c r="P9" s="84"/>
      <c r="Q9" s="84"/>
      <c r="R9" s="84"/>
      <c r="S9" s="84"/>
    </row>
    <row r="10" spans="1:19" s="85" customFormat="1" ht="15.75" thickBot="1" x14ac:dyDescent="0.35">
      <c r="A10" s="152" t="s">
        <v>20</v>
      </c>
      <c r="B10" s="144">
        <v>2005</v>
      </c>
      <c r="C10" s="144">
        <v>2006</v>
      </c>
      <c r="D10" s="144">
        <v>2007</v>
      </c>
      <c r="E10" s="144">
        <v>2008</v>
      </c>
      <c r="F10" s="144">
        <v>2009</v>
      </c>
      <c r="G10" s="144">
        <v>2010</v>
      </c>
      <c r="H10" s="145">
        <v>2011</v>
      </c>
      <c r="I10" s="145">
        <v>2012</v>
      </c>
      <c r="J10" s="146" t="s">
        <v>46</v>
      </c>
      <c r="K10" s="145" t="s">
        <v>96</v>
      </c>
      <c r="L10" s="145" t="s">
        <v>95</v>
      </c>
      <c r="M10" s="146" t="s">
        <v>46</v>
      </c>
      <c r="N10" s="83"/>
      <c r="O10" s="83"/>
      <c r="P10" s="106"/>
      <c r="Q10" s="84"/>
      <c r="R10" s="84"/>
      <c r="S10" s="84"/>
    </row>
    <row r="11" spans="1:19" s="85" customFormat="1" x14ac:dyDescent="0.3">
      <c r="A11" s="153" t="s">
        <v>21</v>
      </c>
      <c r="B11" s="81">
        <v>121469</v>
      </c>
      <c r="C11" s="81">
        <v>147021</v>
      </c>
      <c r="D11" s="81">
        <v>141066</v>
      </c>
      <c r="E11" s="81">
        <v>200123</v>
      </c>
      <c r="F11" s="81">
        <v>152572</v>
      </c>
      <c r="G11" s="81">
        <v>133389</v>
      </c>
      <c r="H11" s="121">
        <v>193087</v>
      </c>
      <c r="I11" s="117">
        <v>291812</v>
      </c>
      <c r="J11" s="129">
        <f t="shared" ref="J11:J20" si="0">+(I11-H11)/H11</f>
        <v>0.51129801592028468</v>
      </c>
      <c r="K11" s="117">
        <v>177321</v>
      </c>
      <c r="L11" s="117">
        <v>268522</v>
      </c>
      <c r="M11" s="129">
        <f>+(L11-K11)/K11</f>
        <v>0.51432712425488236</v>
      </c>
      <c r="N11" s="83"/>
      <c r="O11" s="83"/>
      <c r="P11" s="108"/>
      <c r="Q11" s="84"/>
      <c r="R11" s="84"/>
      <c r="S11" s="84"/>
    </row>
    <row r="12" spans="1:19" s="85" customFormat="1" x14ac:dyDescent="0.3">
      <c r="A12" s="153" t="s">
        <v>22</v>
      </c>
      <c r="B12" s="81">
        <v>328742</v>
      </c>
      <c r="C12" s="81">
        <v>323226</v>
      </c>
      <c r="D12" s="81">
        <v>322254</v>
      </c>
      <c r="E12" s="81">
        <v>299414</v>
      </c>
      <c r="F12" s="81">
        <v>335272</v>
      </c>
      <c r="G12" s="81">
        <v>330481</v>
      </c>
      <c r="H12" s="121">
        <v>329071</v>
      </c>
      <c r="I12" s="117">
        <v>330090</v>
      </c>
      <c r="J12" s="129">
        <f t="shared" si="0"/>
        <v>3.0965961752934777E-3</v>
      </c>
      <c r="K12" s="117">
        <v>329162</v>
      </c>
      <c r="L12" s="117">
        <v>356520</v>
      </c>
      <c r="M12" s="129">
        <f t="shared" ref="M12:M19" si="1">+(L12-K12)/K12</f>
        <v>8.3114089718740319E-2</v>
      </c>
      <c r="N12" s="170"/>
      <c r="O12" s="83"/>
      <c r="P12" s="106"/>
      <c r="Q12" s="84"/>
      <c r="R12" s="84"/>
      <c r="S12" s="84"/>
    </row>
    <row r="13" spans="1:19" s="85" customFormat="1" x14ac:dyDescent="0.3">
      <c r="A13" s="153" t="s">
        <v>23</v>
      </c>
      <c r="B13" s="81">
        <v>292269</v>
      </c>
      <c r="C13" s="81">
        <v>381730</v>
      </c>
      <c r="D13" s="81">
        <v>426683</v>
      </c>
      <c r="E13" s="81">
        <v>656631</v>
      </c>
      <c r="F13" s="81">
        <v>523529</v>
      </c>
      <c r="G13" s="81">
        <v>586256</v>
      </c>
      <c r="H13" s="121">
        <v>650631</v>
      </c>
      <c r="I13" s="117">
        <v>681860</v>
      </c>
      <c r="J13" s="129">
        <f t="shared" si="0"/>
        <v>4.7998020383289451E-2</v>
      </c>
      <c r="K13" s="117">
        <v>598382</v>
      </c>
      <c r="L13" s="117">
        <v>721224</v>
      </c>
      <c r="M13" s="129">
        <f t="shared" si="1"/>
        <v>0.20529026608420708</v>
      </c>
      <c r="N13" s="83"/>
      <c r="O13" s="83"/>
      <c r="P13" s="106"/>
      <c r="Q13" s="84"/>
      <c r="R13" s="84"/>
      <c r="S13" s="84"/>
    </row>
    <row r="14" spans="1:19" s="85" customFormat="1" x14ac:dyDescent="0.3">
      <c r="A14" s="153" t="s">
        <v>36</v>
      </c>
      <c r="B14" s="81">
        <v>274553</v>
      </c>
      <c r="C14" s="81">
        <v>371699</v>
      </c>
      <c r="D14" s="81">
        <v>434839</v>
      </c>
      <c r="E14" s="81">
        <v>528465</v>
      </c>
      <c r="F14" s="81">
        <v>494120</v>
      </c>
      <c r="G14" s="81">
        <v>553016</v>
      </c>
      <c r="H14" s="121">
        <v>601866</v>
      </c>
      <c r="I14" s="117">
        <v>555796</v>
      </c>
      <c r="J14" s="129">
        <f t="shared" si="0"/>
        <v>-7.6545277520245369E-2</v>
      </c>
      <c r="K14" s="117">
        <v>618213</v>
      </c>
      <c r="L14" s="117">
        <v>565079</v>
      </c>
      <c r="M14" s="129">
        <f t="shared" si="1"/>
        <v>-8.5947723519240127E-2</v>
      </c>
      <c r="N14" s="83"/>
      <c r="O14" s="83"/>
      <c r="P14" s="106"/>
      <c r="Q14" s="84"/>
      <c r="R14" s="84"/>
      <c r="S14" s="84"/>
    </row>
    <row r="15" spans="1:19" s="85" customFormat="1" x14ac:dyDescent="0.3">
      <c r="A15" s="153" t="s">
        <v>60</v>
      </c>
      <c r="B15" s="81">
        <v>456824</v>
      </c>
      <c r="C15" s="81">
        <v>561031</v>
      </c>
      <c r="D15" s="81">
        <v>653908</v>
      </c>
      <c r="E15" s="81">
        <v>767527</v>
      </c>
      <c r="F15" s="81">
        <v>977261</v>
      </c>
      <c r="G15" s="81">
        <v>988793</v>
      </c>
      <c r="H15" s="121">
        <v>1009855</v>
      </c>
      <c r="I15" s="117">
        <v>1135785</v>
      </c>
      <c r="J15" s="129">
        <f t="shared" si="0"/>
        <v>0.12470107094582886</v>
      </c>
      <c r="K15" s="117">
        <v>1001592</v>
      </c>
      <c r="L15" s="117">
        <v>1130203</v>
      </c>
      <c r="M15" s="129">
        <f t="shared" si="1"/>
        <v>0.12840657672984609</v>
      </c>
      <c r="N15" s="83"/>
      <c r="O15" s="83"/>
      <c r="P15" s="106"/>
      <c r="Q15" s="84"/>
      <c r="R15" s="84"/>
      <c r="S15" s="84"/>
    </row>
    <row r="16" spans="1:19" s="85" customFormat="1" x14ac:dyDescent="0.3">
      <c r="A16" s="153" t="s">
        <v>47</v>
      </c>
      <c r="B16" s="81">
        <v>63266</v>
      </c>
      <c r="C16" s="81">
        <v>621440</v>
      </c>
      <c r="D16" s="81">
        <v>564218</v>
      </c>
      <c r="E16" s="81">
        <v>543336</v>
      </c>
      <c r="F16" s="81">
        <v>748013</v>
      </c>
      <c r="G16" s="81">
        <v>853564</v>
      </c>
      <c r="H16" s="121">
        <v>900384</v>
      </c>
      <c r="I16" s="117">
        <v>1025441</v>
      </c>
      <c r="J16" s="129">
        <f t="shared" si="0"/>
        <v>0.13889296122543271</v>
      </c>
      <c r="K16" s="117">
        <v>874473</v>
      </c>
      <c r="L16" s="117">
        <v>1030021</v>
      </c>
      <c r="M16" s="129">
        <f t="shared" si="1"/>
        <v>0.17787627519660412</v>
      </c>
      <c r="N16" s="83"/>
      <c r="O16" s="83"/>
      <c r="P16" s="106"/>
      <c r="Q16" s="84"/>
      <c r="R16" s="84"/>
      <c r="S16" s="84"/>
    </row>
    <row r="17" spans="1:19" s="85" customFormat="1" x14ac:dyDescent="0.3">
      <c r="A17" s="153" t="s">
        <v>24</v>
      </c>
      <c r="B17" s="81">
        <v>12635</v>
      </c>
      <c r="C17" s="81">
        <v>23420</v>
      </c>
      <c r="D17" s="81">
        <v>57260</v>
      </c>
      <c r="E17" s="81">
        <v>28175</v>
      </c>
      <c r="F17" s="81">
        <v>79348</v>
      </c>
      <c r="G17" s="81">
        <v>67002</v>
      </c>
      <c r="H17" s="121">
        <v>130401</v>
      </c>
      <c r="I17" s="117">
        <v>57452</v>
      </c>
      <c r="J17" s="129">
        <f t="shared" si="0"/>
        <v>-0.55942055659082368</v>
      </c>
      <c r="K17" s="117">
        <v>130230</v>
      </c>
      <c r="L17" s="117">
        <v>53810</v>
      </c>
      <c r="M17" s="129">
        <f t="shared" si="1"/>
        <v>-0.58680795515626205</v>
      </c>
      <c r="N17" s="83"/>
      <c r="O17" s="83"/>
      <c r="P17" s="106"/>
      <c r="Q17" s="84"/>
      <c r="R17" s="84"/>
      <c r="S17" s="84"/>
    </row>
    <row r="18" spans="1:19" s="85" customFormat="1" x14ac:dyDescent="0.3">
      <c r="A18" s="153" t="s">
        <v>25</v>
      </c>
      <c r="B18" s="81">
        <v>3714</v>
      </c>
      <c r="C18" s="81">
        <v>11893</v>
      </c>
      <c r="D18" s="81">
        <v>12073</v>
      </c>
      <c r="E18" s="81">
        <v>44095</v>
      </c>
      <c r="F18" s="81">
        <v>19094</v>
      </c>
      <c r="G18" s="81">
        <v>16902</v>
      </c>
      <c r="H18" s="121">
        <v>18323</v>
      </c>
      <c r="I18" s="117">
        <v>6913</v>
      </c>
      <c r="J18" s="129">
        <f t="shared" si="0"/>
        <v>-0.62271462096818209</v>
      </c>
      <c r="K18" s="117">
        <v>3829</v>
      </c>
      <c r="L18" s="117">
        <v>6387</v>
      </c>
      <c r="M18" s="129">
        <f t="shared" si="1"/>
        <v>0.66805954557325675</v>
      </c>
      <c r="N18" s="83"/>
      <c r="O18" s="83"/>
      <c r="P18" s="106"/>
      <c r="Q18" s="84"/>
      <c r="R18" s="84"/>
      <c r="S18" s="84"/>
    </row>
    <row r="19" spans="1:19" s="85" customFormat="1" x14ac:dyDescent="0.3">
      <c r="A19" s="153" t="s">
        <v>26</v>
      </c>
      <c r="B19" s="81">
        <v>2468685</v>
      </c>
      <c r="C19" s="81">
        <v>2591441</v>
      </c>
      <c r="D19" s="81">
        <v>2736001</v>
      </c>
      <c r="E19" s="81">
        <v>2268787</v>
      </c>
      <c r="F19" s="81">
        <v>3599917</v>
      </c>
      <c r="G19" s="81">
        <v>4555288</v>
      </c>
      <c r="H19" s="121">
        <v>4097551</v>
      </c>
      <c r="I19" s="117">
        <v>4866415</v>
      </c>
      <c r="J19" s="129">
        <f t="shared" si="0"/>
        <v>0.18763988538519716</v>
      </c>
      <c r="K19" s="117">
        <v>4110159</v>
      </c>
      <c r="L19" s="117">
        <v>4924714</v>
      </c>
      <c r="M19" s="129">
        <f t="shared" si="1"/>
        <v>0.19818089762464178</v>
      </c>
      <c r="N19" s="83"/>
      <c r="O19" s="83"/>
      <c r="P19" s="106"/>
      <c r="Q19" s="84"/>
      <c r="R19" s="84"/>
      <c r="S19" s="84"/>
    </row>
    <row r="20" spans="1:19" s="85" customFormat="1" ht="15.75" thickBot="1" x14ac:dyDescent="0.35">
      <c r="A20" s="154" t="s">
        <v>27</v>
      </c>
      <c r="B20" s="91">
        <v>4022157</v>
      </c>
      <c r="C20" s="91">
        <v>5032901</v>
      </c>
      <c r="D20" s="91">
        <v>5348302</v>
      </c>
      <c r="E20" s="91">
        <v>5336553</v>
      </c>
      <c r="F20" s="91">
        <v>6929126</v>
      </c>
      <c r="G20" s="91">
        <v>8084691</v>
      </c>
      <c r="H20" s="122">
        <f>SUM(H11:H19)</f>
        <v>7931169</v>
      </c>
      <c r="I20" s="118">
        <f>SUM(I11:I19)</f>
        <v>8951564</v>
      </c>
      <c r="J20" s="130">
        <f t="shared" si="0"/>
        <v>0.12865631787697374</v>
      </c>
      <c r="K20" s="118">
        <f>SUM(K11:K19)</f>
        <v>7843361</v>
      </c>
      <c r="L20" s="118">
        <f>SUM(L11:L19)</f>
        <v>9056480</v>
      </c>
      <c r="M20" s="130">
        <f>+(L20-K20)/K20</f>
        <v>0.15466826020120711</v>
      </c>
      <c r="N20" s="83"/>
      <c r="O20" s="83"/>
      <c r="P20" s="106"/>
      <c r="Q20" s="84"/>
      <c r="R20" s="84"/>
      <c r="S20" s="84"/>
    </row>
    <row r="21" spans="1:19" s="85" customFormat="1" x14ac:dyDescent="0.3">
      <c r="A21" s="153"/>
      <c r="B21" s="81"/>
      <c r="C21" s="81"/>
      <c r="D21" s="81"/>
      <c r="E21" s="81"/>
      <c r="F21" s="81"/>
      <c r="G21" s="81"/>
      <c r="H21" s="121"/>
      <c r="I21" s="117"/>
      <c r="J21" s="129"/>
      <c r="K21" s="117"/>
      <c r="L21" s="117"/>
      <c r="M21" s="129"/>
      <c r="N21" s="83"/>
      <c r="O21" s="83"/>
      <c r="P21" s="106"/>
      <c r="Q21" s="84"/>
      <c r="R21" s="84"/>
      <c r="S21" s="84"/>
    </row>
    <row r="22" spans="1:19" s="85" customFormat="1" x14ac:dyDescent="0.3">
      <c r="A22" s="152" t="s">
        <v>48</v>
      </c>
      <c r="B22" s="125">
        <v>2005</v>
      </c>
      <c r="C22" s="125">
        <v>2006</v>
      </c>
      <c r="D22" s="125">
        <v>2007</v>
      </c>
      <c r="E22" s="125">
        <v>2008</v>
      </c>
      <c r="F22" s="125">
        <v>2009</v>
      </c>
      <c r="G22" s="125">
        <v>2010</v>
      </c>
      <c r="H22" s="126">
        <v>2011</v>
      </c>
      <c r="I22" s="127">
        <v>2012</v>
      </c>
      <c r="J22" s="128" t="s">
        <v>46</v>
      </c>
      <c r="K22" s="127" t="s">
        <v>96</v>
      </c>
      <c r="L22" s="127" t="s">
        <v>95</v>
      </c>
      <c r="M22" s="128" t="s">
        <v>46</v>
      </c>
      <c r="N22" s="83"/>
      <c r="O22" s="83"/>
      <c r="P22" s="108"/>
      <c r="Q22" s="84"/>
      <c r="R22" s="84"/>
      <c r="S22" s="84"/>
    </row>
    <row r="23" spans="1:19" s="85" customFormat="1" x14ac:dyDescent="0.3">
      <c r="A23" s="153" t="s">
        <v>28</v>
      </c>
      <c r="B23" s="81">
        <v>41040</v>
      </c>
      <c r="C23" s="81">
        <v>705877</v>
      </c>
      <c r="D23" s="81">
        <v>718503</v>
      </c>
      <c r="E23" s="81">
        <v>884817</v>
      </c>
      <c r="F23" s="81">
        <v>1015157</v>
      </c>
      <c r="G23" s="81">
        <v>1126326</v>
      </c>
      <c r="H23" s="121">
        <v>679598</v>
      </c>
      <c r="I23" s="117">
        <v>690354</v>
      </c>
      <c r="J23" s="129">
        <f t="shared" ref="J23:J34" si="2">+(I23-H23)/H23</f>
        <v>1.5827003610958242E-2</v>
      </c>
      <c r="K23" s="117">
        <v>642131</v>
      </c>
      <c r="L23" s="117">
        <v>698237</v>
      </c>
      <c r="M23" s="129">
        <f t="shared" ref="M23:M34" si="3">+(L23-K23)/K23</f>
        <v>8.7374694571668396E-2</v>
      </c>
      <c r="N23" s="83"/>
      <c r="O23" s="83"/>
      <c r="P23" s="106"/>
      <c r="Q23" s="84"/>
      <c r="R23" s="84"/>
      <c r="S23" s="84"/>
    </row>
    <row r="24" spans="1:19" s="85" customFormat="1" x14ac:dyDescent="0.3">
      <c r="A24" s="153" t="s">
        <v>49</v>
      </c>
      <c r="B24" s="81">
        <v>111023</v>
      </c>
      <c r="C24" s="81">
        <v>146194</v>
      </c>
      <c r="D24" s="81">
        <v>146091</v>
      </c>
      <c r="E24" s="81">
        <v>163812</v>
      </c>
      <c r="F24" s="81">
        <v>124270</v>
      </c>
      <c r="G24" s="81">
        <v>165155</v>
      </c>
      <c r="H24" s="121">
        <v>163168</v>
      </c>
      <c r="I24" s="117">
        <v>170648</v>
      </c>
      <c r="J24" s="129">
        <f t="shared" si="2"/>
        <v>4.5842322023926262E-2</v>
      </c>
      <c r="K24" s="117">
        <v>136657</v>
      </c>
      <c r="L24" s="117">
        <v>166315</v>
      </c>
      <c r="M24" s="129">
        <f t="shared" si="3"/>
        <v>0.21702510665388527</v>
      </c>
      <c r="N24" s="83"/>
      <c r="O24" s="83"/>
      <c r="P24" s="108"/>
      <c r="Q24" s="84"/>
      <c r="R24" s="84"/>
      <c r="S24" s="84"/>
    </row>
    <row r="25" spans="1:19" s="85" customFormat="1" x14ac:dyDescent="0.3">
      <c r="A25" s="153" t="s">
        <v>38</v>
      </c>
      <c r="B25" s="81">
        <v>59396</v>
      </c>
      <c r="C25" s="81">
        <v>108992</v>
      </c>
      <c r="D25" s="81">
        <v>140644</v>
      </c>
      <c r="E25" s="81">
        <v>173147</v>
      </c>
      <c r="F25" s="81">
        <v>141613</v>
      </c>
      <c r="G25" s="81">
        <v>209038</v>
      </c>
      <c r="H25" s="121">
        <v>217244</v>
      </c>
      <c r="I25" s="117">
        <v>259622</v>
      </c>
      <c r="J25" s="129">
        <f t="shared" si="2"/>
        <v>0.19507098009611312</v>
      </c>
      <c r="K25" s="117">
        <v>293302</v>
      </c>
      <c r="L25" s="117">
        <v>349442</v>
      </c>
      <c r="M25" s="129">
        <f t="shared" si="3"/>
        <v>0.19140680936372748</v>
      </c>
      <c r="N25" s="83"/>
      <c r="O25" s="83"/>
      <c r="P25" s="106"/>
      <c r="Q25" s="84"/>
      <c r="R25" s="84"/>
      <c r="S25" s="84"/>
    </row>
    <row r="26" spans="1:19" s="85" customFormat="1" x14ac:dyDescent="0.3">
      <c r="A26" s="153" t="s">
        <v>30</v>
      </c>
      <c r="B26" s="81">
        <v>55165</v>
      </c>
      <c r="C26" s="81">
        <v>54299</v>
      </c>
      <c r="D26" s="81">
        <v>55981</v>
      </c>
      <c r="E26" s="81">
        <v>61484</v>
      </c>
      <c r="F26" s="81">
        <v>52025</v>
      </c>
      <c r="G26" s="81">
        <v>68247</v>
      </c>
      <c r="H26" s="121">
        <v>132822</v>
      </c>
      <c r="I26" s="117">
        <v>138203</v>
      </c>
      <c r="J26" s="129">
        <f t="shared" si="2"/>
        <v>4.0512866844348072E-2</v>
      </c>
      <c r="K26" s="117">
        <v>99542</v>
      </c>
      <c r="L26" s="117">
        <v>103109</v>
      </c>
      <c r="M26" s="129">
        <f t="shared" si="3"/>
        <v>3.5834120270840451E-2</v>
      </c>
      <c r="N26" s="83"/>
      <c r="O26" s="83"/>
      <c r="P26" s="106"/>
      <c r="Q26" s="84"/>
      <c r="R26" s="84"/>
      <c r="S26" s="84"/>
    </row>
    <row r="27" spans="1:19" s="85" customFormat="1" x14ac:dyDescent="0.3">
      <c r="A27" s="153" t="s">
        <v>31</v>
      </c>
      <c r="B27" s="81">
        <v>34448</v>
      </c>
      <c r="C27" s="81">
        <v>46282</v>
      </c>
      <c r="D27" s="81">
        <v>58521</v>
      </c>
      <c r="E27" s="81">
        <v>75362</v>
      </c>
      <c r="F27" s="81">
        <v>77811</v>
      </c>
      <c r="G27" s="81">
        <v>88387</v>
      </c>
      <c r="H27" s="121">
        <v>96429</v>
      </c>
      <c r="I27" s="117">
        <v>109969</v>
      </c>
      <c r="J27" s="129">
        <f t="shared" si="2"/>
        <v>0.1404141907517448</v>
      </c>
      <c r="K27" s="117">
        <v>55807</v>
      </c>
      <c r="L27" s="117">
        <v>67660</v>
      </c>
      <c r="M27" s="129">
        <f t="shared" si="3"/>
        <v>0.21239271059186124</v>
      </c>
      <c r="N27" s="83"/>
      <c r="O27" s="83"/>
      <c r="P27" s="106"/>
      <c r="Q27" s="84"/>
      <c r="R27" s="84"/>
      <c r="S27" s="84"/>
    </row>
    <row r="28" spans="1:19" s="85" customFormat="1" x14ac:dyDescent="0.3">
      <c r="A28" s="153" t="s">
        <v>32</v>
      </c>
      <c r="B28" s="81">
        <v>33024</v>
      </c>
      <c r="C28" s="81">
        <v>38698</v>
      </c>
      <c r="D28" s="81">
        <v>57731</v>
      </c>
      <c r="E28" s="81">
        <v>63828</v>
      </c>
      <c r="F28" s="81">
        <v>65860</v>
      </c>
      <c r="G28" s="81">
        <v>31651</v>
      </c>
      <c r="H28" s="121">
        <v>33608</v>
      </c>
      <c r="I28" s="117">
        <v>28288</v>
      </c>
      <c r="J28" s="129">
        <f t="shared" si="2"/>
        <v>-0.15829564389431089</v>
      </c>
      <c r="K28" s="117">
        <v>120700</v>
      </c>
      <c r="L28" s="117">
        <v>156784</v>
      </c>
      <c r="M28" s="129">
        <f t="shared" si="3"/>
        <v>0.29895608947804475</v>
      </c>
      <c r="N28" s="83"/>
      <c r="O28" s="83"/>
      <c r="P28" s="106"/>
      <c r="Q28" s="84"/>
      <c r="R28" s="84"/>
      <c r="S28" s="84"/>
    </row>
    <row r="29" spans="1:19" s="85" customFormat="1" x14ac:dyDescent="0.3">
      <c r="A29" s="153" t="s">
        <v>24</v>
      </c>
      <c r="B29" s="81">
        <v>12261</v>
      </c>
      <c r="C29" s="81">
        <v>10307</v>
      </c>
      <c r="D29" s="81">
        <v>36889</v>
      </c>
      <c r="E29" s="81">
        <v>44153</v>
      </c>
      <c r="F29" s="81">
        <v>59601</v>
      </c>
      <c r="G29" s="81">
        <v>58990</v>
      </c>
      <c r="H29" s="121">
        <v>112430</v>
      </c>
      <c r="I29" s="117">
        <v>125466</v>
      </c>
      <c r="J29" s="129">
        <f t="shared" si="2"/>
        <v>0.11594770079160366</v>
      </c>
      <c r="K29" s="117">
        <v>124973</v>
      </c>
      <c r="L29" s="117">
        <v>160397</v>
      </c>
      <c r="M29" s="129">
        <f t="shared" si="3"/>
        <v>0.28345322589679373</v>
      </c>
      <c r="N29" s="83"/>
      <c r="O29" s="83"/>
      <c r="P29" s="106"/>
      <c r="Q29" s="84"/>
      <c r="R29" s="84"/>
      <c r="S29" s="84"/>
    </row>
    <row r="30" spans="1:19" s="85" customFormat="1" x14ac:dyDescent="0.3">
      <c r="A30" s="153" t="s">
        <v>0</v>
      </c>
      <c r="B30" s="81">
        <v>938</v>
      </c>
      <c r="C30" s="81">
        <v>1750</v>
      </c>
      <c r="D30" s="81">
        <v>1583</v>
      </c>
      <c r="E30" s="81">
        <v>2766</v>
      </c>
      <c r="F30" s="81">
        <v>2549</v>
      </c>
      <c r="G30" s="81">
        <v>1983</v>
      </c>
      <c r="H30" s="121">
        <v>5031</v>
      </c>
      <c r="I30" s="117">
        <v>3762</v>
      </c>
      <c r="J30" s="129">
        <f t="shared" si="2"/>
        <v>-0.25223613595706618</v>
      </c>
      <c r="K30" s="117">
        <v>2698</v>
      </c>
      <c r="L30" s="117">
        <v>4320</v>
      </c>
      <c r="M30" s="129">
        <f t="shared" si="3"/>
        <v>0.60118606375092665</v>
      </c>
      <c r="N30" s="83"/>
      <c r="O30" s="83"/>
      <c r="P30" s="106"/>
      <c r="Q30" s="84"/>
      <c r="R30" s="84"/>
      <c r="S30" s="84"/>
    </row>
    <row r="31" spans="1:19" s="85" customFormat="1" x14ac:dyDescent="0.3">
      <c r="A31" s="153" t="s">
        <v>33</v>
      </c>
      <c r="B31" s="80">
        <v>347295</v>
      </c>
      <c r="C31" s="80">
        <v>1112399</v>
      </c>
      <c r="D31" s="80">
        <v>1215943</v>
      </c>
      <c r="E31" s="80">
        <v>1469369</v>
      </c>
      <c r="F31" s="80">
        <v>1538886</v>
      </c>
      <c r="G31" s="80">
        <v>1749777</v>
      </c>
      <c r="H31" s="123">
        <f>SUM(H23:H30)</f>
        <v>1440330</v>
      </c>
      <c r="I31" s="119">
        <f>SUM(I23:I30)</f>
        <v>1526312</v>
      </c>
      <c r="J31" s="129">
        <f t="shared" si="2"/>
        <v>5.9696041879291555E-2</v>
      </c>
      <c r="K31" s="119">
        <f>SUM(K23:K30)</f>
        <v>1475810</v>
      </c>
      <c r="L31" s="119">
        <f>SUM(L23:L30)</f>
        <v>1706264</v>
      </c>
      <c r="M31" s="129">
        <f t="shared" si="3"/>
        <v>0.15615424749798415</v>
      </c>
      <c r="N31" s="83"/>
      <c r="O31" s="83"/>
      <c r="P31" s="106"/>
      <c r="Q31" s="84"/>
      <c r="R31" s="84"/>
      <c r="S31" s="84"/>
    </row>
    <row r="32" spans="1:19" s="85" customFormat="1" x14ac:dyDescent="0.3">
      <c r="A32" s="153" t="s">
        <v>39</v>
      </c>
      <c r="B32" s="81">
        <v>2519</v>
      </c>
      <c r="C32" s="81">
        <v>2618</v>
      </c>
      <c r="D32" s="81">
        <v>2964</v>
      </c>
      <c r="E32" s="81">
        <v>2751</v>
      </c>
      <c r="F32" s="81">
        <v>3611</v>
      </c>
      <c r="G32" s="81">
        <v>11268</v>
      </c>
      <c r="H32" s="121">
        <v>16209</v>
      </c>
      <c r="I32" s="117">
        <v>16294</v>
      </c>
      <c r="J32" s="129">
        <f t="shared" si="2"/>
        <v>5.2440002467764825E-3</v>
      </c>
      <c r="K32" s="117">
        <v>15020</v>
      </c>
      <c r="L32" s="117">
        <v>5700</v>
      </c>
      <c r="M32" s="129">
        <f t="shared" si="3"/>
        <v>-0.62050599201065249</v>
      </c>
      <c r="N32" s="83"/>
      <c r="O32" s="83"/>
      <c r="P32" s="106"/>
      <c r="Q32" s="84"/>
      <c r="R32" s="84"/>
      <c r="S32" s="84"/>
    </row>
    <row r="33" spans="1:19" s="85" customFormat="1" x14ac:dyDescent="0.3">
      <c r="A33" s="155" t="s">
        <v>34</v>
      </c>
      <c r="B33" s="97">
        <v>3672343</v>
      </c>
      <c r="C33" s="97">
        <v>3917884</v>
      </c>
      <c r="D33" s="97">
        <v>4129395</v>
      </c>
      <c r="E33" s="97">
        <v>3864433</v>
      </c>
      <c r="F33" s="97">
        <v>5386629</v>
      </c>
      <c r="G33" s="97">
        <v>6323646</v>
      </c>
      <c r="H33" s="124">
        <v>6474630</v>
      </c>
      <c r="I33" s="120">
        <v>7408958</v>
      </c>
      <c r="J33" s="131">
        <f t="shared" si="2"/>
        <v>0.14430600667528493</v>
      </c>
      <c r="K33" s="120">
        <v>6352531</v>
      </c>
      <c r="L33" s="120">
        <v>7344516</v>
      </c>
      <c r="M33" s="131">
        <f t="shared" si="3"/>
        <v>0.15615586921181496</v>
      </c>
      <c r="N33" s="83"/>
      <c r="O33" s="83"/>
      <c r="P33" s="108"/>
      <c r="Q33" s="84"/>
      <c r="R33" s="84"/>
      <c r="S33" s="84"/>
    </row>
    <row r="34" spans="1:19" s="85" customFormat="1" ht="15.75" thickBot="1" x14ac:dyDescent="0.35">
      <c r="A34" s="151" t="s">
        <v>35</v>
      </c>
      <c r="B34" s="91">
        <v>4022157</v>
      </c>
      <c r="C34" s="91">
        <v>5032901</v>
      </c>
      <c r="D34" s="91">
        <v>5348302</v>
      </c>
      <c r="E34" s="91">
        <v>5336553</v>
      </c>
      <c r="F34" s="91">
        <v>6929126</v>
      </c>
      <c r="G34" s="91">
        <v>8084691</v>
      </c>
      <c r="H34" s="122">
        <f>+H31+H32+H33</f>
        <v>7931169</v>
      </c>
      <c r="I34" s="118">
        <f>+I31+I32+I33</f>
        <v>8951564</v>
      </c>
      <c r="J34" s="130">
        <f t="shared" si="2"/>
        <v>0.12865631787697374</v>
      </c>
      <c r="K34" s="118">
        <f>+K31+K32+K33</f>
        <v>7843361</v>
      </c>
      <c r="L34" s="118">
        <f>+L31+L32+L33</f>
        <v>9056480</v>
      </c>
      <c r="M34" s="130">
        <f t="shared" si="3"/>
        <v>0.15466826020120711</v>
      </c>
      <c r="N34" s="83"/>
      <c r="O34" s="83"/>
      <c r="P34" s="108"/>
      <c r="Q34" s="84"/>
      <c r="R34" s="84"/>
      <c r="S34" s="84"/>
    </row>
    <row r="35" spans="1:19" s="85" customFormat="1" x14ac:dyDescent="0.3">
      <c r="H35" s="81"/>
      <c r="I35" s="81"/>
      <c r="J35" s="81"/>
      <c r="K35" s="81"/>
      <c r="L35" s="82"/>
      <c r="M35" s="107"/>
      <c r="N35" s="83"/>
      <c r="O35" s="83"/>
      <c r="P35" s="108"/>
      <c r="Q35" s="84"/>
      <c r="R35" s="84"/>
      <c r="S35" s="84"/>
    </row>
    <row r="36" spans="1:19" ht="21" x14ac:dyDescent="0.35">
      <c r="A36" s="116" t="s">
        <v>91</v>
      </c>
      <c r="B36" s="116"/>
      <c r="C36" s="116"/>
      <c r="D36" s="116"/>
      <c r="E36" s="116"/>
      <c r="F36" s="116"/>
      <c r="G36" s="116"/>
    </row>
    <row r="37" spans="1:19" ht="15.75" x14ac:dyDescent="0.3">
      <c r="A37" s="78" t="s">
        <v>97</v>
      </c>
      <c r="B37" s="78"/>
      <c r="C37" s="78"/>
      <c r="D37" s="78"/>
      <c r="E37" s="78"/>
      <c r="F37" s="78"/>
      <c r="G37" s="78"/>
    </row>
    <row r="38" spans="1:19" x14ac:dyDescent="0.3">
      <c r="A38" s="79" t="s">
        <v>88</v>
      </c>
      <c r="B38" s="79"/>
      <c r="C38" s="79"/>
      <c r="D38" s="79"/>
      <c r="E38" s="79"/>
      <c r="F38" s="79"/>
      <c r="G38" s="79"/>
    </row>
    <row r="39" spans="1:19" s="85" customFormat="1" ht="15.75" thickBot="1" x14ac:dyDescent="0.35">
      <c r="A39" s="86"/>
      <c r="B39" s="144">
        <v>2005</v>
      </c>
      <c r="C39" s="144">
        <v>2006</v>
      </c>
      <c r="D39" s="144">
        <v>2007</v>
      </c>
      <c r="E39" s="144">
        <v>2008</v>
      </c>
      <c r="F39" s="144">
        <v>2009</v>
      </c>
      <c r="G39" s="144">
        <v>2010</v>
      </c>
      <c r="H39" s="145">
        <v>2011</v>
      </c>
      <c r="I39" s="146" t="s">
        <v>55</v>
      </c>
      <c r="J39" s="145">
        <v>2012</v>
      </c>
      <c r="K39" s="146" t="s">
        <v>55</v>
      </c>
      <c r="L39" s="147" t="s">
        <v>46</v>
      </c>
      <c r="M39" s="145" t="s">
        <v>96</v>
      </c>
      <c r="N39" s="146" t="s">
        <v>55</v>
      </c>
      <c r="O39" s="145" t="s">
        <v>95</v>
      </c>
      <c r="P39" s="146" t="s">
        <v>55</v>
      </c>
      <c r="Q39" s="147" t="s">
        <v>46</v>
      </c>
      <c r="R39" s="144"/>
    </row>
    <row r="40" spans="1:19" s="95" customFormat="1" x14ac:dyDescent="0.3">
      <c r="A40" s="148" t="s">
        <v>4</v>
      </c>
      <c r="B40" s="110">
        <v>2297199</v>
      </c>
      <c r="C40" s="110">
        <v>2872015</v>
      </c>
      <c r="D40" s="110">
        <v>3449517</v>
      </c>
      <c r="E40" s="110">
        <v>4009727</v>
      </c>
      <c r="F40" s="110">
        <v>4588366</v>
      </c>
      <c r="G40" s="110">
        <v>4458858</v>
      </c>
      <c r="H40" s="141">
        <v>5057382.6182662696</v>
      </c>
      <c r="I40" s="138">
        <v>1</v>
      </c>
      <c r="J40" s="132">
        <v>5305782</v>
      </c>
      <c r="K40" s="138">
        <v>1</v>
      </c>
      <c r="L40" s="129">
        <f t="shared" ref="L40:L57" si="4">IF(H40&lt;&gt;0,(J40-H40)/H40,0)</f>
        <v>4.9116193193799659E-2</v>
      </c>
      <c r="M40" s="132">
        <v>1237546</v>
      </c>
      <c r="N40" s="138">
        <v>1</v>
      </c>
      <c r="O40" s="132">
        <v>1242052</v>
      </c>
      <c r="P40" s="138">
        <v>1</v>
      </c>
      <c r="Q40" s="129">
        <f t="shared" ref="Q40:Q57" si="5">IF(M40&lt;&gt;0,(O40-M40)/M40,0)</f>
        <v>3.6410767761359984E-3</v>
      </c>
      <c r="R40" s="111"/>
      <c r="S40" s="85"/>
    </row>
    <row r="41" spans="1:19" s="85" customFormat="1" x14ac:dyDescent="0.3">
      <c r="A41" s="149" t="s">
        <v>50</v>
      </c>
      <c r="B41" s="112">
        <v>-1428204</v>
      </c>
      <c r="C41" s="112">
        <v>-1760636</v>
      </c>
      <c r="D41" s="112">
        <v>-2035308</v>
      </c>
      <c r="E41" s="112">
        <v>-2384094</v>
      </c>
      <c r="F41" s="112">
        <v>-2818189</v>
      </c>
      <c r="G41" s="112">
        <v>-2587907.8744791602</v>
      </c>
      <c r="H41" s="142">
        <v>-3030201.8461819952</v>
      </c>
      <c r="I41" s="129">
        <f>+H41/$H$40</f>
        <v>-0.59916404885750651</v>
      </c>
      <c r="J41" s="133">
        <v>-3064460</v>
      </c>
      <c r="K41" s="129">
        <f t="shared" ref="K41:K59" si="6">+J41/$J$40</f>
        <v>-0.57756990392745122</v>
      </c>
      <c r="L41" s="129">
        <f t="shared" si="4"/>
        <v>1.1305568261457394E-2</v>
      </c>
      <c r="M41" s="133">
        <v>-724520</v>
      </c>
      <c r="N41" s="129">
        <f>+M41/$M$40</f>
        <v>-0.58544894492810773</v>
      </c>
      <c r="O41" s="133">
        <v>-682801</v>
      </c>
      <c r="P41" s="129">
        <f>+O41/$O$40</f>
        <v>-0.54973624292702716</v>
      </c>
      <c r="Q41" s="129">
        <f t="shared" si="5"/>
        <v>-5.7581571247170539E-2</v>
      </c>
      <c r="R41" s="101"/>
    </row>
    <row r="42" spans="1:19" s="95" customFormat="1" x14ac:dyDescent="0.3">
      <c r="A42" s="148" t="s">
        <v>6</v>
      </c>
      <c r="B42" s="80">
        <v>868995</v>
      </c>
      <c r="C42" s="80">
        <v>1111379</v>
      </c>
      <c r="D42" s="80">
        <v>1414209</v>
      </c>
      <c r="E42" s="80">
        <v>1625633</v>
      </c>
      <c r="F42" s="80">
        <v>1770177</v>
      </c>
      <c r="G42" s="80">
        <v>1870950.1255208398</v>
      </c>
      <c r="H42" s="123">
        <f>SUM(H40:H41)</f>
        <v>2027180.7720842743</v>
      </c>
      <c r="I42" s="138">
        <f t="shared" ref="I42:I59" si="7">+H42/$H$40</f>
        <v>0.40083595114249349</v>
      </c>
      <c r="J42" s="134">
        <f>SUM(J40:J41)</f>
        <v>2241322</v>
      </c>
      <c r="K42" s="138">
        <f t="shared" si="6"/>
        <v>0.42243009607254878</v>
      </c>
      <c r="L42" s="129">
        <f t="shared" si="4"/>
        <v>0.10563499361507526</v>
      </c>
      <c r="M42" s="134">
        <f>SUM(M40:M41)</f>
        <v>513026</v>
      </c>
      <c r="N42" s="138">
        <f t="shared" ref="N42:N59" si="8">+M42/$M$40</f>
        <v>0.41455105507189227</v>
      </c>
      <c r="O42" s="134">
        <f>SUM(O40:O41)</f>
        <v>559251</v>
      </c>
      <c r="P42" s="138">
        <f t="shared" ref="P42:P59" si="9">+O42/$O$40</f>
        <v>0.45026375707297278</v>
      </c>
      <c r="Q42" s="129">
        <f t="shared" si="5"/>
        <v>9.0102645869799977E-2</v>
      </c>
      <c r="R42" s="111"/>
      <c r="S42" s="85"/>
    </row>
    <row r="43" spans="1:19" s="85" customFormat="1" x14ac:dyDescent="0.3">
      <c r="A43" s="149" t="s">
        <v>7</v>
      </c>
      <c r="B43" s="81">
        <v>-95853</v>
      </c>
      <c r="C43" s="81">
        <v>-127200</v>
      </c>
      <c r="D43" s="81">
        <v>-165507</v>
      </c>
      <c r="E43" s="81">
        <v>-183777</v>
      </c>
      <c r="F43" s="81">
        <v>-218875</v>
      </c>
      <c r="G43" s="81">
        <v>-212941</v>
      </c>
      <c r="H43" s="121">
        <v>-250061.17590559012</v>
      </c>
      <c r="I43" s="129">
        <f t="shared" si="7"/>
        <v>-4.9444780982640789E-2</v>
      </c>
      <c r="J43" s="135">
        <v>-270303</v>
      </c>
      <c r="K43" s="129">
        <f t="shared" si="6"/>
        <v>-5.0944987939572341E-2</v>
      </c>
      <c r="L43" s="129">
        <f t="shared" si="4"/>
        <v>8.0947488234047668E-2</v>
      </c>
      <c r="M43" s="135">
        <v>-59529</v>
      </c>
      <c r="N43" s="129">
        <f t="shared" si="8"/>
        <v>-4.8102454373413192E-2</v>
      </c>
      <c r="O43" s="135">
        <v>-64873</v>
      </c>
      <c r="P43" s="129">
        <f t="shared" si="9"/>
        <v>-5.223050242662948E-2</v>
      </c>
      <c r="Q43" s="129">
        <f t="shared" si="5"/>
        <v>8.9771371936367153E-2</v>
      </c>
      <c r="R43" s="101"/>
    </row>
    <row r="44" spans="1:19" s="85" customFormat="1" x14ac:dyDescent="0.3">
      <c r="A44" s="149" t="s">
        <v>8</v>
      </c>
      <c r="B44" s="81">
        <v>-509961</v>
      </c>
      <c r="C44" s="81">
        <v>-684105</v>
      </c>
      <c r="D44" s="81">
        <v>-815817</v>
      </c>
      <c r="E44" s="81">
        <v>-975970</v>
      </c>
      <c r="F44" s="81">
        <v>-1102578</v>
      </c>
      <c r="G44" s="81">
        <v>-1103652</v>
      </c>
      <c r="H44" s="121">
        <v>-1221301.5797654777</v>
      </c>
      <c r="I44" s="129">
        <f t="shared" si="7"/>
        <v>-0.24148886330141939</v>
      </c>
      <c r="J44" s="135">
        <v>-1326976</v>
      </c>
      <c r="K44" s="129">
        <f t="shared" si="6"/>
        <v>-0.25009998526136201</v>
      </c>
      <c r="L44" s="129">
        <f t="shared" si="4"/>
        <v>8.6526065294056695E-2</v>
      </c>
      <c r="M44" s="135">
        <v>-305689</v>
      </c>
      <c r="N44" s="129">
        <f t="shared" si="8"/>
        <v>-0.24701223227257815</v>
      </c>
      <c r="O44" s="135">
        <v>-325559</v>
      </c>
      <c r="P44" s="129">
        <f t="shared" si="9"/>
        <v>-0.26211382454196763</v>
      </c>
      <c r="Q44" s="129">
        <f t="shared" si="5"/>
        <v>6.500070332920059E-2</v>
      </c>
      <c r="R44" s="101"/>
    </row>
    <row r="45" spans="1:19" s="85" customFormat="1" x14ac:dyDescent="0.3">
      <c r="A45" s="149" t="s">
        <v>84</v>
      </c>
      <c r="B45" s="81"/>
      <c r="C45" s="81"/>
      <c r="D45" s="81"/>
      <c r="E45" s="81"/>
      <c r="F45" s="81"/>
      <c r="G45" s="81">
        <v>-121613</v>
      </c>
      <c r="H45" s="121">
        <v>-123323</v>
      </c>
      <c r="I45" s="129">
        <f t="shared" si="7"/>
        <v>-2.4384747864356085E-2</v>
      </c>
      <c r="J45" s="135">
        <v>-122931</v>
      </c>
      <c r="K45" s="129">
        <f t="shared" si="6"/>
        <v>-2.3169251959466106E-2</v>
      </c>
      <c r="L45" s="129">
        <f t="shared" si="4"/>
        <v>-3.178644697258419E-3</v>
      </c>
      <c r="M45" s="135">
        <v>-33091</v>
      </c>
      <c r="N45" s="129">
        <f t="shared" si="8"/>
        <v>-2.6739208077921951E-2</v>
      </c>
      <c r="O45" s="135">
        <v>-27738</v>
      </c>
      <c r="P45" s="129">
        <f t="shared" si="9"/>
        <v>-2.2332398321487344E-2</v>
      </c>
      <c r="Q45" s="129">
        <f t="shared" si="5"/>
        <v>-0.16176603910428816</v>
      </c>
      <c r="R45" s="101"/>
    </row>
    <row r="46" spans="1:19" s="95" customFormat="1" x14ac:dyDescent="0.3">
      <c r="A46" s="148" t="s">
        <v>9</v>
      </c>
      <c r="B46" s="80">
        <v>-605814</v>
      </c>
      <c r="C46" s="80">
        <v>-811305</v>
      </c>
      <c r="D46" s="80">
        <v>-981324</v>
      </c>
      <c r="E46" s="80">
        <v>-1159747</v>
      </c>
      <c r="F46" s="80">
        <v>-1321453</v>
      </c>
      <c r="G46" s="80">
        <v>-1438206</v>
      </c>
      <c r="H46" s="123">
        <f>SUM(H43:H45)</f>
        <v>-1594685.7556710679</v>
      </c>
      <c r="I46" s="138">
        <f t="shared" si="7"/>
        <v>-0.31531839214841628</v>
      </c>
      <c r="J46" s="134">
        <f>SUM(J43:J45)</f>
        <v>-1720210</v>
      </c>
      <c r="K46" s="138">
        <f t="shared" si="6"/>
        <v>-0.32421422516040049</v>
      </c>
      <c r="L46" s="129">
        <f t="shared" si="4"/>
        <v>7.8714093910062954E-2</v>
      </c>
      <c r="M46" s="134">
        <f>SUM(M43:M45)</f>
        <v>-398309</v>
      </c>
      <c r="N46" s="138">
        <f t="shared" si="8"/>
        <v>-0.32185389472391329</v>
      </c>
      <c r="O46" s="134">
        <f>SUM(O43:O45)</f>
        <v>-418170</v>
      </c>
      <c r="P46" s="138">
        <f t="shared" si="9"/>
        <v>-0.33667672529008447</v>
      </c>
      <c r="Q46" s="129">
        <f t="shared" si="5"/>
        <v>4.9863297088441387E-2</v>
      </c>
      <c r="R46" s="111"/>
      <c r="S46" s="85"/>
    </row>
    <row r="47" spans="1:19" s="95" customFormat="1" x14ac:dyDescent="0.3">
      <c r="A47" s="148" t="s">
        <v>1</v>
      </c>
      <c r="B47" s="80">
        <v>263181</v>
      </c>
      <c r="C47" s="80">
        <v>300074</v>
      </c>
      <c r="D47" s="80">
        <v>432885</v>
      </c>
      <c r="E47" s="80">
        <v>465886</v>
      </c>
      <c r="F47" s="80">
        <v>448724</v>
      </c>
      <c r="G47" s="80">
        <v>432744.12552083982</v>
      </c>
      <c r="H47" s="123">
        <f>+H42+H46</f>
        <v>432495.01641320647</v>
      </c>
      <c r="I47" s="138">
        <f t="shared" si="7"/>
        <v>8.5517558994077231E-2</v>
      </c>
      <c r="J47" s="134">
        <f>+J42+J46</f>
        <v>521112</v>
      </c>
      <c r="K47" s="138">
        <f t="shared" si="6"/>
        <v>9.8215870912148298E-2</v>
      </c>
      <c r="L47" s="129">
        <f t="shared" si="4"/>
        <v>0.2048971207153257</v>
      </c>
      <c r="M47" s="134">
        <f>+M42+M46</f>
        <v>114717</v>
      </c>
      <c r="N47" s="138">
        <f t="shared" si="8"/>
        <v>9.269716034797898E-2</v>
      </c>
      <c r="O47" s="134">
        <f>+O42+O46</f>
        <v>141081</v>
      </c>
      <c r="P47" s="138">
        <f t="shared" si="9"/>
        <v>0.11358703178288831</v>
      </c>
      <c r="Q47" s="129">
        <f t="shared" si="5"/>
        <v>0.22981772535892675</v>
      </c>
      <c r="R47" s="111"/>
      <c r="S47" s="85"/>
    </row>
    <row r="48" spans="1:19" s="85" customFormat="1" x14ac:dyDescent="0.3">
      <c r="A48" s="149" t="s">
        <v>51</v>
      </c>
      <c r="B48" s="81">
        <v>14213</v>
      </c>
      <c r="C48" s="81">
        <v>13821</v>
      </c>
      <c r="D48" s="81">
        <v>11386</v>
      </c>
      <c r="E48" s="81">
        <v>11580</v>
      </c>
      <c r="F48" s="81">
        <v>9537</v>
      </c>
      <c r="G48" s="81">
        <v>8084</v>
      </c>
      <c r="H48" s="121">
        <v>7592</v>
      </c>
      <c r="I48" s="129">
        <f t="shared" si="7"/>
        <v>1.5011717667117357E-3</v>
      </c>
      <c r="J48" s="135">
        <v>12296</v>
      </c>
      <c r="K48" s="129">
        <f t="shared" si="6"/>
        <v>2.3174717694771476E-3</v>
      </c>
      <c r="L48" s="129">
        <f t="shared" si="4"/>
        <v>0.61959957850368808</v>
      </c>
      <c r="M48" s="135">
        <v>2281</v>
      </c>
      <c r="N48" s="129">
        <f t="shared" si="8"/>
        <v>1.843163809668489E-3</v>
      </c>
      <c r="O48" s="135">
        <v>2375</v>
      </c>
      <c r="P48" s="129">
        <f t="shared" si="9"/>
        <v>1.912158267125692E-3</v>
      </c>
      <c r="Q48" s="129">
        <f t="shared" si="5"/>
        <v>4.1209995615957916E-2</v>
      </c>
      <c r="R48" s="101"/>
    </row>
    <row r="49" spans="1:19" s="85" customFormat="1" x14ac:dyDescent="0.3">
      <c r="A49" s="149" t="s">
        <v>11</v>
      </c>
      <c r="B49" s="81">
        <v>-25197</v>
      </c>
      <c r="C49" s="81">
        <v>-64413</v>
      </c>
      <c r="D49" s="81">
        <v>-84176</v>
      </c>
      <c r="E49" s="81">
        <v>-88738</v>
      </c>
      <c r="F49" s="81">
        <v>-103331</v>
      </c>
      <c r="G49" s="81">
        <v>-79867</v>
      </c>
      <c r="H49" s="121">
        <v>-84666</v>
      </c>
      <c r="I49" s="129">
        <f t="shared" si="7"/>
        <v>-1.6741070706061095E-2</v>
      </c>
      <c r="J49" s="135">
        <v>-70722</v>
      </c>
      <c r="K49" s="129">
        <f t="shared" si="6"/>
        <v>-1.3329232147117993E-2</v>
      </c>
      <c r="L49" s="129">
        <f t="shared" si="4"/>
        <v>-0.16469421019063143</v>
      </c>
      <c r="M49" s="135">
        <v>-18188</v>
      </c>
      <c r="N49" s="129">
        <f t="shared" si="8"/>
        <v>-1.4696827431061148E-2</v>
      </c>
      <c r="O49" s="135">
        <v>-16818</v>
      </c>
      <c r="P49" s="129">
        <f t="shared" si="9"/>
        <v>-1.3540495889061005E-2</v>
      </c>
      <c r="Q49" s="129">
        <f t="shared" si="5"/>
        <v>-7.5324389707499453E-2</v>
      </c>
      <c r="R49" s="101"/>
    </row>
    <row r="50" spans="1:19" s="85" customFormat="1" x14ac:dyDescent="0.3">
      <c r="A50" s="149" t="s">
        <v>12</v>
      </c>
      <c r="B50" s="81">
        <v>-24458</v>
      </c>
      <c r="C50" s="81">
        <v>-32576</v>
      </c>
      <c r="D50" s="81">
        <v>-17533</v>
      </c>
      <c r="E50" s="81">
        <v>-27906</v>
      </c>
      <c r="F50" s="81">
        <v>-1787</v>
      </c>
      <c r="G50" s="81">
        <v>-28926</v>
      </c>
      <c r="H50" s="121">
        <v>-3636</v>
      </c>
      <c r="I50" s="129">
        <f t="shared" si="7"/>
        <v>-7.1894896519545195E-4</v>
      </c>
      <c r="J50" s="135">
        <v>1782</v>
      </c>
      <c r="K50" s="129">
        <f t="shared" si="6"/>
        <v>3.3586001083346433E-4</v>
      </c>
      <c r="L50" s="129">
        <f t="shared" si="4"/>
        <v>-1.4900990099009901</v>
      </c>
      <c r="M50" s="135">
        <v>-1259</v>
      </c>
      <c r="N50" s="129">
        <f t="shared" si="8"/>
        <v>-1.0173359212506041E-3</v>
      </c>
      <c r="O50" s="135">
        <v>-1758</v>
      </c>
      <c r="P50" s="129">
        <f t="shared" si="9"/>
        <v>-1.4153996773081964E-3</v>
      </c>
      <c r="Q50" s="129">
        <f t="shared" si="5"/>
        <v>0.39634630659253378</v>
      </c>
      <c r="R50" s="101"/>
    </row>
    <row r="51" spans="1:19" s="85" customFormat="1" x14ac:dyDescent="0.3">
      <c r="A51" s="149" t="s">
        <v>52</v>
      </c>
      <c r="B51" s="81">
        <v>-1493</v>
      </c>
      <c r="C51" s="81">
        <v>-70809</v>
      </c>
      <c r="D51" s="81">
        <v>-27554</v>
      </c>
      <c r="E51" s="81">
        <v>-96678</v>
      </c>
      <c r="F51" s="81">
        <v>-89202</v>
      </c>
      <c r="G51" s="81">
        <v>-23551</v>
      </c>
      <c r="H51" s="121">
        <v>-26933</v>
      </c>
      <c r="I51" s="129">
        <f t="shared" si="7"/>
        <v>-5.3254819800905139E-3</v>
      </c>
      <c r="J51" s="135">
        <v>-13536</v>
      </c>
      <c r="K51" s="129">
        <f t="shared" si="6"/>
        <v>-2.5511790721895471E-3</v>
      </c>
      <c r="L51" s="129">
        <f t="shared" si="4"/>
        <v>-0.49741952251884308</v>
      </c>
      <c r="M51" s="135">
        <v>-5552</v>
      </c>
      <c r="N51" s="129">
        <f t="shared" si="8"/>
        <v>-4.4862978830685889E-3</v>
      </c>
      <c r="O51" s="135">
        <v>-7981</v>
      </c>
      <c r="P51" s="129">
        <f t="shared" si="9"/>
        <v>-6.4256568968126936E-3</v>
      </c>
      <c r="Q51" s="129">
        <f t="shared" si="5"/>
        <v>0.4375</v>
      </c>
      <c r="R51" s="101"/>
    </row>
    <row r="52" spans="1:19" s="85" customFormat="1" x14ac:dyDescent="0.3">
      <c r="A52" s="149" t="s">
        <v>14</v>
      </c>
      <c r="B52" s="81">
        <v>22218</v>
      </c>
      <c r="C52" s="81">
        <v>29348</v>
      </c>
      <c r="D52" s="81">
        <v>25763</v>
      </c>
      <c r="E52" s="81">
        <v>27907</v>
      </c>
      <c r="F52" s="81">
        <v>28975</v>
      </c>
      <c r="G52" s="81">
        <v>30996</v>
      </c>
      <c r="H52" s="121">
        <v>33531</v>
      </c>
      <c r="I52" s="129">
        <f t="shared" si="7"/>
        <v>6.6301093927306652E-3</v>
      </c>
      <c r="J52" s="135">
        <v>35188</v>
      </c>
      <c r="K52" s="129">
        <f t="shared" si="6"/>
        <v>6.6320101353579929E-3</v>
      </c>
      <c r="L52" s="129">
        <f t="shared" si="4"/>
        <v>4.9416957442366766E-2</v>
      </c>
      <c r="M52" s="135">
        <v>8296</v>
      </c>
      <c r="N52" s="129">
        <f t="shared" si="8"/>
        <v>6.7035891999166096E-3</v>
      </c>
      <c r="O52" s="135">
        <v>8803</v>
      </c>
      <c r="P52" s="129">
        <f t="shared" si="9"/>
        <v>7.0874649370557758E-3</v>
      </c>
      <c r="Q52" s="129">
        <f t="shared" si="5"/>
        <v>6.1113789778206362E-2</v>
      </c>
      <c r="R52" s="101"/>
    </row>
    <row r="53" spans="1:19" s="85" customFormat="1" x14ac:dyDescent="0.3">
      <c r="A53" s="149" t="s">
        <v>16</v>
      </c>
      <c r="B53" s="81">
        <v>18955</v>
      </c>
      <c r="C53" s="81">
        <v>71319</v>
      </c>
      <c r="D53" s="81">
        <v>6759</v>
      </c>
      <c r="E53" s="81">
        <v>80511</v>
      </c>
      <c r="F53" s="81">
        <v>2124</v>
      </c>
      <c r="G53" s="81">
        <v>1513.7364279999999</v>
      </c>
      <c r="H53" s="121">
        <v>11185</v>
      </c>
      <c r="I53" s="129">
        <f t="shared" si="7"/>
        <v>2.2116183101515761E-3</v>
      </c>
      <c r="J53" s="135">
        <v>0</v>
      </c>
      <c r="K53" s="129">
        <f t="shared" si="6"/>
        <v>0</v>
      </c>
      <c r="L53" s="129">
        <f t="shared" si="4"/>
        <v>-1</v>
      </c>
      <c r="M53" s="135">
        <v>-1</v>
      </c>
      <c r="N53" s="129">
        <f t="shared" si="8"/>
        <v>-8.0805077144607146E-7</v>
      </c>
      <c r="O53" s="135">
        <v>0</v>
      </c>
      <c r="P53" s="129">
        <f t="shared" si="9"/>
        <v>0</v>
      </c>
      <c r="Q53" s="129">
        <f t="shared" si="5"/>
        <v>-1</v>
      </c>
      <c r="R53" s="101"/>
    </row>
    <row r="54" spans="1:19" s="95" customFormat="1" x14ac:dyDescent="0.3">
      <c r="A54" s="148" t="s">
        <v>2</v>
      </c>
      <c r="B54" s="80">
        <v>4238</v>
      </c>
      <c r="C54" s="80">
        <v>-53310</v>
      </c>
      <c r="D54" s="80">
        <v>-85355</v>
      </c>
      <c r="E54" s="80">
        <v>-93324</v>
      </c>
      <c r="F54" s="80">
        <v>-153684</v>
      </c>
      <c r="G54" s="80">
        <v>-91750.263571999996</v>
      </c>
      <c r="H54" s="123">
        <f>SUM(H48:H53)</f>
        <v>-62927</v>
      </c>
      <c r="I54" s="138">
        <f t="shared" si="7"/>
        <v>-1.2442602181753082E-2</v>
      </c>
      <c r="J54" s="134">
        <f>SUM(J48:J53)</f>
        <v>-34992</v>
      </c>
      <c r="K54" s="138">
        <f t="shared" si="6"/>
        <v>-6.5950693036389355E-3</v>
      </c>
      <c r="L54" s="129">
        <f t="shared" si="4"/>
        <v>-0.44392709012029813</v>
      </c>
      <c r="M54" s="134">
        <f>SUM(M48:M53)</f>
        <v>-14423</v>
      </c>
      <c r="N54" s="138">
        <f t="shared" si="8"/>
        <v>-1.165451627656669E-2</v>
      </c>
      <c r="O54" s="134">
        <f>SUM(O48:O53)</f>
        <v>-15379</v>
      </c>
      <c r="P54" s="138">
        <f t="shared" si="9"/>
        <v>-1.2381929259000429E-2</v>
      </c>
      <c r="Q54" s="129">
        <f t="shared" si="5"/>
        <v>6.6283020176107613E-2</v>
      </c>
      <c r="R54" s="111"/>
      <c r="S54" s="85"/>
    </row>
    <row r="55" spans="1:19" s="95" customFormat="1" x14ac:dyDescent="0.3">
      <c r="A55" s="148" t="s">
        <v>41</v>
      </c>
      <c r="B55" s="80">
        <v>267419</v>
      </c>
      <c r="C55" s="80">
        <v>246764</v>
      </c>
      <c r="D55" s="80">
        <v>347530</v>
      </c>
      <c r="E55" s="80">
        <v>372562</v>
      </c>
      <c r="F55" s="80">
        <v>295040</v>
      </c>
      <c r="G55" s="80">
        <v>340993.86194883985</v>
      </c>
      <c r="H55" s="123">
        <f>+H47+H54</f>
        <v>369568.01641320647</v>
      </c>
      <c r="I55" s="138">
        <f t="shared" si="7"/>
        <v>7.3074956812324149E-2</v>
      </c>
      <c r="J55" s="134">
        <f>+J47+J54</f>
        <v>486120</v>
      </c>
      <c r="K55" s="138">
        <f t="shared" si="6"/>
        <v>9.1620801608509356E-2</v>
      </c>
      <c r="L55" s="129">
        <f t="shared" si="4"/>
        <v>0.31537356700391284</v>
      </c>
      <c r="M55" s="134">
        <f>+M47+M54</f>
        <v>100294</v>
      </c>
      <c r="N55" s="138">
        <f t="shared" si="8"/>
        <v>8.104264407141229E-2</v>
      </c>
      <c r="O55" s="134">
        <f>+O47+O54</f>
        <v>125702</v>
      </c>
      <c r="P55" s="138">
        <f t="shared" si="9"/>
        <v>0.10120510252388788</v>
      </c>
      <c r="Q55" s="129">
        <f t="shared" si="5"/>
        <v>0.25333519452808745</v>
      </c>
      <c r="R55" s="111"/>
      <c r="S55" s="85"/>
    </row>
    <row r="56" spans="1:19" s="85" customFormat="1" x14ac:dyDescent="0.3">
      <c r="A56" s="149" t="s">
        <v>15</v>
      </c>
      <c r="B56" s="81">
        <v>-84076</v>
      </c>
      <c r="C56" s="81">
        <v>-70246</v>
      </c>
      <c r="D56" s="81">
        <v>-99987</v>
      </c>
      <c r="E56" s="81">
        <v>-73232</v>
      </c>
      <c r="F56" s="81">
        <v>-81309</v>
      </c>
      <c r="G56" s="81">
        <v>-76992.534036829995</v>
      </c>
      <c r="H56" s="121">
        <v>-113919.04882074999</v>
      </c>
      <c r="I56" s="129">
        <f t="shared" si="7"/>
        <v>-2.2525297652840587E-2</v>
      </c>
      <c r="J56" s="135">
        <v>-138457</v>
      </c>
      <c r="K56" s="129">
        <f t="shared" si="6"/>
        <v>-2.609549355778281E-2</v>
      </c>
      <c r="L56" s="129">
        <f t="shared" si="4"/>
        <v>0.21539813958471626</v>
      </c>
      <c r="M56" s="135">
        <v>-39773</v>
      </c>
      <c r="N56" s="129">
        <f t="shared" si="8"/>
        <v>-3.21386033327246E-2</v>
      </c>
      <c r="O56" s="135">
        <v>-46692</v>
      </c>
      <c r="P56" s="129">
        <f t="shared" si="9"/>
        <v>-3.7592628972055918E-2</v>
      </c>
      <c r="Q56" s="129">
        <f t="shared" si="5"/>
        <v>0.17396223568752672</v>
      </c>
      <c r="R56" s="101"/>
    </row>
    <row r="57" spans="1:19" s="85" customFormat="1" x14ac:dyDescent="0.3">
      <c r="A57" s="149" t="s">
        <v>18</v>
      </c>
      <c r="B57" s="81">
        <v>-23</v>
      </c>
      <c r="C57" s="81">
        <v>17</v>
      </c>
      <c r="D57" s="81">
        <v>-230</v>
      </c>
      <c r="E57" s="81">
        <v>-279</v>
      </c>
      <c r="F57" s="81">
        <v>-457</v>
      </c>
      <c r="G57" s="81">
        <v>-762.45166136</v>
      </c>
      <c r="H57" s="121">
        <v>-2137.6216936399992</v>
      </c>
      <c r="I57" s="129">
        <f t="shared" si="7"/>
        <v>-4.2267351612261463E-4</v>
      </c>
      <c r="J57" s="135">
        <v>-2156</v>
      </c>
      <c r="K57" s="129">
        <f t="shared" si="6"/>
        <v>-4.0634914890962348E-4</v>
      </c>
      <c r="L57" s="129">
        <f t="shared" si="4"/>
        <v>8.5975485815292865E-3</v>
      </c>
      <c r="M57" s="135">
        <v>-917</v>
      </c>
      <c r="N57" s="129">
        <f t="shared" si="8"/>
        <v>-7.4098255741604751E-4</v>
      </c>
      <c r="O57" s="135">
        <v>276</v>
      </c>
      <c r="P57" s="129">
        <f t="shared" si="9"/>
        <v>2.2221291862176463E-4</v>
      </c>
      <c r="Q57" s="129">
        <f t="shared" si="5"/>
        <v>-1.3009814612868047</v>
      </c>
      <c r="R57" s="101"/>
    </row>
    <row r="58" spans="1:19" s="95" customFormat="1" x14ac:dyDescent="0.3">
      <c r="A58" s="150" t="s">
        <v>17</v>
      </c>
      <c r="B58" s="113">
        <v>183320</v>
      </c>
      <c r="C58" s="113">
        <v>176535</v>
      </c>
      <c r="D58" s="113">
        <v>247313</v>
      </c>
      <c r="E58" s="113">
        <v>299051</v>
      </c>
      <c r="F58" s="113">
        <v>213274</v>
      </c>
      <c r="G58" s="113">
        <v>263238.87625064986</v>
      </c>
      <c r="H58" s="143">
        <f>+H55+H56+H57</f>
        <v>253511.34589881651</v>
      </c>
      <c r="I58" s="139">
        <f t="shared" si="7"/>
        <v>5.0126985643360954E-2</v>
      </c>
      <c r="J58" s="136">
        <f>+J55+J56+J57</f>
        <v>345507</v>
      </c>
      <c r="K58" s="139">
        <f t="shared" si="6"/>
        <v>6.5118958901816917E-2</v>
      </c>
      <c r="L58" s="139">
        <f>+(J58-H58)/H58</f>
        <v>0.36288574688843134</v>
      </c>
      <c r="M58" s="136">
        <f>+M55+M56+M57</f>
        <v>59604</v>
      </c>
      <c r="N58" s="139">
        <f t="shared" si="8"/>
        <v>4.8163058181271645E-2</v>
      </c>
      <c r="O58" s="136">
        <f>+O55+O56+O57</f>
        <v>79286</v>
      </c>
      <c r="P58" s="139">
        <f t="shared" si="9"/>
        <v>6.3834686470453733E-2</v>
      </c>
      <c r="Q58" s="139">
        <f>+(O58-M58)/M58</f>
        <v>0.33021273740017448</v>
      </c>
      <c r="R58" s="111"/>
      <c r="S58" s="85"/>
    </row>
    <row r="59" spans="1:19" s="95" customFormat="1" ht="15.75" thickBot="1" x14ac:dyDescent="0.35">
      <c r="A59" s="151" t="s">
        <v>19</v>
      </c>
      <c r="B59" s="91">
        <v>317502</v>
      </c>
      <c r="C59" s="91">
        <v>382594</v>
      </c>
      <c r="D59" s="91">
        <v>528754</v>
      </c>
      <c r="E59" s="91">
        <v>569823</v>
      </c>
      <c r="F59" s="91">
        <v>551034</v>
      </c>
      <c r="G59" s="91">
        <v>538165</v>
      </c>
      <c r="H59" s="122">
        <v>568131.17041880696</v>
      </c>
      <c r="I59" s="140">
        <f t="shared" si="7"/>
        <v>0.11233699589325694</v>
      </c>
      <c r="J59" s="137">
        <v>671095</v>
      </c>
      <c r="K59" s="140">
        <f t="shared" si="6"/>
        <v>0.1264837115433691</v>
      </c>
      <c r="L59" s="130">
        <f>+(J59-H59)/H59</f>
        <v>0.18123249513891593</v>
      </c>
      <c r="M59" s="137">
        <v>150246</v>
      </c>
      <c r="N59" s="140">
        <f t="shared" si="8"/>
        <v>0.12140639620668646</v>
      </c>
      <c r="O59" s="137">
        <v>179705</v>
      </c>
      <c r="P59" s="140">
        <f t="shared" si="9"/>
        <v>0.14468395848160948</v>
      </c>
      <c r="Q59" s="130">
        <f>+(O59-M59)/M59</f>
        <v>0.19607177562131436</v>
      </c>
      <c r="R59" s="111"/>
      <c r="S59" s="85"/>
    </row>
    <row r="60" spans="1:19" s="85" customFormat="1" x14ac:dyDescent="0.3">
      <c r="A60" s="81"/>
      <c r="B60" s="81"/>
      <c r="C60" s="81"/>
      <c r="D60" s="81"/>
      <c r="E60" s="81"/>
      <c r="F60" s="81"/>
      <c r="G60" s="81"/>
      <c r="H60" s="81"/>
      <c r="I60" s="82"/>
      <c r="J60" s="82"/>
      <c r="K60" s="82"/>
      <c r="L60" s="112"/>
      <c r="M60" s="82"/>
      <c r="N60" s="101"/>
      <c r="O60" s="101"/>
    </row>
    <row r="61" spans="1:19" s="85" customFormat="1" x14ac:dyDescent="0.3">
      <c r="A61" s="85" t="s">
        <v>53</v>
      </c>
      <c r="H61" s="112"/>
      <c r="I61" s="112"/>
      <c r="J61" s="112"/>
      <c r="K61" s="112"/>
      <c r="L61" s="112"/>
      <c r="M61" s="82"/>
      <c r="N61" s="101"/>
      <c r="O61" s="101"/>
    </row>
    <row r="62" spans="1:19" s="85" customFormat="1" x14ac:dyDescent="0.3">
      <c r="H62" s="81"/>
      <c r="I62" s="81"/>
      <c r="J62" s="81"/>
      <c r="K62" s="81"/>
      <c r="L62" s="112"/>
      <c r="M62" s="82"/>
      <c r="N62" s="101"/>
      <c r="O62" s="101"/>
    </row>
    <row r="63" spans="1:19" s="85" customFormat="1" x14ac:dyDescent="0.3">
      <c r="H63" s="81"/>
      <c r="I63" s="81"/>
      <c r="J63" s="81"/>
      <c r="K63" s="81"/>
      <c r="L63" s="82"/>
      <c r="M63" s="82"/>
      <c r="N63" s="101"/>
      <c r="O63" s="101"/>
    </row>
    <row r="64" spans="1:19" s="85" customFormat="1" x14ac:dyDescent="0.3">
      <c r="H64" s="81"/>
      <c r="I64" s="81"/>
      <c r="J64" s="81"/>
      <c r="K64" s="81"/>
      <c r="L64" s="89"/>
      <c r="M64" s="82"/>
      <c r="N64" s="101"/>
      <c r="O64" s="101"/>
    </row>
    <row r="65" spans="13:13" x14ac:dyDescent="0.3">
      <c r="M65" s="77"/>
    </row>
    <row r="82" spans="13:13" x14ac:dyDescent="0.3">
      <c r="M82" s="77"/>
    </row>
  </sheetData>
  <pageMargins left="0.7" right="0.7" top="0.75" bottom="0.75" header="0.3" footer="0.3"/>
  <customProperties>
    <customPr name="_pios_id" r:id="rId1"/>
  </customPropertie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8"/>
  <sheetViews>
    <sheetView workbookViewId="0">
      <selection activeCell="A4" sqref="A4"/>
    </sheetView>
  </sheetViews>
  <sheetFormatPr baseColWidth="10" defaultColWidth="11.42578125" defaultRowHeight="15" x14ac:dyDescent="0.3"/>
  <cols>
    <col min="1" max="1" width="43.7109375" style="73" customWidth="1"/>
    <col min="2" max="2" width="14.42578125" style="73" customWidth="1"/>
    <col min="3" max="7" width="11.42578125" style="73" bestFit="1" customWidth="1"/>
    <col min="8" max="8" width="13" style="74" bestFit="1" customWidth="1"/>
    <col min="9" max="9" width="12.7109375" style="74" bestFit="1" customWidth="1"/>
    <col min="10" max="11" width="12.7109375" style="74" customWidth="1"/>
    <col min="12" max="12" width="13.42578125" style="75" bestFit="1" customWidth="1"/>
    <col min="13" max="16384" width="11.42578125" style="73"/>
  </cols>
  <sheetData>
    <row r="1" spans="1:19" x14ac:dyDescent="0.3">
      <c r="M1" s="75"/>
      <c r="N1" s="76"/>
      <c r="O1" s="76"/>
    </row>
    <row r="2" spans="1:19" x14ac:dyDescent="0.3">
      <c r="M2" s="75"/>
      <c r="N2" s="76"/>
      <c r="O2" s="76"/>
    </row>
    <row r="3" spans="1:19" x14ac:dyDescent="0.3">
      <c r="M3" s="75"/>
      <c r="N3" s="76"/>
      <c r="O3" s="76"/>
    </row>
    <row r="4" spans="1:19" x14ac:dyDescent="0.3">
      <c r="M4" s="75"/>
      <c r="N4" s="76"/>
      <c r="O4" s="76"/>
    </row>
    <row r="5" spans="1:19" x14ac:dyDescent="0.3">
      <c r="M5" s="75"/>
      <c r="N5" s="76"/>
      <c r="O5" s="76"/>
    </row>
    <row r="6" spans="1:19" ht="21" x14ac:dyDescent="0.35">
      <c r="A6" s="116" t="s">
        <v>90</v>
      </c>
      <c r="B6" s="116"/>
      <c r="C6" s="116"/>
      <c r="D6" s="116"/>
      <c r="E6" s="116"/>
      <c r="F6" s="116"/>
      <c r="G6" s="116"/>
      <c r="M6" s="75"/>
      <c r="N6" s="76"/>
      <c r="O6" s="76"/>
    </row>
    <row r="7" spans="1:19" ht="15.75" x14ac:dyDescent="0.3">
      <c r="A7" s="78" t="s">
        <v>102</v>
      </c>
      <c r="B7" s="78"/>
      <c r="C7" s="78"/>
      <c r="D7" s="78"/>
      <c r="E7" s="78"/>
      <c r="F7" s="78"/>
      <c r="G7" s="78"/>
      <c r="M7" s="75"/>
      <c r="N7" s="76"/>
      <c r="O7" s="76"/>
    </row>
    <row r="8" spans="1:19" x14ac:dyDescent="0.3">
      <c r="A8" s="79" t="s">
        <v>88</v>
      </c>
      <c r="B8" s="79"/>
      <c r="C8" s="79"/>
      <c r="D8" s="79"/>
      <c r="E8" s="79"/>
      <c r="F8" s="79"/>
      <c r="G8" s="79"/>
      <c r="M8" s="75"/>
      <c r="N8" s="76"/>
      <c r="O8" s="76"/>
    </row>
    <row r="9" spans="1:19" s="85" customFormat="1" x14ac:dyDescent="0.3">
      <c r="A9" s="80"/>
      <c r="B9" s="80"/>
      <c r="C9" s="80"/>
      <c r="D9" s="80"/>
      <c r="E9" s="80"/>
      <c r="F9" s="80"/>
      <c r="G9" s="80"/>
      <c r="H9" s="81"/>
      <c r="I9" s="81"/>
      <c r="J9" s="81"/>
      <c r="K9" s="81"/>
      <c r="L9" s="82"/>
      <c r="M9" s="82"/>
      <c r="N9" s="83"/>
      <c r="O9" s="83"/>
      <c r="P9" s="84"/>
      <c r="Q9" s="84"/>
      <c r="R9" s="84"/>
      <c r="S9" s="84"/>
    </row>
    <row r="10" spans="1:19" s="85" customFormat="1" ht="15.75" thickBot="1" x14ac:dyDescent="0.35">
      <c r="A10" s="104" t="s">
        <v>20</v>
      </c>
      <c r="B10" s="156">
        <v>2005</v>
      </c>
      <c r="C10" s="156">
        <v>2006</v>
      </c>
      <c r="D10" s="156">
        <v>2007</v>
      </c>
      <c r="E10" s="156">
        <v>2008</v>
      </c>
      <c r="F10" s="156">
        <v>2009</v>
      </c>
      <c r="G10" s="156">
        <v>2010</v>
      </c>
      <c r="H10" s="156">
        <v>2011</v>
      </c>
      <c r="I10" s="156">
        <v>2012</v>
      </c>
      <c r="J10" s="145">
        <v>2012</v>
      </c>
      <c r="K10" s="145">
        <v>2013</v>
      </c>
      <c r="L10" s="158" t="s">
        <v>46</v>
      </c>
    </row>
    <row r="11" spans="1:19" s="85" customFormat="1" x14ac:dyDescent="0.3">
      <c r="A11" s="88" t="s">
        <v>21</v>
      </c>
      <c r="B11" s="81">
        <v>5989</v>
      </c>
      <c r="C11" s="81">
        <v>915</v>
      </c>
      <c r="D11" s="81">
        <v>1835</v>
      </c>
      <c r="E11" s="81">
        <v>382</v>
      </c>
      <c r="F11" s="81">
        <v>191</v>
      </c>
      <c r="G11" s="81">
        <v>225</v>
      </c>
      <c r="H11" s="81">
        <v>94</v>
      </c>
      <c r="I11" s="81">
        <v>75</v>
      </c>
      <c r="J11" s="135">
        <v>209</v>
      </c>
      <c r="K11" s="135">
        <v>54</v>
      </c>
      <c r="L11" s="129">
        <f t="shared" ref="L11:L17" si="0">IF(J11&lt;&gt;0,(K11-J11)/J11,0)</f>
        <v>-0.74162679425837319</v>
      </c>
    </row>
    <row r="12" spans="1:19" s="85" customFormat="1" x14ac:dyDescent="0.3">
      <c r="A12" s="88" t="s">
        <v>22</v>
      </c>
      <c r="B12" s="81">
        <v>2353634</v>
      </c>
      <c r="C12" s="81">
        <v>2658218</v>
      </c>
      <c r="D12" s="81">
        <v>2904738</v>
      </c>
      <c r="E12" s="81">
        <v>3041332</v>
      </c>
      <c r="F12" s="81">
        <v>3601952</v>
      </c>
      <c r="G12" s="81">
        <v>2716228</v>
      </c>
      <c r="H12" s="81">
        <v>3554895</v>
      </c>
      <c r="I12" s="81">
        <v>3748345</v>
      </c>
      <c r="J12" s="135">
        <v>3600105</v>
      </c>
      <c r="K12" s="135">
        <v>3874040</v>
      </c>
      <c r="L12" s="129">
        <f t="shared" si="0"/>
        <v>7.6090836239498569E-2</v>
      </c>
    </row>
    <row r="13" spans="1:19" s="89" customFormat="1" ht="14.25" customHeight="1" x14ac:dyDescent="0.3">
      <c r="A13" s="88" t="s">
        <v>23</v>
      </c>
      <c r="B13" s="81">
        <v>5093</v>
      </c>
      <c r="C13" s="81">
        <v>21107</v>
      </c>
      <c r="D13" s="81">
        <v>10187</v>
      </c>
      <c r="E13" s="81">
        <v>24218</v>
      </c>
      <c r="F13" s="81">
        <v>43410</v>
      </c>
      <c r="G13" s="81">
        <v>90361</v>
      </c>
      <c r="H13" s="81">
        <v>10662</v>
      </c>
      <c r="I13" s="81">
        <v>14922</v>
      </c>
      <c r="J13" s="135">
        <v>31083</v>
      </c>
      <c r="K13" s="135">
        <v>38038</v>
      </c>
      <c r="L13" s="129">
        <f t="shared" si="0"/>
        <v>0.22375575073191134</v>
      </c>
      <c r="Q13" s="85"/>
      <c r="R13" s="85"/>
      <c r="S13" s="85"/>
    </row>
    <row r="14" spans="1:19" s="89" customFormat="1" x14ac:dyDescent="0.3">
      <c r="A14" s="88" t="s">
        <v>37</v>
      </c>
      <c r="B14" s="81"/>
      <c r="C14" s="81"/>
      <c r="D14" s="81">
        <v>0</v>
      </c>
      <c r="E14" s="81">
        <v>50</v>
      </c>
      <c r="F14" s="81"/>
      <c r="G14" s="81"/>
      <c r="H14" s="81">
        <v>0</v>
      </c>
      <c r="I14" s="81">
        <v>0</v>
      </c>
      <c r="J14" s="135">
        <v>0</v>
      </c>
      <c r="K14" s="135">
        <v>0</v>
      </c>
      <c r="L14" s="129">
        <f t="shared" si="0"/>
        <v>0</v>
      </c>
      <c r="Q14" s="85"/>
      <c r="R14" s="85"/>
      <c r="S14" s="85"/>
    </row>
    <row r="15" spans="1:19" s="89" customFormat="1" x14ac:dyDescent="0.3">
      <c r="A15" s="88" t="s">
        <v>59</v>
      </c>
      <c r="B15" s="81">
        <v>23371</v>
      </c>
      <c r="C15" s="81">
        <v>1095</v>
      </c>
      <c r="D15" s="81">
        <v>209</v>
      </c>
      <c r="E15" s="81">
        <v>209</v>
      </c>
      <c r="F15" s="81">
        <v>209</v>
      </c>
      <c r="G15" s="81">
        <v>155</v>
      </c>
      <c r="H15" s="81">
        <f>503+155</f>
        <v>658</v>
      </c>
      <c r="I15" s="81">
        <v>118</v>
      </c>
      <c r="J15" s="135">
        <v>686</v>
      </c>
      <c r="K15" s="135">
        <v>4843</v>
      </c>
      <c r="L15" s="129">
        <f t="shared" si="0"/>
        <v>6.0597667638483967</v>
      </c>
      <c r="Q15" s="85"/>
      <c r="R15" s="85"/>
      <c r="S15" s="85"/>
    </row>
    <row r="16" spans="1:19" s="89" customFormat="1" x14ac:dyDescent="0.3">
      <c r="A16" s="88" t="s">
        <v>26</v>
      </c>
      <c r="B16" s="81">
        <v>1356015</v>
      </c>
      <c r="C16" s="81">
        <v>1347305</v>
      </c>
      <c r="D16" s="81">
        <v>1324771</v>
      </c>
      <c r="E16" s="81">
        <v>891321</v>
      </c>
      <c r="F16" s="81">
        <v>1869198</v>
      </c>
      <c r="G16" s="81">
        <v>3596772</v>
      </c>
      <c r="H16" s="81">
        <v>2979150</v>
      </c>
      <c r="I16" s="81">
        <v>3733696</v>
      </c>
      <c r="J16" s="135">
        <v>2941364</v>
      </c>
      <c r="K16" s="135">
        <v>3555923</v>
      </c>
      <c r="L16" s="129">
        <f t="shared" si="0"/>
        <v>0.20893673819357278</v>
      </c>
      <c r="Q16" s="85"/>
      <c r="R16" s="85"/>
      <c r="S16" s="85"/>
    </row>
    <row r="17" spans="1:19" s="89" customFormat="1" ht="15.75" thickBot="1" x14ac:dyDescent="0.35">
      <c r="A17" s="90" t="s">
        <v>27</v>
      </c>
      <c r="B17" s="91">
        <f t="shared" ref="B17:K17" si="1">SUM(B11:B16)</f>
        <v>3744102</v>
      </c>
      <c r="C17" s="91">
        <f t="shared" si="1"/>
        <v>4028640</v>
      </c>
      <c r="D17" s="91">
        <f t="shared" si="1"/>
        <v>4241740</v>
      </c>
      <c r="E17" s="91">
        <f t="shared" si="1"/>
        <v>3957512</v>
      </c>
      <c r="F17" s="91">
        <f t="shared" si="1"/>
        <v>5514960</v>
      </c>
      <c r="G17" s="91">
        <f t="shared" si="1"/>
        <v>6403741</v>
      </c>
      <c r="H17" s="91">
        <f t="shared" si="1"/>
        <v>6545459</v>
      </c>
      <c r="I17" s="91">
        <f t="shared" si="1"/>
        <v>7497156</v>
      </c>
      <c r="J17" s="137">
        <f t="shared" si="1"/>
        <v>6573447</v>
      </c>
      <c r="K17" s="137">
        <f t="shared" si="1"/>
        <v>7472898</v>
      </c>
      <c r="L17" s="159">
        <f t="shared" si="0"/>
        <v>0.13683095033701495</v>
      </c>
      <c r="Q17" s="85"/>
      <c r="R17" s="85"/>
      <c r="S17" s="85"/>
    </row>
    <row r="18" spans="1:19" s="85" customFormat="1" x14ac:dyDescent="0.3">
      <c r="B18" s="81"/>
      <c r="C18" s="81"/>
      <c r="D18" s="81"/>
      <c r="E18" s="81"/>
      <c r="F18" s="81"/>
      <c r="G18" s="81"/>
      <c r="H18" s="81"/>
      <c r="I18" s="81"/>
      <c r="J18" s="135"/>
      <c r="K18" s="135"/>
      <c r="L18" s="129"/>
    </row>
    <row r="19" spans="1:19" s="89" customFormat="1" x14ac:dyDescent="0.3">
      <c r="A19" s="104" t="s">
        <v>48</v>
      </c>
      <c r="B19" s="86"/>
      <c r="C19" s="86"/>
      <c r="D19" s="86"/>
      <c r="E19" s="86"/>
      <c r="F19" s="86"/>
      <c r="G19" s="86"/>
      <c r="H19" s="86">
        <v>2011</v>
      </c>
      <c r="I19" s="86">
        <v>2012</v>
      </c>
      <c r="J19" s="161" t="s">
        <v>99</v>
      </c>
      <c r="K19" s="161" t="s">
        <v>100</v>
      </c>
      <c r="L19" s="162" t="s">
        <v>46</v>
      </c>
      <c r="Q19" s="85"/>
      <c r="R19" s="85"/>
      <c r="S19" s="85"/>
    </row>
    <row r="20" spans="1:19" s="89" customFormat="1" x14ac:dyDescent="0.3">
      <c r="A20" s="88" t="s">
        <v>28</v>
      </c>
      <c r="B20" s="81"/>
      <c r="C20" s="81"/>
      <c r="D20" s="81">
        <v>7000</v>
      </c>
      <c r="E20" s="81">
        <v>7000</v>
      </c>
      <c r="F20" s="81">
        <v>0</v>
      </c>
      <c r="G20" s="81">
        <v>445</v>
      </c>
      <c r="H20" s="81">
        <v>0</v>
      </c>
      <c r="I20" s="81">
        <v>7</v>
      </c>
      <c r="J20" s="135">
        <v>0</v>
      </c>
      <c r="K20" s="135">
        <v>0</v>
      </c>
      <c r="L20" s="129">
        <f t="shared" ref="L20:L28" si="2">IF(J20&lt;&gt;0,(K20-J20)/J20,0)</f>
        <v>0</v>
      </c>
      <c r="Q20" s="85"/>
      <c r="R20" s="85"/>
      <c r="S20" s="85"/>
    </row>
    <row r="21" spans="1:19" s="89" customFormat="1" x14ac:dyDescent="0.3">
      <c r="A21" s="88" t="s">
        <v>29</v>
      </c>
      <c r="B21" s="81">
        <v>37598</v>
      </c>
      <c r="C21" s="81">
        <v>60127</v>
      </c>
      <c r="D21" s="81">
        <v>62571</v>
      </c>
      <c r="E21" s="81">
        <v>71267</v>
      </c>
      <c r="F21" s="81">
        <v>111498</v>
      </c>
      <c r="G21" s="81">
        <v>70420</v>
      </c>
      <c r="H21" s="81">
        <v>59466</v>
      </c>
      <c r="I21" s="81">
        <v>65082</v>
      </c>
      <c r="J21" s="135">
        <v>145568</v>
      </c>
      <c r="K21" s="135">
        <v>174106</v>
      </c>
      <c r="L21" s="129">
        <f t="shared" si="2"/>
        <v>0.19604583424928557</v>
      </c>
      <c r="Q21" s="85"/>
      <c r="R21" s="85"/>
      <c r="S21" s="85"/>
    </row>
    <row r="22" spans="1:19" s="85" customFormat="1" x14ac:dyDescent="0.3">
      <c r="A22" s="88" t="s">
        <v>30</v>
      </c>
      <c r="B22" s="81">
        <v>3128</v>
      </c>
      <c r="C22" s="81">
        <v>98</v>
      </c>
      <c r="D22" s="81">
        <v>645</v>
      </c>
      <c r="E22" s="81">
        <v>1762</v>
      </c>
      <c r="F22" s="81">
        <v>430</v>
      </c>
      <c r="G22" s="81">
        <v>604</v>
      </c>
      <c r="H22" s="81">
        <v>585</v>
      </c>
      <c r="I22" s="81">
        <v>657</v>
      </c>
      <c r="J22" s="135">
        <v>1442</v>
      </c>
      <c r="K22" s="135">
        <v>1200</v>
      </c>
      <c r="L22" s="129">
        <f t="shared" si="2"/>
        <v>-0.16782246879334259</v>
      </c>
    </row>
    <row r="23" spans="1:19" s="85" customFormat="1" x14ac:dyDescent="0.3">
      <c r="A23" s="88" t="s">
        <v>31</v>
      </c>
      <c r="B23" s="81">
        <v>247</v>
      </c>
      <c r="C23" s="81">
        <v>501</v>
      </c>
      <c r="D23" s="81">
        <v>686</v>
      </c>
      <c r="E23" s="81">
        <v>940</v>
      </c>
      <c r="F23" s="81">
        <v>650</v>
      </c>
      <c r="G23" s="81">
        <v>947</v>
      </c>
      <c r="H23" s="81">
        <v>872</v>
      </c>
      <c r="I23" s="81">
        <v>481</v>
      </c>
      <c r="J23" s="135">
        <v>182</v>
      </c>
      <c r="K23" s="135">
        <v>112</v>
      </c>
      <c r="L23" s="129">
        <f t="shared" si="2"/>
        <v>-0.38461538461538464</v>
      </c>
    </row>
    <row r="24" spans="1:19" s="85" customFormat="1" x14ac:dyDescent="0.3">
      <c r="A24" s="88" t="s">
        <v>32</v>
      </c>
      <c r="B24" s="81"/>
      <c r="C24" s="81"/>
      <c r="D24" s="81"/>
      <c r="E24" s="81"/>
      <c r="F24" s="81"/>
      <c r="G24" s="81"/>
      <c r="H24" s="81">
        <v>0</v>
      </c>
      <c r="I24" s="81">
        <v>0</v>
      </c>
      <c r="J24" s="135">
        <v>524</v>
      </c>
      <c r="K24" s="135">
        <v>1718</v>
      </c>
      <c r="L24" s="129">
        <f t="shared" si="2"/>
        <v>2.2786259541984735</v>
      </c>
    </row>
    <row r="25" spans="1:19" s="85" customFormat="1" x14ac:dyDescent="0.3">
      <c r="A25" s="88" t="s">
        <v>87</v>
      </c>
      <c r="B25" s="81">
        <v>2356</v>
      </c>
      <c r="C25" s="81">
        <v>2509</v>
      </c>
      <c r="D25" s="81">
        <v>2679</v>
      </c>
      <c r="E25" s="81">
        <v>2934</v>
      </c>
      <c r="F25" s="81">
        <v>3179</v>
      </c>
      <c r="G25" s="81">
        <v>7650</v>
      </c>
      <c r="H25" s="81">
        <v>8296</v>
      </c>
      <c r="I25" s="81">
        <v>8803</v>
      </c>
      <c r="J25" s="135">
        <v>26456</v>
      </c>
      <c r="K25" s="135">
        <v>30384</v>
      </c>
      <c r="L25" s="129">
        <f t="shared" si="2"/>
        <v>0.14847293619594798</v>
      </c>
    </row>
    <row r="26" spans="1:19" s="95" customFormat="1" x14ac:dyDescent="0.3">
      <c r="A26" s="93" t="s">
        <v>33</v>
      </c>
      <c r="B26" s="80">
        <f t="shared" ref="B26:G26" si="3">SUM(B20:B25)</f>
        <v>43329</v>
      </c>
      <c r="C26" s="80">
        <f t="shared" si="3"/>
        <v>63235</v>
      </c>
      <c r="D26" s="80">
        <f t="shared" si="3"/>
        <v>73581</v>
      </c>
      <c r="E26" s="80">
        <f t="shared" si="3"/>
        <v>83903</v>
      </c>
      <c r="F26" s="80">
        <f t="shared" si="3"/>
        <v>115757</v>
      </c>
      <c r="G26" s="80">
        <f t="shared" si="3"/>
        <v>80066</v>
      </c>
      <c r="H26" s="80">
        <f>SUM(H20:H25)</f>
        <v>69219</v>
      </c>
      <c r="I26" s="80">
        <f>SUM(I20:I25)</f>
        <v>75030</v>
      </c>
      <c r="J26" s="134">
        <f>SUM(J20:J25)</f>
        <v>174172</v>
      </c>
      <c r="K26" s="134">
        <f>SUM(K20:K25)</f>
        <v>207520</v>
      </c>
      <c r="L26" s="138">
        <f t="shared" si="2"/>
        <v>0.19146590726408377</v>
      </c>
      <c r="Q26" s="85"/>
      <c r="R26" s="85"/>
      <c r="S26" s="85"/>
    </row>
    <row r="27" spans="1:19" s="95" customFormat="1" x14ac:dyDescent="0.3">
      <c r="A27" s="96" t="s">
        <v>34</v>
      </c>
      <c r="B27" s="97">
        <v>3700773</v>
      </c>
      <c r="C27" s="97">
        <v>3965405</v>
      </c>
      <c r="D27" s="97">
        <v>4168159</v>
      </c>
      <c r="E27" s="97">
        <v>3873609</v>
      </c>
      <c r="F27" s="97">
        <v>5399203</v>
      </c>
      <c r="G27" s="97">
        <v>6323675</v>
      </c>
      <c r="H27" s="97">
        <v>6476240</v>
      </c>
      <c r="I27" s="97">
        <v>7422126</v>
      </c>
      <c r="J27" s="163">
        <v>6399275</v>
      </c>
      <c r="K27" s="163">
        <v>7265378</v>
      </c>
      <c r="L27" s="131">
        <f t="shared" si="2"/>
        <v>0.13534392567908082</v>
      </c>
      <c r="Q27" s="85"/>
      <c r="R27" s="85"/>
      <c r="S27" s="85"/>
    </row>
    <row r="28" spans="1:19" s="95" customFormat="1" ht="15.75" thickBot="1" x14ac:dyDescent="0.35">
      <c r="A28" s="90" t="s">
        <v>35</v>
      </c>
      <c r="B28" s="91">
        <f t="shared" ref="B28:G28" si="4">+B26+B27</f>
        <v>3744102</v>
      </c>
      <c r="C28" s="91">
        <f t="shared" si="4"/>
        <v>4028640</v>
      </c>
      <c r="D28" s="91">
        <f t="shared" si="4"/>
        <v>4241740</v>
      </c>
      <c r="E28" s="91">
        <f t="shared" si="4"/>
        <v>3957512</v>
      </c>
      <c r="F28" s="91">
        <f t="shared" si="4"/>
        <v>5514960</v>
      </c>
      <c r="G28" s="91">
        <f t="shared" si="4"/>
        <v>6403741</v>
      </c>
      <c r="H28" s="91">
        <f>+H26+H27</f>
        <v>6545459</v>
      </c>
      <c r="I28" s="91">
        <f>+I26+I27</f>
        <v>7497156</v>
      </c>
      <c r="J28" s="137">
        <f>+J26+J27</f>
        <v>6573447</v>
      </c>
      <c r="K28" s="137">
        <f>+K26+K27</f>
        <v>7472898</v>
      </c>
      <c r="L28" s="130">
        <f t="shared" si="2"/>
        <v>0.13683095033701495</v>
      </c>
      <c r="Q28" s="85"/>
      <c r="R28" s="85"/>
      <c r="S28" s="85"/>
    </row>
    <row r="29" spans="1:19" s="85" customFormat="1" x14ac:dyDescent="0.3">
      <c r="A29" s="88" t="s">
        <v>54</v>
      </c>
      <c r="B29" s="81">
        <v>435123458</v>
      </c>
      <c r="C29" s="81">
        <v>435123458</v>
      </c>
      <c r="D29" s="81">
        <v>435123458</v>
      </c>
      <c r="E29" s="81">
        <v>435123458</v>
      </c>
      <c r="F29" s="81">
        <v>435123458</v>
      </c>
      <c r="G29" s="81">
        <v>435123458</v>
      </c>
      <c r="H29" s="81">
        <f>435123458+25000000</f>
        <v>460123458</v>
      </c>
      <c r="I29" s="81">
        <f>435123458+25000000</f>
        <v>460123458</v>
      </c>
      <c r="J29" s="135">
        <f>435123458+25000000</f>
        <v>460123458</v>
      </c>
      <c r="K29" s="135">
        <f>435123458+25000000</f>
        <v>460123458</v>
      </c>
      <c r="L29" s="129"/>
    </row>
    <row r="30" spans="1:19" s="85" customFormat="1" x14ac:dyDescent="0.3">
      <c r="A30" s="88" t="s">
        <v>71</v>
      </c>
      <c r="B30" s="100">
        <f t="shared" ref="B30:K30" si="5">+B27/+(B29/1000000)</f>
        <v>8505.1102898708796</v>
      </c>
      <c r="C30" s="100">
        <f t="shared" si="5"/>
        <v>9113.2871075868297</v>
      </c>
      <c r="D30" s="100">
        <f t="shared" si="5"/>
        <v>9579.2560096817397</v>
      </c>
      <c r="E30" s="100">
        <f t="shared" si="5"/>
        <v>8902.3216946395933</v>
      </c>
      <c r="F30" s="100">
        <f t="shared" si="5"/>
        <v>12408.439261851976</v>
      </c>
      <c r="G30" s="100">
        <f t="shared" si="5"/>
        <v>14533.059258781675</v>
      </c>
      <c r="H30" s="100">
        <f t="shared" si="5"/>
        <v>14075.005060924323</v>
      </c>
      <c r="I30" s="100">
        <f t="shared" si="5"/>
        <v>16130.727244947375</v>
      </c>
      <c r="J30" s="165">
        <f t="shared" si="5"/>
        <v>13907.73473670625</v>
      </c>
      <c r="K30" s="165">
        <f t="shared" si="5"/>
        <v>15790.062153275392</v>
      </c>
      <c r="L30" s="129"/>
    </row>
    <row r="31" spans="1:19" s="85" customFormat="1" x14ac:dyDescent="0.3">
      <c r="A31" s="115"/>
      <c r="B31" s="115"/>
      <c r="C31" s="115"/>
      <c r="D31" s="115"/>
      <c r="E31" s="115"/>
      <c r="F31" s="81"/>
      <c r="G31" s="115"/>
      <c r="H31" s="100"/>
      <c r="I31" s="100"/>
      <c r="J31" s="100"/>
      <c r="K31" s="100"/>
      <c r="L31" s="82"/>
      <c r="N31" s="107"/>
    </row>
    <row r="32" spans="1:19" s="85" customFormat="1" x14ac:dyDescent="0.3">
      <c r="A32" s="115"/>
      <c r="B32" s="115"/>
      <c r="C32" s="115"/>
      <c r="D32" s="115"/>
      <c r="E32" s="115"/>
      <c r="F32" s="100"/>
      <c r="G32" s="115"/>
      <c r="H32" s="100"/>
      <c r="I32" s="100"/>
      <c r="J32" s="100"/>
      <c r="K32" s="100"/>
      <c r="L32" s="82"/>
      <c r="N32" s="107"/>
    </row>
    <row r="33" spans="1:17" ht="21" x14ac:dyDescent="0.35">
      <c r="A33" s="116" t="s">
        <v>92</v>
      </c>
      <c r="B33" s="116"/>
      <c r="C33" s="116"/>
      <c r="D33" s="116"/>
      <c r="E33" s="116"/>
      <c r="F33" s="116"/>
      <c r="G33" s="116"/>
      <c r="M33" s="75"/>
      <c r="N33" s="109"/>
      <c r="O33" s="76"/>
    </row>
    <row r="34" spans="1:17" ht="15.75" x14ac:dyDescent="0.3">
      <c r="A34" s="78" t="s">
        <v>103</v>
      </c>
      <c r="B34" s="78"/>
      <c r="C34" s="78"/>
      <c r="D34" s="78"/>
      <c r="E34" s="78"/>
      <c r="F34" s="78"/>
      <c r="G34" s="78"/>
      <c r="M34" s="75"/>
      <c r="N34" s="109"/>
      <c r="O34" s="76"/>
    </row>
    <row r="35" spans="1:17" x14ac:dyDescent="0.3">
      <c r="A35" s="79" t="s">
        <v>88</v>
      </c>
      <c r="B35" s="79"/>
      <c r="C35" s="79"/>
      <c r="D35" s="79"/>
      <c r="E35" s="79"/>
      <c r="F35" s="79"/>
      <c r="G35" s="79"/>
      <c r="M35" s="75"/>
      <c r="N35" s="109"/>
      <c r="O35" s="76"/>
    </row>
    <row r="36" spans="1:17" s="85" customFormat="1" x14ac:dyDescent="0.3">
      <c r="H36" s="81"/>
      <c r="I36" s="81"/>
      <c r="J36" s="81"/>
      <c r="K36" s="81"/>
      <c r="L36" s="82"/>
      <c r="N36" s="107"/>
    </row>
    <row r="37" spans="1:17" s="85" customFormat="1" ht="15.75" thickBot="1" x14ac:dyDescent="0.35">
      <c r="B37" s="156">
        <v>2005</v>
      </c>
      <c r="C37" s="156">
        <v>2006</v>
      </c>
      <c r="D37" s="156">
        <v>2007</v>
      </c>
      <c r="E37" s="156">
        <v>2008</v>
      </c>
      <c r="F37" s="156">
        <v>2009</v>
      </c>
      <c r="G37" s="156">
        <v>2010</v>
      </c>
      <c r="H37" s="156">
        <v>2011</v>
      </c>
      <c r="I37" s="156">
        <v>2012</v>
      </c>
      <c r="J37" s="145" t="s">
        <v>96</v>
      </c>
      <c r="K37" s="145" t="s">
        <v>95</v>
      </c>
      <c r="L37" s="145" t="s">
        <v>99</v>
      </c>
      <c r="M37" s="145" t="s">
        <v>100</v>
      </c>
      <c r="N37" s="167" t="s">
        <v>46</v>
      </c>
      <c r="O37" s="176" t="s">
        <v>106</v>
      </c>
      <c r="P37" s="176" t="s">
        <v>107</v>
      </c>
      <c r="Q37" s="167" t="s">
        <v>46</v>
      </c>
    </row>
    <row r="38" spans="1:17" s="95" customFormat="1" x14ac:dyDescent="0.3">
      <c r="A38" s="85" t="s">
        <v>72</v>
      </c>
      <c r="B38" s="80">
        <v>158869</v>
      </c>
      <c r="C38" s="80">
        <v>163042</v>
      </c>
      <c r="D38" s="80">
        <v>231987</v>
      </c>
      <c r="E38" s="80">
        <v>268897</v>
      </c>
      <c r="F38" s="80">
        <v>212895</v>
      </c>
      <c r="G38" s="80">
        <v>239836</v>
      </c>
      <c r="H38" s="80">
        <v>223644</v>
      </c>
      <c r="I38" s="80">
        <v>312990</v>
      </c>
      <c r="J38" s="134">
        <v>55583</v>
      </c>
      <c r="K38" s="134">
        <v>77093</v>
      </c>
      <c r="L38" s="134">
        <f>130102-J38</f>
        <v>74519</v>
      </c>
      <c r="M38" s="134">
        <f>165449-K38</f>
        <v>88356</v>
      </c>
      <c r="N38" s="129">
        <f>IF(L38&lt;&gt;0,(M38-L38)/L38,0)</f>
        <v>0.18568418792522712</v>
      </c>
      <c r="O38" s="180">
        <f>130102</f>
        <v>130102</v>
      </c>
      <c r="P38" s="180">
        <f>165449</f>
        <v>165449</v>
      </c>
      <c r="Q38" s="129">
        <f>IF(O38&lt;&gt;0,(P38-O38)/O38,0)</f>
        <v>0.27168683033312324</v>
      </c>
    </row>
    <row r="39" spans="1:17" s="85" customFormat="1" x14ac:dyDescent="0.3">
      <c r="A39" s="85" t="s">
        <v>105</v>
      </c>
      <c r="B39" s="81">
        <v>17762</v>
      </c>
      <c r="C39" s="81">
        <v>56828</v>
      </c>
      <c r="D39" s="81">
        <v>2685</v>
      </c>
      <c r="E39" s="81">
        <v>2704</v>
      </c>
      <c r="F39" s="81">
        <v>0</v>
      </c>
      <c r="G39" s="81">
        <v>1579</v>
      </c>
      <c r="H39" s="81">
        <v>11024</v>
      </c>
      <c r="I39" s="81">
        <v>0</v>
      </c>
      <c r="J39" s="135">
        <v>0</v>
      </c>
      <c r="K39" s="135">
        <v>0</v>
      </c>
      <c r="L39" s="135">
        <v>0</v>
      </c>
      <c r="M39" s="135">
        <v>-176</v>
      </c>
      <c r="N39" s="129">
        <f t="shared" ref="N39:N49" si="6">IF(L39&lt;&gt;0,(M39-L39)/L39,0)</f>
        <v>0</v>
      </c>
      <c r="O39" s="177">
        <v>0</v>
      </c>
      <c r="P39" s="177">
        <v>-176</v>
      </c>
      <c r="Q39" s="129">
        <f t="shared" ref="Q39:Q49" si="7">IF(O39&lt;&gt;0,(P39-O39)/O39,0)</f>
        <v>0</v>
      </c>
    </row>
    <row r="40" spans="1:17" s="95" customFormat="1" x14ac:dyDescent="0.3">
      <c r="A40" s="85" t="s">
        <v>57</v>
      </c>
      <c r="B40" s="81">
        <v>11795</v>
      </c>
      <c r="C40" s="81">
        <v>16684</v>
      </c>
      <c r="D40" s="81">
        <v>11678</v>
      </c>
      <c r="E40" s="81">
        <v>14746</v>
      </c>
      <c r="F40" s="81">
        <v>12979</v>
      </c>
      <c r="G40" s="81">
        <v>30953</v>
      </c>
      <c r="H40" s="81">
        <v>33432</v>
      </c>
      <c r="I40" s="81">
        <v>35105</v>
      </c>
      <c r="J40" s="135">
        <v>8296</v>
      </c>
      <c r="K40" s="135">
        <v>8803</v>
      </c>
      <c r="L40" s="135">
        <f>17500-J40</f>
        <v>9204</v>
      </c>
      <c r="M40" s="135">
        <f>18664-K40</f>
        <v>9861</v>
      </c>
      <c r="N40" s="129">
        <f t="shared" si="6"/>
        <v>7.1382007822685792E-2</v>
      </c>
      <c r="O40" s="177">
        <f>17500</f>
        <v>17500</v>
      </c>
      <c r="P40" s="177">
        <f>18664</f>
        <v>18664</v>
      </c>
      <c r="Q40" s="129">
        <f t="shared" si="7"/>
        <v>6.651428571428572E-2</v>
      </c>
    </row>
    <row r="41" spans="1:17" s="95" customFormat="1" x14ac:dyDescent="0.3">
      <c r="A41" s="85" t="s">
        <v>56</v>
      </c>
      <c r="B41" s="81">
        <v>2490</v>
      </c>
      <c r="C41" s="81">
        <v>7447</v>
      </c>
      <c r="D41" s="81">
        <v>5519</v>
      </c>
      <c r="E41" s="81">
        <v>13179</v>
      </c>
      <c r="F41" s="81">
        <v>10094</v>
      </c>
      <c r="G41" s="81">
        <v>13131</v>
      </c>
      <c r="H41" s="81">
        <v>7221</v>
      </c>
      <c r="I41" s="81">
        <v>8379</v>
      </c>
      <c r="J41" s="135">
        <v>2095</v>
      </c>
      <c r="K41" s="135">
        <v>2650</v>
      </c>
      <c r="L41" s="135">
        <f>4189-J41</f>
        <v>2094</v>
      </c>
      <c r="M41" s="135">
        <f>5570-K41</f>
        <v>2920</v>
      </c>
      <c r="N41" s="129">
        <f t="shared" si="6"/>
        <v>0.39446036294173831</v>
      </c>
      <c r="O41" s="177">
        <f>4189</f>
        <v>4189</v>
      </c>
      <c r="P41" s="177">
        <f>5570</f>
        <v>5570</v>
      </c>
      <c r="Q41" s="129">
        <f t="shared" si="7"/>
        <v>0.32967295297206972</v>
      </c>
    </row>
    <row r="42" spans="1:17" s="95" customFormat="1" x14ac:dyDescent="0.3">
      <c r="A42" s="95" t="s">
        <v>4</v>
      </c>
      <c r="B42" s="80">
        <f t="shared" ref="B42:M42" si="8">SUM(B38:B41)</f>
        <v>190916</v>
      </c>
      <c r="C42" s="80">
        <f t="shared" si="8"/>
        <v>244001</v>
      </c>
      <c r="D42" s="80">
        <f t="shared" si="8"/>
        <v>251869</v>
      </c>
      <c r="E42" s="80">
        <f t="shared" si="8"/>
        <v>299526</v>
      </c>
      <c r="F42" s="80">
        <f t="shared" si="8"/>
        <v>235968</v>
      </c>
      <c r="G42" s="80">
        <f t="shared" si="8"/>
        <v>285499</v>
      </c>
      <c r="H42" s="80">
        <f t="shared" si="8"/>
        <v>275321</v>
      </c>
      <c r="I42" s="80">
        <f t="shared" si="8"/>
        <v>356474</v>
      </c>
      <c r="J42" s="134">
        <f t="shared" si="8"/>
        <v>65974</v>
      </c>
      <c r="K42" s="134">
        <f t="shared" si="8"/>
        <v>88546</v>
      </c>
      <c r="L42" s="134">
        <f t="shared" si="8"/>
        <v>85817</v>
      </c>
      <c r="M42" s="134">
        <f t="shared" si="8"/>
        <v>100961</v>
      </c>
      <c r="N42" s="129">
        <f t="shared" si="6"/>
        <v>0.17646853187596864</v>
      </c>
      <c r="O42" s="180">
        <f>SUM(O38:O41)</f>
        <v>151791</v>
      </c>
      <c r="P42" s="180">
        <f>SUM(P38:P41)</f>
        <v>189507</v>
      </c>
      <c r="Q42" s="129">
        <f t="shared" si="7"/>
        <v>0.24847322963812082</v>
      </c>
    </row>
    <row r="43" spans="1:17" s="85" customFormat="1" x14ac:dyDescent="0.3">
      <c r="A43" s="85" t="s">
        <v>58</v>
      </c>
      <c r="B43" s="81">
        <v>-22106</v>
      </c>
      <c r="C43" s="81">
        <v>-41421</v>
      </c>
      <c r="D43" s="81">
        <v>-7188</v>
      </c>
      <c r="E43" s="81">
        <v>-8773</v>
      </c>
      <c r="F43" s="81">
        <v>-8740</v>
      </c>
      <c r="G43" s="81">
        <v>-11563</v>
      </c>
      <c r="H43" s="81">
        <v>-9004</v>
      </c>
      <c r="I43" s="81">
        <v>-10090</v>
      </c>
      <c r="J43" s="135">
        <v>-8176</v>
      </c>
      <c r="K43" s="135">
        <f>-2393-5938</f>
        <v>-8331</v>
      </c>
      <c r="L43" s="135">
        <f>-4827.592907-J43</f>
        <v>3348.4070929999998</v>
      </c>
      <c r="M43" s="135">
        <f>-6685-K43</f>
        <v>1646</v>
      </c>
      <c r="N43" s="129">
        <f t="shared" si="6"/>
        <v>-0.50842297418344407</v>
      </c>
      <c r="O43" s="177">
        <v>-4828</v>
      </c>
      <c r="P43" s="177">
        <f>-6685</f>
        <v>-6685</v>
      </c>
      <c r="Q43" s="129">
        <f t="shared" si="7"/>
        <v>0.38463131731565864</v>
      </c>
    </row>
    <row r="44" spans="1:17" s="95" customFormat="1" x14ac:dyDescent="0.3">
      <c r="A44" s="95" t="s">
        <v>42</v>
      </c>
      <c r="B44" s="80">
        <f t="shared" ref="B44:G44" si="9">SUM(B42:B43)</f>
        <v>168810</v>
      </c>
      <c r="C44" s="80">
        <f t="shared" si="9"/>
        <v>202580</v>
      </c>
      <c r="D44" s="80">
        <f t="shared" si="9"/>
        <v>244681</v>
      </c>
      <c r="E44" s="80">
        <f t="shared" si="9"/>
        <v>290753</v>
      </c>
      <c r="F44" s="80">
        <f t="shared" si="9"/>
        <v>227228</v>
      </c>
      <c r="G44" s="80">
        <f t="shared" si="9"/>
        <v>273936</v>
      </c>
      <c r="H44" s="80">
        <f t="shared" ref="H44:M44" si="10">SUM(H42:H43)</f>
        <v>266317</v>
      </c>
      <c r="I44" s="80">
        <f t="shared" si="10"/>
        <v>346384</v>
      </c>
      <c r="J44" s="134">
        <f t="shared" si="10"/>
        <v>57798</v>
      </c>
      <c r="K44" s="134">
        <f t="shared" si="10"/>
        <v>80215</v>
      </c>
      <c r="L44" s="134">
        <f t="shared" si="10"/>
        <v>89165.407093000002</v>
      </c>
      <c r="M44" s="134">
        <f t="shared" si="10"/>
        <v>102607</v>
      </c>
      <c r="N44" s="129">
        <f t="shared" si="6"/>
        <v>0.15074896582909494</v>
      </c>
      <c r="O44" s="180">
        <f>SUM(O42:O43)</f>
        <v>146963</v>
      </c>
      <c r="P44" s="180">
        <f>SUM(P42:P43)</f>
        <v>182822</v>
      </c>
      <c r="Q44" s="129">
        <f t="shared" si="7"/>
        <v>0.24400019052414554</v>
      </c>
    </row>
    <row r="45" spans="1:17" s="95" customFormat="1" x14ac:dyDescent="0.3">
      <c r="A45" s="85" t="s">
        <v>10</v>
      </c>
      <c r="B45" s="81">
        <v>4490</v>
      </c>
      <c r="C45" s="81">
        <v>8391</v>
      </c>
      <c r="D45" s="81">
        <v>80</v>
      </c>
      <c r="E45" s="81">
        <v>960</v>
      </c>
      <c r="F45" s="81">
        <v>214</v>
      </c>
      <c r="G45" s="81">
        <v>7839</v>
      </c>
      <c r="H45" s="81">
        <v>814</v>
      </c>
      <c r="I45" s="81">
        <v>851</v>
      </c>
      <c r="J45" s="135">
        <v>652</v>
      </c>
      <c r="K45" s="135">
        <v>61</v>
      </c>
      <c r="L45" s="135">
        <f>743.423097-J45</f>
        <v>91.423096999999984</v>
      </c>
      <c r="M45" s="135">
        <f>112-K45</f>
        <v>51</v>
      </c>
      <c r="N45" s="129">
        <f t="shared" si="6"/>
        <v>-0.44215409810498973</v>
      </c>
      <c r="O45" s="177">
        <f>743</f>
        <v>743</v>
      </c>
      <c r="P45" s="177">
        <f>112</f>
        <v>112</v>
      </c>
      <c r="Q45" s="129">
        <f t="shared" si="7"/>
        <v>-0.84925975773889639</v>
      </c>
    </row>
    <row r="46" spans="1:17" s="85" customFormat="1" x14ac:dyDescent="0.3">
      <c r="A46" s="85" t="s">
        <v>13</v>
      </c>
      <c r="B46" s="81">
        <v>-388</v>
      </c>
      <c r="C46" s="81">
        <v>-60</v>
      </c>
      <c r="D46" s="81">
        <v>-279</v>
      </c>
      <c r="E46" s="81">
        <v>-633</v>
      </c>
      <c r="F46" s="81">
        <v>-1741</v>
      </c>
      <c r="G46" s="81">
        <v>-1496</v>
      </c>
      <c r="H46" s="81">
        <v>-11022</v>
      </c>
      <c r="I46" s="81">
        <v>-1390</v>
      </c>
      <c r="J46" s="135">
        <v>-25</v>
      </c>
      <c r="K46" s="135">
        <v>-127</v>
      </c>
      <c r="L46" s="135">
        <f>-599.521351-J46</f>
        <v>-574.52135099999998</v>
      </c>
      <c r="M46" s="135">
        <f>-2966-K46</f>
        <v>-2839</v>
      </c>
      <c r="N46" s="129">
        <f t="shared" si="6"/>
        <v>3.9415047762080477</v>
      </c>
      <c r="O46" s="177">
        <f>-600</f>
        <v>-600</v>
      </c>
      <c r="P46" s="177">
        <f>-2966</f>
        <v>-2966</v>
      </c>
      <c r="Q46" s="129">
        <f t="shared" si="7"/>
        <v>3.9433333333333334</v>
      </c>
    </row>
    <row r="47" spans="1:17" s="95" customFormat="1" x14ac:dyDescent="0.3">
      <c r="A47" s="95" t="s">
        <v>43</v>
      </c>
      <c r="B47" s="80">
        <f t="shared" ref="B47:G47" si="11">SUM(B44:B46)</f>
        <v>172912</v>
      </c>
      <c r="C47" s="80">
        <f t="shared" si="11"/>
        <v>210911</v>
      </c>
      <c r="D47" s="80">
        <f t="shared" si="11"/>
        <v>244482</v>
      </c>
      <c r="E47" s="80">
        <f t="shared" si="11"/>
        <v>291080</v>
      </c>
      <c r="F47" s="80">
        <f t="shared" si="11"/>
        <v>225701</v>
      </c>
      <c r="G47" s="80">
        <f t="shared" si="11"/>
        <v>280279</v>
      </c>
      <c r="H47" s="80">
        <f t="shared" ref="H47:M47" si="12">SUM(H44:H46)</f>
        <v>256109</v>
      </c>
      <c r="I47" s="80">
        <f t="shared" si="12"/>
        <v>345845</v>
      </c>
      <c r="J47" s="134">
        <f t="shared" si="12"/>
        <v>58425</v>
      </c>
      <c r="K47" s="134">
        <f t="shared" si="12"/>
        <v>80149</v>
      </c>
      <c r="L47" s="134">
        <f t="shared" si="12"/>
        <v>88682.308839000005</v>
      </c>
      <c r="M47" s="134">
        <f t="shared" si="12"/>
        <v>99819</v>
      </c>
      <c r="N47" s="129">
        <f t="shared" si="6"/>
        <v>0.12557962582163162</v>
      </c>
      <c r="O47" s="180">
        <f>SUM(O44:O46)</f>
        <v>147106</v>
      </c>
      <c r="P47" s="180">
        <f>SUM(P44:P46)</f>
        <v>179968</v>
      </c>
      <c r="Q47" s="129">
        <f t="shared" si="7"/>
        <v>0.22338993650836811</v>
      </c>
    </row>
    <row r="48" spans="1:17" s="85" customFormat="1" x14ac:dyDescent="0.3">
      <c r="A48" s="85" t="s">
        <v>15</v>
      </c>
      <c r="B48" s="81">
        <v>-3501</v>
      </c>
      <c r="C48" s="81">
        <v>-214</v>
      </c>
      <c r="D48" s="81">
        <v>-190</v>
      </c>
      <c r="E48" s="81">
        <v>-74</v>
      </c>
      <c r="F48" s="81">
        <v>-205</v>
      </c>
      <c r="G48" s="81">
        <v>-1876</v>
      </c>
      <c r="H48" s="81">
        <v>-127</v>
      </c>
      <c r="I48" s="81">
        <v>-361</v>
      </c>
      <c r="J48" s="135">
        <v>-8</v>
      </c>
      <c r="K48" s="135">
        <v>-2289</v>
      </c>
      <c r="L48" s="135">
        <f>-18.162-J48</f>
        <v>-10.161999999999999</v>
      </c>
      <c r="M48" s="135">
        <f>-1378-K48</f>
        <v>911</v>
      </c>
      <c r="N48" s="129">
        <f t="shared" si="6"/>
        <v>-90.647707144262952</v>
      </c>
      <c r="O48" s="177">
        <f>-18</f>
        <v>-18</v>
      </c>
      <c r="P48" s="177">
        <f>-1378</f>
        <v>-1378</v>
      </c>
      <c r="Q48" s="129">
        <f>IF(O48&lt;&gt;0,(P48-O48)/O48,0)</f>
        <v>75.555555555555557</v>
      </c>
    </row>
    <row r="49" spans="1:17" s="85" customFormat="1" ht="15.75" thickBot="1" x14ac:dyDescent="0.35">
      <c r="A49" s="102" t="s">
        <v>17</v>
      </c>
      <c r="B49" s="103">
        <f t="shared" ref="B49:G49" si="13">SUM(B47:B48)</f>
        <v>169411</v>
      </c>
      <c r="C49" s="103">
        <f t="shared" si="13"/>
        <v>210697</v>
      </c>
      <c r="D49" s="103">
        <f t="shared" si="13"/>
        <v>244292</v>
      </c>
      <c r="E49" s="103">
        <f t="shared" si="13"/>
        <v>291006</v>
      </c>
      <c r="F49" s="103">
        <f t="shared" si="13"/>
        <v>225496</v>
      </c>
      <c r="G49" s="103">
        <f t="shared" si="13"/>
        <v>278403</v>
      </c>
      <c r="H49" s="103">
        <f t="shared" ref="H49:M49" si="14">SUM(H47:H48)</f>
        <v>255982</v>
      </c>
      <c r="I49" s="103">
        <f t="shared" si="14"/>
        <v>345484</v>
      </c>
      <c r="J49" s="166">
        <f t="shared" si="14"/>
        <v>58417</v>
      </c>
      <c r="K49" s="166">
        <f t="shared" si="14"/>
        <v>77860</v>
      </c>
      <c r="L49" s="166">
        <f t="shared" si="14"/>
        <v>88672.146839000008</v>
      </c>
      <c r="M49" s="166">
        <f t="shared" si="14"/>
        <v>100730</v>
      </c>
      <c r="N49" s="130">
        <f t="shared" si="6"/>
        <v>0.13598242053271994</v>
      </c>
      <c r="O49" s="182">
        <f>SUM(O47:O48)</f>
        <v>147088</v>
      </c>
      <c r="P49" s="182">
        <f>SUM(P47:P48)</f>
        <v>178590</v>
      </c>
      <c r="Q49" s="130">
        <f t="shared" si="7"/>
        <v>0.21417110845208312</v>
      </c>
    </row>
    <row r="50" spans="1:17" s="85" customFormat="1" x14ac:dyDescent="0.3">
      <c r="C50" s="80"/>
      <c r="H50" s="81"/>
      <c r="I50" s="81"/>
      <c r="J50" s="81"/>
      <c r="K50" s="81"/>
      <c r="L50" s="82"/>
    </row>
    <row r="51" spans="1:17" s="85" customFormat="1" x14ac:dyDescent="0.3">
      <c r="C51" s="81"/>
      <c r="H51" s="81"/>
      <c r="I51" s="81"/>
      <c r="J51" s="81"/>
      <c r="K51" s="81"/>
      <c r="L51" s="82"/>
    </row>
    <row r="52" spans="1:17" s="85" customFormat="1" x14ac:dyDescent="0.3">
      <c r="C52" s="81"/>
      <c r="E52" s="80"/>
      <c r="H52" s="81"/>
      <c r="I52" s="81"/>
      <c r="J52" s="81"/>
      <c r="K52" s="81"/>
      <c r="L52" s="82"/>
    </row>
    <row r="53" spans="1:17" s="85" customFormat="1" x14ac:dyDescent="0.3">
      <c r="C53" s="81"/>
      <c r="E53" s="81"/>
      <c r="H53" s="81"/>
      <c r="I53" s="81"/>
      <c r="J53" s="81"/>
      <c r="K53" s="81"/>
      <c r="L53" s="82"/>
    </row>
    <row r="54" spans="1:17" s="85" customFormat="1" x14ac:dyDescent="0.3">
      <c r="C54" s="80"/>
      <c r="E54" s="81"/>
      <c r="H54" s="81"/>
      <c r="I54" s="81"/>
      <c r="J54" s="81"/>
      <c r="K54" s="81"/>
      <c r="L54" s="82"/>
    </row>
    <row r="55" spans="1:17" s="85" customFormat="1" x14ac:dyDescent="0.3">
      <c r="C55" s="81"/>
      <c r="E55" s="81"/>
      <c r="H55" s="81"/>
      <c r="I55" s="81"/>
      <c r="J55" s="81"/>
      <c r="K55" s="81"/>
      <c r="L55" s="82"/>
    </row>
    <row r="56" spans="1:17" x14ac:dyDescent="0.3">
      <c r="C56" s="80"/>
      <c r="E56" s="80"/>
    </row>
    <row r="57" spans="1:17" x14ac:dyDescent="0.3">
      <c r="C57" s="81"/>
      <c r="E57" s="81"/>
    </row>
    <row r="58" spans="1:17" x14ac:dyDescent="0.3">
      <c r="C58" s="81"/>
      <c r="E58" s="80"/>
    </row>
  </sheetData>
  <pageMargins left="0.7" right="0.7" top="0.75" bottom="0.75" header="0.3" footer="0.3"/>
  <customProperties>
    <customPr name="_pios_id" r:id="rId1"/>
  </customPropertie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U82"/>
  <sheetViews>
    <sheetView topLeftCell="A31" workbookViewId="0">
      <selection activeCell="L39" sqref="L39"/>
    </sheetView>
  </sheetViews>
  <sheetFormatPr baseColWidth="10" defaultColWidth="11.42578125" defaultRowHeight="15" x14ac:dyDescent="0.3"/>
  <cols>
    <col min="1" max="1" width="32.140625" style="73" customWidth="1"/>
    <col min="2" max="4" width="10.42578125" style="73" bestFit="1" customWidth="1"/>
    <col min="5" max="7" width="11.140625" style="73" bestFit="1" customWidth="1"/>
    <col min="8" max="10" width="11.140625" style="74" bestFit="1" customWidth="1"/>
    <col min="11" max="11" width="10.42578125" style="74" customWidth="1"/>
    <col min="12" max="12" width="11.140625" style="75" bestFit="1" customWidth="1"/>
    <col min="13" max="13" width="10.28515625" style="75" bestFit="1" customWidth="1"/>
    <col min="14" max="15" width="10.42578125" style="76" bestFit="1" customWidth="1"/>
    <col min="16" max="16" width="10.28515625" style="73" bestFit="1" customWidth="1"/>
    <col min="17" max="16384" width="11.42578125" style="73"/>
  </cols>
  <sheetData>
    <row r="6" spans="1:19" ht="21" x14ac:dyDescent="0.35">
      <c r="A6" s="116" t="s">
        <v>40</v>
      </c>
      <c r="B6" s="116"/>
      <c r="C6" s="116"/>
      <c r="D6" s="116"/>
      <c r="E6" s="116"/>
      <c r="F6" s="116"/>
      <c r="G6" s="116"/>
    </row>
    <row r="7" spans="1:19" ht="15.75" x14ac:dyDescent="0.3">
      <c r="A7" s="78" t="s">
        <v>101</v>
      </c>
      <c r="B7" s="78"/>
      <c r="C7" s="78"/>
      <c r="D7" s="78"/>
      <c r="E7" s="78"/>
      <c r="F7" s="78"/>
      <c r="G7" s="78"/>
    </row>
    <row r="8" spans="1:19" x14ac:dyDescent="0.3">
      <c r="A8" s="79" t="s">
        <v>88</v>
      </c>
      <c r="B8" s="79"/>
      <c r="C8" s="79"/>
      <c r="D8" s="79"/>
      <c r="E8" s="79"/>
      <c r="F8" s="79"/>
      <c r="G8" s="79"/>
    </row>
    <row r="9" spans="1:19" s="85" customFormat="1" x14ac:dyDescent="0.3">
      <c r="H9" s="81"/>
      <c r="I9" s="81"/>
      <c r="J9" s="81"/>
      <c r="K9" s="81"/>
      <c r="L9" s="82"/>
      <c r="M9" s="82"/>
      <c r="N9" s="83"/>
      <c r="O9" s="83"/>
      <c r="P9" s="84"/>
      <c r="Q9" s="84"/>
      <c r="R9" s="84"/>
      <c r="S9" s="84"/>
    </row>
    <row r="10" spans="1:19" s="85" customFormat="1" ht="15.75" thickBot="1" x14ac:dyDescent="0.35">
      <c r="A10" s="152" t="s">
        <v>20</v>
      </c>
      <c r="B10" s="144">
        <v>2005</v>
      </c>
      <c r="C10" s="144">
        <v>2006</v>
      </c>
      <c r="D10" s="144">
        <v>2007</v>
      </c>
      <c r="E10" s="144">
        <v>2008</v>
      </c>
      <c r="F10" s="144">
        <v>2009</v>
      </c>
      <c r="G10" s="144">
        <v>2010</v>
      </c>
      <c r="H10" s="144">
        <v>2011</v>
      </c>
      <c r="I10" s="144">
        <v>2012</v>
      </c>
      <c r="J10" s="176">
        <v>2012</v>
      </c>
      <c r="K10" s="145">
        <v>2013</v>
      </c>
      <c r="L10" s="146" t="s">
        <v>46</v>
      </c>
      <c r="N10" s="83"/>
      <c r="O10" s="83"/>
      <c r="P10" s="106"/>
      <c r="Q10" s="84"/>
      <c r="R10" s="84"/>
      <c r="S10" s="84"/>
    </row>
    <row r="11" spans="1:19" s="85" customFormat="1" x14ac:dyDescent="0.3">
      <c r="A11" s="153" t="s">
        <v>21</v>
      </c>
      <c r="B11" s="81">
        <v>121469</v>
      </c>
      <c r="C11" s="81">
        <v>147021</v>
      </c>
      <c r="D11" s="81">
        <v>141066</v>
      </c>
      <c r="E11" s="81">
        <v>200123</v>
      </c>
      <c r="F11" s="81">
        <v>152572</v>
      </c>
      <c r="G11" s="81">
        <v>133389</v>
      </c>
      <c r="H11" s="171">
        <v>193087</v>
      </c>
      <c r="I11" s="171">
        <v>291812</v>
      </c>
      <c r="J11" s="177">
        <v>289563</v>
      </c>
      <c r="K11" s="117">
        <v>313031</v>
      </c>
      <c r="L11" s="129">
        <f>+(K11-J11)/J11</f>
        <v>8.1046266270207168E-2</v>
      </c>
      <c r="N11" s="83"/>
      <c r="O11" s="83"/>
      <c r="P11" s="108"/>
      <c r="Q11" s="84"/>
      <c r="R11" s="84"/>
      <c r="S11" s="84"/>
    </row>
    <row r="12" spans="1:19" s="85" customFormat="1" x14ac:dyDescent="0.3">
      <c r="A12" s="153" t="s">
        <v>22</v>
      </c>
      <c r="B12" s="81">
        <v>328742</v>
      </c>
      <c r="C12" s="81">
        <v>323226</v>
      </c>
      <c r="D12" s="81">
        <v>322254</v>
      </c>
      <c r="E12" s="81">
        <v>299414</v>
      </c>
      <c r="F12" s="81">
        <v>335272</v>
      </c>
      <c r="G12" s="81">
        <v>330481</v>
      </c>
      <c r="H12" s="171">
        <v>329071</v>
      </c>
      <c r="I12" s="171">
        <v>330090</v>
      </c>
      <c r="J12" s="177">
        <v>329212</v>
      </c>
      <c r="K12" s="117">
        <v>357100</v>
      </c>
      <c r="L12" s="129">
        <f>+(K12-J12)/J12</f>
        <v>8.47113713959394E-2</v>
      </c>
      <c r="N12" s="170"/>
      <c r="O12" s="83"/>
      <c r="P12" s="106"/>
      <c r="Q12" s="84"/>
      <c r="R12" s="84"/>
      <c r="S12" s="84"/>
    </row>
    <row r="13" spans="1:19" s="85" customFormat="1" x14ac:dyDescent="0.3">
      <c r="A13" s="153" t="s">
        <v>23</v>
      </c>
      <c r="B13" s="81">
        <v>292269</v>
      </c>
      <c r="C13" s="81">
        <v>381730</v>
      </c>
      <c r="D13" s="81">
        <v>426683</v>
      </c>
      <c r="E13" s="81">
        <v>656631</v>
      </c>
      <c r="F13" s="81">
        <v>523529</v>
      </c>
      <c r="G13" s="81">
        <v>586256</v>
      </c>
      <c r="H13" s="171">
        <v>650631</v>
      </c>
      <c r="I13" s="171">
        <v>681860</v>
      </c>
      <c r="J13" s="177">
        <v>604733</v>
      </c>
      <c r="K13" s="117">
        <v>709725</v>
      </c>
      <c r="L13" s="129">
        <f t="shared" ref="L13:L19" si="0">+(K13-J13)/J13</f>
        <v>0.17361711697559087</v>
      </c>
      <c r="N13" s="83"/>
      <c r="O13" s="83"/>
      <c r="P13" s="106"/>
      <c r="Q13" s="84"/>
      <c r="R13" s="84"/>
      <c r="S13" s="84"/>
    </row>
    <row r="14" spans="1:19" s="85" customFormat="1" x14ac:dyDescent="0.3">
      <c r="A14" s="153" t="s">
        <v>36</v>
      </c>
      <c r="B14" s="81">
        <v>274553</v>
      </c>
      <c r="C14" s="81">
        <v>371699</v>
      </c>
      <c r="D14" s="81">
        <v>434839</v>
      </c>
      <c r="E14" s="81">
        <v>528465</v>
      </c>
      <c r="F14" s="81">
        <v>494120</v>
      </c>
      <c r="G14" s="81">
        <v>553016</v>
      </c>
      <c r="H14" s="171">
        <v>601866</v>
      </c>
      <c r="I14" s="171">
        <v>555796</v>
      </c>
      <c r="J14" s="177">
        <v>607704</v>
      </c>
      <c r="K14" s="117">
        <v>629949</v>
      </c>
      <c r="L14" s="129">
        <f t="shared" si="0"/>
        <v>3.6604991903953242E-2</v>
      </c>
      <c r="N14" s="83"/>
      <c r="O14" s="83"/>
      <c r="P14" s="106"/>
      <c r="Q14" s="84"/>
      <c r="R14" s="84"/>
      <c r="S14" s="84"/>
    </row>
    <row r="15" spans="1:19" s="85" customFormat="1" x14ac:dyDescent="0.3">
      <c r="A15" s="153" t="s">
        <v>60</v>
      </c>
      <c r="B15" s="81">
        <v>456824</v>
      </c>
      <c r="C15" s="81">
        <v>561031</v>
      </c>
      <c r="D15" s="81">
        <v>653908</v>
      </c>
      <c r="E15" s="81">
        <v>767527</v>
      </c>
      <c r="F15" s="81">
        <v>977261</v>
      </c>
      <c r="G15" s="81">
        <v>988793</v>
      </c>
      <c r="H15" s="171">
        <v>1009855</v>
      </c>
      <c r="I15" s="171">
        <v>1135785</v>
      </c>
      <c r="J15" s="177">
        <v>1049217</v>
      </c>
      <c r="K15" s="117">
        <v>1171045</v>
      </c>
      <c r="L15" s="129">
        <f t="shared" si="0"/>
        <v>0.11611325397891951</v>
      </c>
      <c r="N15" s="83"/>
      <c r="O15" s="83"/>
      <c r="P15" s="106"/>
      <c r="Q15" s="84"/>
      <c r="R15" s="84"/>
      <c r="S15" s="84"/>
    </row>
    <row r="16" spans="1:19" s="85" customFormat="1" x14ac:dyDescent="0.3">
      <c r="A16" s="153" t="s">
        <v>47</v>
      </c>
      <c r="B16" s="81">
        <v>63266</v>
      </c>
      <c r="C16" s="81">
        <v>621440</v>
      </c>
      <c r="D16" s="81">
        <v>564218</v>
      </c>
      <c r="E16" s="81">
        <v>543336</v>
      </c>
      <c r="F16" s="81">
        <v>748013</v>
      </c>
      <c r="G16" s="81">
        <v>853564</v>
      </c>
      <c r="H16" s="171">
        <v>900384</v>
      </c>
      <c r="I16" s="171">
        <v>1025441</v>
      </c>
      <c r="J16" s="177">
        <v>874918</v>
      </c>
      <c r="K16" s="117">
        <v>1027805</v>
      </c>
      <c r="L16" s="129">
        <f t="shared" si="0"/>
        <v>0.17474437604438359</v>
      </c>
      <c r="N16" s="83"/>
      <c r="O16" s="83"/>
      <c r="P16" s="106"/>
      <c r="Q16" s="84"/>
      <c r="R16" s="84"/>
      <c r="S16" s="84"/>
    </row>
    <row r="17" spans="1:19" s="85" customFormat="1" x14ac:dyDescent="0.3">
      <c r="A17" s="153" t="s">
        <v>24</v>
      </c>
      <c r="B17" s="81">
        <v>12635</v>
      </c>
      <c r="C17" s="81">
        <v>23420</v>
      </c>
      <c r="D17" s="81">
        <v>57260</v>
      </c>
      <c r="E17" s="81">
        <v>28175</v>
      </c>
      <c r="F17" s="81">
        <v>79348</v>
      </c>
      <c r="G17" s="81">
        <v>67002</v>
      </c>
      <c r="H17" s="171">
        <v>130401</v>
      </c>
      <c r="I17" s="171">
        <v>57452</v>
      </c>
      <c r="J17" s="177">
        <v>126372</v>
      </c>
      <c r="K17" s="117">
        <v>56987</v>
      </c>
      <c r="L17" s="129">
        <f t="shared" si="0"/>
        <v>-0.54905358782008673</v>
      </c>
      <c r="N17" s="83"/>
      <c r="O17" s="83"/>
      <c r="P17" s="106"/>
      <c r="Q17" s="84"/>
      <c r="R17" s="84"/>
      <c r="S17" s="84"/>
    </row>
    <row r="18" spans="1:19" s="85" customFormat="1" x14ac:dyDescent="0.3">
      <c r="A18" s="153" t="s">
        <v>25</v>
      </c>
      <c r="B18" s="81">
        <v>3714</v>
      </c>
      <c r="C18" s="81">
        <v>11893</v>
      </c>
      <c r="D18" s="81">
        <v>12073</v>
      </c>
      <c r="E18" s="81">
        <v>44095</v>
      </c>
      <c r="F18" s="81">
        <v>19094</v>
      </c>
      <c r="G18" s="81">
        <v>16902</v>
      </c>
      <c r="H18" s="171">
        <v>18323</v>
      </c>
      <c r="I18" s="171">
        <v>6913</v>
      </c>
      <c r="J18" s="177">
        <v>4313</v>
      </c>
      <c r="K18" s="117">
        <v>6728</v>
      </c>
      <c r="L18" s="129">
        <f t="shared" si="0"/>
        <v>0.55993507999072567</v>
      </c>
      <c r="N18" s="83"/>
      <c r="O18" s="83"/>
      <c r="P18" s="106"/>
      <c r="Q18" s="84"/>
      <c r="R18" s="84"/>
      <c r="S18" s="84"/>
    </row>
    <row r="19" spans="1:19" s="85" customFormat="1" x14ac:dyDescent="0.3">
      <c r="A19" s="153" t="s">
        <v>26</v>
      </c>
      <c r="B19" s="81">
        <v>2468685</v>
      </c>
      <c r="C19" s="81">
        <v>2591441</v>
      </c>
      <c r="D19" s="81">
        <v>2736001</v>
      </c>
      <c r="E19" s="81">
        <v>2268787</v>
      </c>
      <c r="F19" s="81">
        <v>3599917</v>
      </c>
      <c r="G19" s="81">
        <v>4555288</v>
      </c>
      <c r="H19" s="171">
        <v>4097551</v>
      </c>
      <c r="I19" s="171">
        <v>4866415</v>
      </c>
      <c r="J19" s="177">
        <v>4015093</v>
      </c>
      <c r="K19" s="117">
        <v>4679552</v>
      </c>
      <c r="L19" s="129">
        <f t="shared" si="0"/>
        <v>0.16549031367392986</v>
      </c>
      <c r="N19" s="83"/>
      <c r="O19" s="83"/>
      <c r="P19" s="106"/>
      <c r="Q19" s="84"/>
      <c r="R19" s="84"/>
      <c r="S19" s="84"/>
    </row>
    <row r="20" spans="1:19" s="85" customFormat="1" ht="15.75" thickBot="1" x14ac:dyDescent="0.35">
      <c r="A20" s="154" t="s">
        <v>27</v>
      </c>
      <c r="B20" s="91">
        <v>4022157</v>
      </c>
      <c r="C20" s="91">
        <v>5032901</v>
      </c>
      <c r="D20" s="91">
        <v>5348302</v>
      </c>
      <c r="E20" s="91">
        <v>5336553</v>
      </c>
      <c r="F20" s="91">
        <v>6929126</v>
      </c>
      <c r="G20" s="91">
        <v>8084691</v>
      </c>
      <c r="H20" s="172">
        <f>SUM(H11:H19)</f>
        <v>7931169</v>
      </c>
      <c r="I20" s="172">
        <f>SUM(I11:I19)</f>
        <v>8951564</v>
      </c>
      <c r="J20" s="178">
        <f>SUM(J11:J19)</f>
        <v>7901125</v>
      </c>
      <c r="K20" s="118">
        <f>SUM(K11:K19)</f>
        <v>8951922</v>
      </c>
      <c r="L20" s="130">
        <f>+(K20-J20)/J20</f>
        <v>0.13299333955607587</v>
      </c>
      <c r="N20" s="83"/>
      <c r="O20" s="83"/>
      <c r="P20" s="106"/>
      <c r="Q20" s="84"/>
      <c r="R20" s="84"/>
      <c r="S20" s="84"/>
    </row>
    <row r="21" spans="1:19" s="85" customFormat="1" x14ac:dyDescent="0.3">
      <c r="A21" s="153"/>
      <c r="B21" s="81"/>
      <c r="C21" s="81"/>
      <c r="D21" s="81"/>
      <c r="E21" s="81"/>
      <c r="F21" s="81"/>
      <c r="G21" s="81"/>
      <c r="H21" s="171"/>
      <c r="I21" s="171"/>
      <c r="J21" s="177"/>
      <c r="K21" s="117"/>
      <c r="L21" s="129"/>
      <c r="N21" s="83"/>
      <c r="O21" s="83"/>
      <c r="P21" s="106"/>
      <c r="Q21" s="84"/>
      <c r="R21" s="84"/>
      <c r="S21" s="84"/>
    </row>
    <row r="22" spans="1:19" s="85" customFormat="1" ht="15.75" thickBot="1" x14ac:dyDescent="0.35">
      <c r="A22" s="152" t="s">
        <v>48</v>
      </c>
      <c r="B22" s="125">
        <v>2005</v>
      </c>
      <c r="C22" s="125">
        <v>2006</v>
      </c>
      <c r="D22" s="125">
        <v>2007</v>
      </c>
      <c r="E22" s="125">
        <v>2008</v>
      </c>
      <c r="F22" s="125">
        <v>2009</v>
      </c>
      <c r="G22" s="125">
        <v>2010</v>
      </c>
      <c r="H22" s="173">
        <v>2011</v>
      </c>
      <c r="I22" s="173">
        <v>2012</v>
      </c>
      <c r="J22" s="176">
        <v>2012</v>
      </c>
      <c r="K22" s="145">
        <v>2013</v>
      </c>
      <c r="L22" s="128" t="s">
        <v>46</v>
      </c>
      <c r="N22" s="83"/>
      <c r="O22" s="83"/>
      <c r="P22" s="108"/>
      <c r="Q22" s="84"/>
      <c r="R22" s="84"/>
      <c r="S22" s="84"/>
    </row>
    <row r="23" spans="1:19" s="85" customFormat="1" x14ac:dyDescent="0.3">
      <c r="A23" s="153" t="s">
        <v>28</v>
      </c>
      <c r="B23" s="81">
        <v>41040</v>
      </c>
      <c r="C23" s="81">
        <v>705877</v>
      </c>
      <c r="D23" s="81">
        <v>718503</v>
      </c>
      <c r="E23" s="81">
        <v>884817</v>
      </c>
      <c r="F23" s="81">
        <v>1015157</v>
      </c>
      <c r="G23" s="81">
        <v>1126326</v>
      </c>
      <c r="H23" s="171">
        <v>679598</v>
      </c>
      <c r="I23" s="171">
        <v>690354</v>
      </c>
      <c r="J23" s="177">
        <v>638431</v>
      </c>
      <c r="K23" s="117">
        <v>682715</v>
      </c>
      <c r="L23" s="129">
        <f t="shared" ref="L23:L34" si="1">+(K23-J23)/J23</f>
        <v>6.9363799690177946E-2</v>
      </c>
      <c r="N23" s="83"/>
      <c r="O23" s="83"/>
      <c r="P23" s="106"/>
      <c r="Q23" s="84"/>
      <c r="R23" s="84"/>
      <c r="S23" s="84"/>
    </row>
    <row r="24" spans="1:19" s="85" customFormat="1" x14ac:dyDescent="0.3">
      <c r="A24" s="153" t="s">
        <v>49</v>
      </c>
      <c r="B24" s="81">
        <v>111023</v>
      </c>
      <c r="C24" s="81">
        <v>146194</v>
      </c>
      <c r="D24" s="81">
        <v>146091</v>
      </c>
      <c r="E24" s="81">
        <v>163812</v>
      </c>
      <c r="F24" s="81">
        <v>124270</v>
      </c>
      <c r="G24" s="81">
        <v>165155</v>
      </c>
      <c r="H24" s="171">
        <v>163168</v>
      </c>
      <c r="I24" s="171">
        <v>170648</v>
      </c>
      <c r="J24" s="177">
        <v>144053</v>
      </c>
      <c r="K24" s="117">
        <v>170685</v>
      </c>
      <c r="L24" s="129">
        <f t="shared" si="1"/>
        <v>0.18487639965845903</v>
      </c>
      <c r="N24" s="83"/>
      <c r="O24" s="83"/>
      <c r="P24" s="108"/>
      <c r="Q24" s="84"/>
      <c r="R24" s="84"/>
      <c r="S24" s="84"/>
    </row>
    <row r="25" spans="1:19" s="85" customFormat="1" x14ac:dyDescent="0.3">
      <c r="A25" s="153" t="s">
        <v>38</v>
      </c>
      <c r="B25" s="81">
        <v>59396</v>
      </c>
      <c r="C25" s="81">
        <v>108992</v>
      </c>
      <c r="D25" s="81">
        <v>140644</v>
      </c>
      <c r="E25" s="81">
        <v>173147</v>
      </c>
      <c r="F25" s="81">
        <v>141613</v>
      </c>
      <c r="G25" s="81">
        <v>209038</v>
      </c>
      <c r="H25" s="171">
        <v>217244</v>
      </c>
      <c r="I25" s="171">
        <v>259622</v>
      </c>
      <c r="J25" s="177">
        <v>263965</v>
      </c>
      <c r="K25" s="117">
        <v>300091</v>
      </c>
      <c r="L25" s="129">
        <f t="shared" si="1"/>
        <v>0.13685905328357925</v>
      </c>
      <c r="N25" s="83"/>
      <c r="O25" s="83"/>
      <c r="P25" s="106"/>
      <c r="Q25" s="84"/>
      <c r="R25" s="84"/>
      <c r="S25" s="84"/>
    </row>
    <row r="26" spans="1:19" s="85" customFormat="1" x14ac:dyDescent="0.3">
      <c r="A26" s="153" t="s">
        <v>30</v>
      </c>
      <c r="B26" s="81">
        <v>55165</v>
      </c>
      <c r="C26" s="81">
        <v>54299</v>
      </c>
      <c r="D26" s="81">
        <v>55981</v>
      </c>
      <c r="E26" s="81">
        <v>61484</v>
      </c>
      <c r="F26" s="81">
        <v>52025</v>
      </c>
      <c r="G26" s="81">
        <v>68247</v>
      </c>
      <c r="H26" s="171">
        <v>132822</v>
      </c>
      <c r="I26" s="171">
        <v>138203</v>
      </c>
      <c r="J26" s="177">
        <v>110220</v>
      </c>
      <c r="K26" s="117">
        <v>97757</v>
      </c>
      <c r="L26" s="129">
        <f t="shared" si="1"/>
        <v>-0.11307385229540919</v>
      </c>
      <c r="N26" s="83"/>
      <c r="O26" s="83"/>
      <c r="P26" s="106"/>
      <c r="Q26" s="84"/>
      <c r="R26" s="84"/>
      <c r="S26" s="84"/>
    </row>
    <row r="27" spans="1:19" s="85" customFormat="1" x14ac:dyDescent="0.3">
      <c r="A27" s="153" t="s">
        <v>31</v>
      </c>
      <c r="B27" s="81">
        <v>34448</v>
      </c>
      <c r="C27" s="81">
        <v>46282</v>
      </c>
      <c r="D27" s="81">
        <v>58521</v>
      </c>
      <c r="E27" s="81">
        <v>75362</v>
      </c>
      <c r="F27" s="81">
        <v>77811</v>
      </c>
      <c r="G27" s="81">
        <v>88387</v>
      </c>
      <c r="H27" s="171">
        <v>96429</v>
      </c>
      <c r="I27" s="171">
        <v>109969</v>
      </c>
      <c r="J27" s="177">
        <v>44736</v>
      </c>
      <c r="K27" s="117">
        <v>56009</v>
      </c>
      <c r="L27" s="129">
        <f t="shared" si="1"/>
        <v>0.25198944921316169</v>
      </c>
      <c r="N27" s="83"/>
      <c r="O27" s="83"/>
      <c r="P27" s="106"/>
      <c r="Q27" s="84"/>
      <c r="R27" s="84"/>
      <c r="S27" s="84"/>
    </row>
    <row r="28" spans="1:19" s="85" customFormat="1" x14ac:dyDescent="0.3">
      <c r="A28" s="153" t="s">
        <v>32</v>
      </c>
      <c r="B28" s="81">
        <v>33024</v>
      </c>
      <c r="C28" s="81">
        <v>38698</v>
      </c>
      <c r="D28" s="81">
        <v>57731</v>
      </c>
      <c r="E28" s="81">
        <v>63828</v>
      </c>
      <c r="F28" s="81">
        <v>65860</v>
      </c>
      <c r="G28" s="81">
        <v>31651</v>
      </c>
      <c r="H28" s="171">
        <v>33608</v>
      </c>
      <c r="I28" s="171">
        <v>28288</v>
      </c>
      <c r="J28" s="177">
        <v>179052</v>
      </c>
      <c r="K28" s="117">
        <v>237495</v>
      </c>
      <c r="L28" s="129">
        <f t="shared" si="1"/>
        <v>0.32640238589906845</v>
      </c>
      <c r="N28" s="83"/>
      <c r="O28" s="83"/>
      <c r="P28" s="106"/>
      <c r="Q28" s="84"/>
      <c r="R28" s="84"/>
      <c r="S28" s="84"/>
    </row>
    <row r="29" spans="1:19" s="85" customFormat="1" x14ac:dyDescent="0.3">
      <c r="A29" s="153" t="s">
        <v>24</v>
      </c>
      <c r="B29" s="81">
        <v>12261</v>
      </c>
      <c r="C29" s="81">
        <v>10307</v>
      </c>
      <c r="D29" s="81">
        <v>36889</v>
      </c>
      <c r="E29" s="81">
        <v>44153</v>
      </c>
      <c r="F29" s="81">
        <v>59601</v>
      </c>
      <c r="G29" s="81">
        <v>58990</v>
      </c>
      <c r="H29" s="171">
        <v>112430</v>
      </c>
      <c r="I29" s="171">
        <v>125466</v>
      </c>
      <c r="J29" s="177">
        <v>101892</v>
      </c>
      <c r="K29" s="117">
        <v>149022</v>
      </c>
      <c r="L29" s="129">
        <f t="shared" si="1"/>
        <v>0.46254858085031209</v>
      </c>
      <c r="N29" s="83"/>
      <c r="O29" s="83"/>
      <c r="P29" s="106"/>
      <c r="Q29" s="84"/>
      <c r="R29" s="84"/>
      <c r="S29" s="84"/>
    </row>
    <row r="30" spans="1:19" s="85" customFormat="1" x14ac:dyDescent="0.3">
      <c r="A30" s="153" t="s">
        <v>0</v>
      </c>
      <c r="B30" s="81">
        <v>938</v>
      </c>
      <c r="C30" s="81">
        <v>1750</v>
      </c>
      <c r="D30" s="81">
        <v>1583</v>
      </c>
      <c r="E30" s="81">
        <v>2766</v>
      </c>
      <c r="F30" s="81">
        <v>2549</v>
      </c>
      <c r="G30" s="81">
        <v>1983</v>
      </c>
      <c r="H30" s="171">
        <v>5031</v>
      </c>
      <c r="I30" s="171">
        <v>3762</v>
      </c>
      <c r="J30" s="177">
        <v>2803</v>
      </c>
      <c r="K30" s="117">
        <v>2354</v>
      </c>
      <c r="L30" s="129">
        <f t="shared" si="1"/>
        <v>-0.16018551551908669</v>
      </c>
      <c r="N30" s="83"/>
      <c r="O30" s="83"/>
      <c r="P30" s="106"/>
      <c r="Q30" s="84"/>
      <c r="R30" s="84"/>
      <c r="S30" s="84"/>
    </row>
    <row r="31" spans="1:19" s="85" customFormat="1" x14ac:dyDescent="0.3">
      <c r="A31" s="153" t="s">
        <v>33</v>
      </c>
      <c r="B31" s="80">
        <v>347295</v>
      </c>
      <c r="C31" s="80">
        <v>1112399</v>
      </c>
      <c r="D31" s="80">
        <v>1215943</v>
      </c>
      <c r="E31" s="80">
        <v>1469369</v>
      </c>
      <c r="F31" s="80">
        <v>1538886</v>
      </c>
      <c r="G31" s="80">
        <v>1749777</v>
      </c>
      <c r="H31" s="174">
        <f>SUM(H23:H30)</f>
        <v>1440330</v>
      </c>
      <c r="I31" s="174">
        <f>SUM(I23:I30)</f>
        <v>1526312</v>
      </c>
      <c r="J31" s="180">
        <f>SUM(J23:J30)</f>
        <v>1485152</v>
      </c>
      <c r="K31" s="119">
        <f>SUM(K23:K30)</f>
        <v>1696128</v>
      </c>
      <c r="L31" s="129">
        <f t="shared" si="1"/>
        <v>0.1420568399732822</v>
      </c>
      <c r="N31" s="83"/>
      <c r="O31" s="83"/>
      <c r="P31" s="106"/>
      <c r="Q31" s="84"/>
      <c r="R31" s="84"/>
      <c r="S31" s="84"/>
    </row>
    <row r="32" spans="1:19" s="85" customFormat="1" x14ac:dyDescent="0.3">
      <c r="A32" s="153" t="s">
        <v>39</v>
      </c>
      <c r="B32" s="81">
        <v>2519</v>
      </c>
      <c r="C32" s="81">
        <v>2618</v>
      </c>
      <c r="D32" s="81">
        <v>2964</v>
      </c>
      <c r="E32" s="81">
        <v>2751</v>
      </c>
      <c r="F32" s="81">
        <v>3611</v>
      </c>
      <c r="G32" s="81">
        <v>11268</v>
      </c>
      <c r="H32" s="171">
        <v>16209</v>
      </c>
      <c r="I32" s="171">
        <v>16294</v>
      </c>
      <c r="J32" s="177">
        <v>15516</v>
      </c>
      <c r="K32" s="117">
        <v>3799</v>
      </c>
      <c r="L32" s="129">
        <f t="shared" si="1"/>
        <v>-0.75515596803299823</v>
      </c>
      <c r="N32" s="83"/>
      <c r="O32" s="83"/>
      <c r="P32" s="106"/>
      <c r="Q32" s="84"/>
      <c r="R32" s="84"/>
      <c r="S32" s="84"/>
    </row>
    <row r="33" spans="1:21" s="85" customFormat="1" x14ac:dyDescent="0.3">
      <c r="A33" s="155" t="s">
        <v>34</v>
      </c>
      <c r="B33" s="97">
        <v>3672343</v>
      </c>
      <c r="C33" s="97">
        <v>3917884</v>
      </c>
      <c r="D33" s="97">
        <v>4129395</v>
      </c>
      <c r="E33" s="97">
        <v>3864433</v>
      </c>
      <c r="F33" s="97">
        <v>5386629</v>
      </c>
      <c r="G33" s="97">
        <v>6323646</v>
      </c>
      <c r="H33" s="175">
        <v>6474630</v>
      </c>
      <c r="I33" s="175">
        <v>7408958</v>
      </c>
      <c r="J33" s="181">
        <v>6400457</v>
      </c>
      <c r="K33" s="120">
        <v>7251995</v>
      </c>
      <c r="L33" s="131">
        <f t="shared" si="1"/>
        <v>0.13304331237597566</v>
      </c>
      <c r="N33" s="83"/>
      <c r="O33" s="83"/>
      <c r="P33" s="108"/>
      <c r="Q33" s="84"/>
      <c r="R33" s="84"/>
      <c r="S33" s="84"/>
    </row>
    <row r="34" spans="1:21" s="85" customFormat="1" ht="15.75" thickBot="1" x14ac:dyDescent="0.35">
      <c r="A34" s="151" t="s">
        <v>35</v>
      </c>
      <c r="B34" s="91">
        <v>4022157</v>
      </c>
      <c r="C34" s="91">
        <v>5032901</v>
      </c>
      <c r="D34" s="91">
        <v>5348302</v>
      </c>
      <c r="E34" s="91">
        <v>5336553</v>
      </c>
      <c r="F34" s="91">
        <v>6929126</v>
      </c>
      <c r="G34" s="91">
        <v>8084691</v>
      </c>
      <c r="H34" s="172">
        <f>+H31+H32+H33</f>
        <v>7931169</v>
      </c>
      <c r="I34" s="172">
        <f>+I31+I32+I33</f>
        <v>8951564</v>
      </c>
      <c r="J34" s="178">
        <f>+J31+J32+J33</f>
        <v>7901125</v>
      </c>
      <c r="K34" s="118">
        <f>+K31+K32+K33</f>
        <v>8951922</v>
      </c>
      <c r="L34" s="130">
        <f t="shared" si="1"/>
        <v>0.13299333955607587</v>
      </c>
      <c r="N34" s="83"/>
      <c r="O34" s="83"/>
      <c r="P34" s="108"/>
      <c r="Q34" s="84"/>
      <c r="R34" s="84"/>
      <c r="S34" s="84"/>
    </row>
    <row r="35" spans="1:21" s="85" customFormat="1" x14ac:dyDescent="0.3">
      <c r="H35" s="81"/>
      <c r="I35" s="81"/>
      <c r="J35" s="81"/>
      <c r="K35" s="81"/>
      <c r="L35" s="82"/>
      <c r="M35" s="107"/>
      <c r="N35" s="83"/>
      <c r="O35" s="83"/>
      <c r="P35" s="108"/>
      <c r="Q35" s="84"/>
      <c r="R35" s="84"/>
      <c r="S35" s="84"/>
    </row>
    <row r="36" spans="1:21" ht="21" x14ac:dyDescent="0.35">
      <c r="A36" s="116" t="s">
        <v>91</v>
      </c>
      <c r="B36" s="116"/>
      <c r="C36" s="116"/>
      <c r="D36" s="116"/>
      <c r="E36" s="116"/>
      <c r="F36" s="116"/>
      <c r="G36" s="116"/>
    </row>
    <row r="37" spans="1:21" ht="15.75" x14ac:dyDescent="0.3">
      <c r="A37" s="78" t="s">
        <v>104</v>
      </c>
      <c r="B37" s="78"/>
      <c r="C37" s="78"/>
      <c r="D37" s="78"/>
      <c r="E37" s="78"/>
      <c r="F37" s="78"/>
      <c r="G37" s="78"/>
    </row>
    <row r="38" spans="1:21" x14ac:dyDescent="0.3">
      <c r="A38" s="79" t="s">
        <v>88</v>
      </c>
      <c r="B38" s="79"/>
      <c r="C38" s="79"/>
      <c r="D38" s="79"/>
      <c r="E38" s="79"/>
      <c r="F38" s="79"/>
      <c r="G38" s="79"/>
    </row>
    <row r="39" spans="1:21" s="85" customFormat="1" ht="15.75" thickBot="1" x14ac:dyDescent="0.35">
      <c r="A39" s="86"/>
      <c r="B39" s="144">
        <v>2005</v>
      </c>
      <c r="C39" s="144">
        <v>2006</v>
      </c>
      <c r="D39" s="144">
        <v>2007</v>
      </c>
      <c r="E39" s="144">
        <v>2008</v>
      </c>
      <c r="F39" s="144">
        <v>2009</v>
      </c>
      <c r="G39" s="144">
        <v>2010</v>
      </c>
      <c r="H39" s="144">
        <v>2011</v>
      </c>
      <c r="I39" s="144">
        <v>2012</v>
      </c>
      <c r="J39" s="145" t="s">
        <v>96</v>
      </c>
      <c r="K39" s="145" t="s">
        <v>95</v>
      </c>
      <c r="L39" s="145" t="s">
        <v>99</v>
      </c>
      <c r="M39" s="146" t="s">
        <v>55</v>
      </c>
      <c r="N39" s="145" t="s">
        <v>100</v>
      </c>
      <c r="O39" s="146" t="s">
        <v>55</v>
      </c>
      <c r="P39" s="147" t="s">
        <v>46</v>
      </c>
      <c r="Q39" s="176" t="s">
        <v>108</v>
      </c>
      <c r="R39" s="183" t="s">
        <v>55</v>
      </c>
      <c r="S39" s="176" t="s">
        <v>109</v>
      </c>
      <c r="T39" s="183" t="s">
        <v>55</v>
      </c>
      <c r="U39" s="184" t="s">
        <v>46</v>
      </c>
    </row>
    <row r="40" spans="1:21" s="95" customFormat="1" x14ac:dyDescent="0.3">
      <c r="A40" s="148" t="s">
        <v>4</v>
      </c>
      <c r="B40" s="110">
        <v>2297199</v>
      </c>
      <c r="C40" s="110">
        <v>2872015</v>
      </c>
      <c r="D40" s="110">
        <v>3449517</v>
      </c>
      <c r="E40" s="110">
        <v>4009727</v>
      </c>
      <c r="F40" s="110">
        <v>4588366</v>
      </c>
      <c r="G40" s="110">
        <v>4458858</v>
      </c>
      <c r="H40" s="110">
        <v>5057382.6182662696</v>
      </c>
      <c r="I40" s="110">
        <v>5305782</v>
      </c>
      <c r="J40" s="132">
        <v>1237546</v>
      </c>
      <c r="K40" s="132">
        <v>1242052</v>
      </c>
      <c r="L40" s="132">
        <v>1265469</v>
      </c>
      <c r="M40" s="138">
        <v>1</v>
      </c>
      <c r="N40" s="132">
        <v>1370524</v>
      </c>
      <c r="O40" s="138">
        <v>1</v>
      </c>
      <c r="P40" s="129">
        <f t="shared" ref="P40:P57" si="2">IF(L40&lt;&gt;0,(N40-L40)/L40,0)</f>
        <v>8.3016652324158086E-2</v>
      </c>
      <c r="Q40" s="185">
        <v>2503015</v>
      </c>
      <c r="R40" s="186">
        <v>1</v>
      </c>
      <c r="S40" s="185">
        <v>2612576</v>
      </c>
      <c r="T40" s="186">
        <v>1</v>
      </c>
      <c r="U40" s="187">
        <f>IF(Q40&lt;&gt;0,(S40-Q40)/Q40,0)</f>
        <v>4.3771611436607454E-2</v>
      </c>
    </row>
    <row r="41" spans="1:21" s="85" customFormat="1" x14ac:dyDescent="0.3">
      <c r="A41" s="149" t="s">
        <v>50</v>
      </c>
      <c r="B41" s="112">
        <v>-1428204</v>
      </c>
      <c r="C41" s="112">
        <v>-1760636</v>
      </c>
      <c r="D41" s="112">
        <v>-2035308</v>
      </c>
      <c r="E41" s="112">
        <v>-2384094</v>
      </c>
      <c r="F41" s="112">
        <v>-2818189</v>
      </c>
      <c r="G41" s="112">
        <v>-2587907.8744791602</v>
      </c>
      <c r="H41" s="112">
        <v>-3030201.8461819952</v>
      </c>
      <c r="I41" s="112">
        <v>-3064460</v>
      </c>
      <c r="J41" s="133">
        <v>-724520</v>
      </c>
      <c r="K41" s="133">
        <v>-682801</v>
      </c>
      <c r="L41" s="133">
        <v>-728867</v>
      </c>
      <c r="M41" s="129">
        <f t="shared" ref="M41:M59" si="3">+L41/$L$40</f>
        <v>-0.57596590671126668</v>
      </c>
      <c r="N41" s="133">
        <v>-750580</v>
      </c>
      <c r="O41" s="129">
        <f t="shared" ref="O41:O59" si="4">+N41/$N$40</f>
        <v>-0.5476591435100735</v>
      </c>
      <c r="P41" s="129">
        <f t="shared" si="2"/>
        <v>2.9790071439645367E-2</v>
      </c>
      <c r="Q41" s="188">
        <v>-1453387</v>
      </c>
      <c r="R41" s="187">
        <f t="shared" ref="R41:R59" si="5">+Q41/$Q$40</f>
        <v>-0.58065453063605288</v>
      </c>
      <c r="S41" s="188">
        <v>-1433381</v>
      </c>
      <c r="T41" s="187">
        <f t="shared" ref="T41:T59" si="6">+S41/$S$40</f>
        <v>-0.5486466231030217</v>
      </c>
      <c r="U41" s="187">
        <f>IF(Q41&lt;&gt;0,(S41-Q41)/Q41,0)</f>
        <v>-1.3765088032299725E-2</v>
      </c>
    </row>
    <row r="42" spans="1:21" s="95" customFormat="1" x14ac:dyDescent="0.3">
      <c r="A42" s="148" t="s">
        <v>6</v>
      </c>
      <c r="B42" s="80">
        <v>868995</v>
      </c>
      <c r="C42" s="80">
        <v>1111379</v>
      </c>
      <c r="D42" s="80">
        <v>1414209</v>
      </c>
      <c r="E42" s="80">
        <v>1625633</v>
      </c>
      <c r="F42" s="80">
        <v>1770177</v>
      </c>
      <c r="G42" s="80">
        <v>1870950.1255208398</v>
      </c>
      <c r="H42" s="80">
        <f>SUM(H40:H41)</f>
        <v>2027180.7720842743</v>
      </c>
      <c r="I42" s="80">
        <f>SUM(I40:I41)</f>
        <v>2241322</v>
      </c>
      <c r="J42" s="134">
        <f>SUM(J40:J41)</f>
        <v>513026</v>
      </c>
      <c r="K42" s="134">
        <f>SUM(K40:K41)</f>
        <v>559251</v>
      </c>
      <c r="L42" s="134">
        <f>SUM(L40:L41)</f>
        <v>536602</v>
      </c>
      <c r="M42" s="138">
        <f t="shared" si="3"/>
        <v>0.42403409328873326</v>
      </c>
      <c r="N42" s="134">
        <f>SUM(N40:N41)</f>
        <v>619944</v>
      </c>
      <c r="O42" s="138">
        <f t="shared" si="4"/>
        <v>0.4523408564899265</v>
      </c>
      <c r="P42" s="129">
        <f t="shared" si="2"/>
        <v>0.15531436707280255</v>
      </c>
      <c r="Q42" s="180">
        <f>SUM(Q40:Q41)</f>
        <v>1049628</v>
      </c>
      <c r="R42" s="187">
        <f t="shared" si="5"/>
        <v>0.41934546936394707</v>
      </c>
      <c r="S42" s="180">
        <f>SUM(S40:S41)</f>
        <v>1179195</v>
      </c>
      <c r="T42" s="187">
        <f t="shared" si="6"/>
        <v>0.4513533768969783</v>
      </c>
      <c r="U42" s="187">
        <f>IF(Q42&lt;&gt;0,(S42-Q42)/Q42,0)</f>
        <v>0.12344087619613806</v>
      </c>
    </row>
    <row r="43" spans="1:21" s="85" customFormat="1" x14ac:dyDescent="0.3">
      <c r="A43" s="149" t="s">
        <v>7</v>
      </c>
      <c r="B43" s="81">
        <v>-95853</v>
      </c>
      <c r="C43" s="81">
        <v>-127200</v>
      </c>
      <c r="D43" s="81">
        <v>-165507</v>
      </c>
      <c r="E43" s="81">
        <v>-183777</v>
      </c>
      <c r="F43" s="81">
        <v>-218875</v>
      </c>
      <c r="G43" s="81">
        <v>-212941</v>
      </c>
      <c r="H43" s="81">
        <v>-250061.17590559012</v>
      </c>
      <c r="I43" s="81">
        <v>-270303</v>
      </c>
      <c r="J43" s="135">
        <v>-59529</v>
      </c>
      <c r="K43" s="135">
        <v>-64873</v>
      </c>
      <c r="L43" s="135">
        <v>-62802</v>
      </c>
      <c r="M43" s="129">
        <f t="shared" si="3"/>
        <v>-4.9627450376105615E-2</v>
      </c>
      <c r="N43" s="135">
        <v>-73939</v>
      </c>
      <c r="O43" s="129">
        <f t="shared" si="4"/>
        <v>-5.3949438317023271E-2</v>
      </c>
      <c r="P43" s="129">
        <f t="shared" si="2"/>
        <v>0.17733511671602814</v>
      </c>
      <c r="Q43" s="177">
        <v>-122331</v>
      </c>
      <c r="R43" s="187">
        <f t="shared" si="5"/>
        <v>-4.8873458608917647E-2</v>
      </c>
      <c r="S43" s="177">
        <v>-138812</v>
      </c>
      <c r="T43" s="187">
        <f t="shared" si="6"/>
        <v>-5.3132234239310169E-2</v>
      </c>
      <c r="U43" s="187">
        <f>IF(Q43&lt;&gt;0,(S43-Q43)/Q43,0)</f>
        <v>0.13472464052447866</v>
      </c>
    </row>
    <row r="44" spans="1:21" s="85" customFormat="1" x14ac:dyDescent="0.3">
      <c r="A44" s="149" t="s">
        <v>8</v>
      </c>
      <c r="B44" s="81">
        <v>-509961</v>
      </c>
      <c r="C44" s="81">
        <v>-684105</v>
      </c>
      <c r="D44" s="81">
        <v>-815817</v>
      </c>
      <c r="E44" s="81">
        <v>-975970</v>
      </c>
      <c r="F44" s="81">
        <v>-1102578</v>
      </c>
      <c r="G44" s="81">
        <v>-1103652</v>
      </c>
      <c r="H44" s="81">
        <v>-1221301.5797654777</v>
      </c>
      <c r="I44" s="81">
        <v>-1326976</v>
      </c>
      <c r="J44" s="135">
        <v>-305689</v>
      </c>
      <c r="K44" s="135">
        <v>-325559</v>
      </c>
      <c r="L44" s="135">
        <v>-310054</v>
      </c>
      <c r="M44" s="129">
        <f t="shared" si="3"/>
        <v>-0.24501113816300518</v>
      </c>
      <c r="N44" s="135">
        <v>-355546</v>
      </c>
      <c r="O44" s="129">
        <f t="shared" si="4"/>
        <v>-0.25942340301957501</v>
      </c>
      <c r="P44" s="129">
        <f t="shared" si="2"/>
        <v>0.14672282892657407</v>
      </c>
      <c r="Q44" s="177">
        <v>-615743</v>
      </c>
      <c r="R44" s="187">
        <f t="shared" si="5"/>
        <v>-0.2460005233688172</v>
      </c>
      <c r="S44" s="177">
        <v>-681105</v>
      </c>
      <c r="T44" s="187">
        <f t="shared" si="6"/>
        <v>-0.2607024637752165</v>
      </c>
      <c r="U44" s="187">
        <f>IF(Q44&lt;&gt;0,(S44-Q44)/Q44,0)</f>
        <v>0.10615143006091828</v>
      </c>
    </row>
    <row r="45" spans="1:21" s="85" customFormat="1" x14ac:dyDescent="0.3">
      <c r="A45" s="149" t="s">
        <v>84</v>
      </c>
      <c r="B45" s="81"/>
      <c r="C45" s="81"/>
      <c r="D45" s="81"/>
      <c r="E45" s="81"/>
      <c r="F45" s="81"/>
      <c r="G45" s="81">
        <v>-121613</v>
      </c>
      <c r="H45" s="81">
        <v>-123323</v>
      </c>
      <c r="I45" s="81">
        <v>-122931</v>
      </c>
      <c r="J45" s="135">
        <v>-33091</v>
      </c>
      <c r="K45" s="135">
        <v>-27738</v>
      </c>
      <c r="L45" s="135">
        <v>-37645</v>
      </c>
      <c r="M45" s="129">
        <f t="shared" si="3"/>
        <v>-2.9747864230573802E-2</v>
      </c>
      <c r="N45" s="135">
        <v>-33697</v>
      </c>
      <c r="O45" s="129">
        <f t="shared" si="4"/>
        <v>-2.4586946306668106E-2</v>
      </c>
      <c r="P45" s="129">
        <f t="shared" si="2"/>
        <v>-0.10487448532341613</v>
      </c>
      <c r="Q45" s="177">
        <v>-70736</v>
      </c>
      <c r="R45" s="187">
        <f t="shared" si="5"/>
        <v>-2.8260318056423952E-2</v>
      </c>
      <c r="S45" s="177">
        <v>-61435</v>
      </c>
      <c r="T45" s="187">
        <f t="shared" si="6"/>
        <v>-2.3515105397890819E-2</v>
      </c>
      <c r="U45" s="187">
        <f t="shared" ref="U45:U57" si="7">IF(Q45&lt;&gt;0,(S45-Q45)/Q45,0)</f>
        <v>-0.13148891653472064</v>
      </c>
    </row>
    <row r="46" spans="1:21" s="95" customFormat="1" x14ac:dyDescent="0.3">
      <c r="A46" s="148" t="s">
        <v>9</v>
      </c>
      <c r="B46" s="80">
        <v>-605814</v>
      </c>
      <c r="C46" s="80">
        <v>-811305</v>
      </c>
      <c r="D46" s="80">
        <v>-981324</v>
      </c>
      <c r="E46" s="80">
        <v>-1159747</v>
      </c>
      <c r="F46" s="80">
        <v>-1321453</v>
      </c>
      <c r="G46" s="80">
        <v>-1438206</v>
      </c>
      <c r="H46" s="80">
        <f>SUM(H43:H45)</f>
        <v>-1594685.7556710679</v>
      </c>
      <c r="I46" s="80">
        <f>SUM(I43:I45)</f>
        <v>-1720210</v>
      </c>
      <c r="J46" s="134">
        <f>SUM(J43:J45)</f>
        <v>-398309</v>
      </c>
      <c r="K46" s="134">
        <f>SUM(K43:K45)</f>
        <v>-418170</v>
      </c>
      <c r="L46" s="134">
        <f>SUM(L43:L45)</f>
        <v>-410501</v>
      </c>
      <c r="M46" s="138">
        <f t="shared" si="3"/>
        <v>-0.32438645276968459</v>
      </c>
      <c r="N46" s="134">
        <f>SUM(N43:N45)</f>
        <v>-463182</v>
      </c>
      <c r="O46" s="138">
        <f t="shared" si="4"/>
        <v>-0.3379597876432664</v>
      </c>
      <c r="P46" s="129">
        <f t="shared" si="2"/>
        <v>0.12833342671516026</v>
      </c>
      <c r="Q46" s="180">
        <f>SUM(Q43:Q45)</f>
        <v>-808810</v>
      </c>
      <c r="R46" s="187">
        <f t="shared" si="5"/>
        <v>-0.32313430003415883</v>
      </c>
      <c r="S46" s="180">
        <f>SUM(S43:S45)</f>
        <v>-881352</v>
      </c>
      <c r="T46" s="187">
        <f t="shared" si="6"/>
        <v>-0.33734980341241749</v>
      </c>
      <c r="U46" s="187">
        <f t="shared" si="7"/>
        <v>8.9689791174688741E-2</v>
      </c>
    </row>
    <row r="47" spans="1:21" s="95" customFormat="1" x14ac:dyDescent="0.3">
      <c r="A47" s="148" t="s">
        <v>1</v>
      </c>
      <c r="B47" s="80">
        <v>263181</v>
      </c>
      <c r="C47" s="80">
        <v>300074</v>
      </c>
      <c r="D47" s="80">
        <v>432885</v>
      </c>
      <c r="E47" s="80">
        <v>465886</v>
      </c>
      <c r="F47" s="80">
        <v>448724</v>
      </c>
      <c r="G47" s="80">
        <v>432744.12552083982</v>
      </c>
      <c r="H47" s="80">
        <f>+H42+H46</f>
        <v>432495.01641320647</v>
      </c>
      <c r="I47" s="80">
        <f>+I42+I46</f>
        <v>521112</v>
      </c>
      <c r="J47" s="134">
        <f>+J42+J46</f>
        <v>114717</v>
      </c>
      <c r="K47" s="134">
        <f>+K42+K46</f>
        <v>141081</v>
      </c>
      <c r="L47" s="134">
        <f>+L42+L46</f>
        <v>126101</v>
      </c>
      <c r="M47" s="138">
        <f t="shared" si="3"/>
        <v>9.9647640519048675E-2</v>
      </c>
      <c r="N47" s="134">
        <f>+N42+N46</f>
        <v>156762</v>
      </c>
      <c r="O47" s="138">
        <f t="shared" si="4"/>
        <v>0.11438106884666011</v>
      </c>
      <c r="P47" s="129">
        <f t="shared" si="2"/>
        <v>0.2431463668012149</v>
      </c>
      <c r="Q47" s="180">
        <f>+Q42+Q46</f>
        <v>240818</v>
      </c>
      <c r="R47" s="187">
        <f t="shared" si="5"/>
        <v>9.6211169329788279E-2</v>
      </c>
      <c r="S47" s="180">
        <f>+S42+S46</f>
        <v>297843</v>
      </c>
      <c r="T47" s="187">
        <f t="shared" si="6"/>
        <v>0.11400357348456083</v>
      </c>
      <c r="U47" s="187">
        <f t="shared" si="7"/>
        <v>0.23679708327450605</v>
      </c>
    </row>
    <row r="48" spans="1:21" s="85" customFormat="1" x14ac:dyDescent="0.3">
      <c r="A48" s="149" t="s">
        <v>51</v>
      </c>
      <c r="B48" s="81">
        <v>14213</v>
      </c>
      <c r="C48" s="81">
        <v>13821</v>
      </c>
      <c r="D48" s="81">
        <v>11386</v>
      </c>
      <c r="E48" s="81">
        <v>11580</v>
      </c>
      <c r="F48" s="81">
        <v>9537</v>
      </c>
      <c r="G48" s="81">
        <v>8084</v>
      </c>
      <c r="H48" s="81">
        <v>7592</v>
      </c>
      <c r="I48" s="81">
        <v>12296</v>
      </c>
      <c r="J48" s="135">
        <v>2281</v>
      </c>
      <c r="K48" s="135">
        <v>2375</v>
      </c>
      <c r="L48" s="135">
        <v>2318</v>
      </c>
      <c r="M48" s="129">
        <f t="shared" si="3"/>
        <v>1.8317319507629188E-3</v>
      </c>
      <c r="N48" s="135">
        <v>2770</v>
      </c>
      <c r="O48" s="129">
        <f t="shared" si="4"/>
        <v>2.0211247668774864E-3</v>
      </c>
      <c r="P48" s="129">
        <f t="shared" si="2"/>
        <v>0.19499568593615185</v>
      </c>
      <c r="Q48" s="177">
        <v>4599</v>
      </c>
      <c r="R48" s="187">
        <f t="shared" si="5"/>
        <v>1.8373841147576024E-3</v>
      </c>
      <c r="S48" s="177">
        <v>5145</v>
      </c>
      <c r="T48" s="187">
        <f t="shared" si="6"/>
        <v>1.9693207011011356E-3</v>
      </c>
      <c r="U48" s="187">
        <f t="shared" si="7"/>
        <v>0.11872146118721461</v>
      </c>
    </row>
    <row r="49" spans="1:21" s="85" customFormat="1" x14ac:dyDescent="0.3">
      <c r="A49" s="149" t="s">
        <v>11</v>
      </c>
      <c r="B49" s="81">
        <v>-25197</v>
      </c>
      <c r="C49" s="81">
        <v>-64413</v>
      </c>
      <c r="D49" s="81">
        <v>-84176</v>
      </c>
      <c r="E49" s="81">
        <v>-88738</v>
      </c>
      <c r="F49" s="81">
        <v>-103331</v>
      </c>
      <c r="G49" s="81">
        <v>-79867</v>
      </c>
      <c r="H49" s="81">
        <v>-84666</v>
      </c>
      <c r="I49" s="81">
        <v>-70722</v>
      </c>
      <c r="J49" s="135">
        <v>-18188</v>
      </c>
      <c r="K49" s="135">
        <v>-16818</v>
      </c>
      <c r="L49" s="135">
        <v>-17611</v>
      </c>
      <c r="M49" s="129">
        <f t="shared" si="3"/>
        <v>-1.3916579544816982E-2</v>
      </c>
      <c r="N49" s="135">
        <v>-17303</v>
      </c>
      <c r="O49" s="129">
        <f t="shared" si="4"/>
        <v>-1.2625098137646623E-2</v>
      </c>
      <c r="P49" s="129">
        <f t="shared" si="2"/>
        <v>-1.7489069331667707E-2</v>
      </c>
      <c r="Q49" s="177">
        <v>-35799</v>
      </c>
      <c r="R49" s="187">
        <f t="shared" si="5"/>
        <v>-1.4302351364254709E-2</v>
      </c>
      <c r="S49" s="177">
        <v>-34121</v>
      </c>
      <c r="T49" s="187">
        <f t="shared" si="6"/>
        <v>-1.3060289920752545E-2</v>
      </c>
      <c r="U49" s="187">
        <f t="shared" si="7"/>
        <v>-4.6872817676471411E-2</v>
      </c>
    </row>
    <row r="50" spans="1:21" s="85" customFormat="1" x14ac:dyDescent="0.3">
      <c r="A50" s="149" t="s">
        <v>12</v>
      </c>
      <c r="B50" s="81">
        <v>-24458</v>
      </c>
      <c r="C50" s="81">
        <v>-32576</v>
      </c>
      <c r="D50" s="81">
        <v>-17533</v>
      </c>
      <c r="E50" s="81">
        <v>-27906</v>
      </c>
      <c r="F50" s="81">
        <v>-1787</v>
      </c>
      <c r="G50" s="81">
        <v>-28926</v>
      </c>
      <c r="H50" s="81">
        <v>-3636</v>
      </c>
      <c r="I50" s="81">
        <v>1782</v>
      </c>
      <c r="J50" s="135">
        <v>-1259</v>
      </c>
      <c r="K50" s="135">
        <v>-1758</v>
      </c>
      <c r="L50" s="135">
        <v>13430</v>
      </c>
      <c r="M50" s="129">
        <f t="shared" si="3"/>
        <v>1.0612666134057808E-2</v>
      </c>
      <c r="N50" s="135">
        <v>4040</v>
      </c>
      <c r="O50" s="129">
        <f t="shared" si="4"/>
        <v>2.9477776383339512E-3</v>
      </c>
      <c r="P50" s="129">
        <f t="shared" si="2"/>
        <v>-0.69918093819806404</v>
      </c>
      <c r="Q50" s="177">
        <v>12171</v>
      </c>
      <c r="R50" s="187">
        <f t="shared" si="5"/>
        <v>4.8625357818470926E-3</v>
      </c>
      <c r="S50" s="177">
        <v>2282</v>
      </c>
      <c r="T50" s="187">
        <f t="shared" si="6"/>
        <v>8.7346741300540153E-4</v>
      </c>
      <c r="U50" s="187">
        <f t="shared" si="7"/>
        <v>-0.81250513515734124</v>
      </c>
    </row>
    <row r="51" spans="1:21" s="85" customFormat="1" x14ac:dyDescent="0.3">
      <c r="A51" s="149" t="s">
        <v>52</v>
      </c>
      <c r="B51" s="81">
        <v>-1493</v>
      </c>
      <c r="C51" s="81">
        <v>-70809</v>
      </c>
      <c r="D51" s="81">
        <v>-27554</v>
      </c>
      <c r="E51" s="81">
        <v>-96678</v>
      </c>
      <c r="F51" s="81">
        <v>-89202</v>
      </c>
      <c r="G51" s="81">
        <v>-23551</v>
      </c>
      <c r="H51" s="81">
        <v>-26933</v>
      </c>
      <c r="I51" s="81">
        <v>-13536</v>
      </c>
      <c r="J51" s="135">
        <v>-5552</v>
      </c>
      <c r="K51" s="135">
        <v>-7981</v>
      </c>
      <c r="L51" s="135">
        <v>-7455</v>
      </c>
      <c r="M51" s="129">
        <f t="shared" si="3"/>
        <v>-5.8910965025615013E-3</v>
      </c>
      <c r="N51" s="135">
        <v>-15076</v>
      </c>
      <c r="O51" s="129">
        <f t="shared" si="4"/>
        <v>-1.1000172196911547E-2</v>
      </c>
      <c r="P51" s="129">
        <f t="shared" si="2"/>
        <v>1.0222669349429914</v>
      </c>
      <c r="Q51" s="177">
        <v>-13007</v>
      </c>
      <c r="R51" s="187">
        <f t="shared" si="5"/>
        <v>-5.1965329812246434E-3</v>
      </c>
      <c r="S51" s="177">
        <v>-23057</v>
      </c>
      <c r="T51" s="187">
        <f t="shared" si="6"/>
        <v>-8.8253891944196066E-3</v>
      </c>
      <c r="U51" s="187">
        <f t="shared" si="7"/>
        <v>0.7726608749135081</v>
      </c>
    </row>
    <row r="52" spans="1:21" s="85" customFormat="1" x14ac:dyDescent="0.3">
      <c r="A52" s="149" t="s">
        <v>14</v>
      </c>
      <c r="B52" s="81">
        <v>22218</v>
      </c>
      <c r="C52" s="81">
        <v>29348</v>
      </c>
      <c r="D52" s="81">
        <v>25763</v>
      </c>
      <c r="E52" s="81">
        <v>27907</v>
      </c>
      <c r="F52" s="81">
        <v>28975</v>
      </c>
      <c r="G52" s="81">
        <v>30996</v>
      </c>
      <c r="H52" s="81">
        <v>33531</v>
      </c>
      <c r="I52" s="81">
        <v>35188</v>
      </c>
      <c r="J52" s="135">
        <v>8296</v>
      </c>
      <c r="K52" s="135">
        <v>8803</v>
      </c>
      <c r="L52" s="135">
        <v>9263</v>
      </c>
      <c r="M52" s="129">
        <f t="shared" si="3"/>
        <v>7.3198158153222241E-3</v>
      </c>
      <c r="N52" s="135">
        <v>9924</v>
      </c>
      <c r="O52" s="129">
        <f t="shared" si="4"/>
        <v>7.2410260601054781E-3</v>
      </c>
      <c r="P52" s="129">
        <f t="shared" si="2"/>
        <v>7.135917089495844E-2</v>
      </c>
      <c r="Q52" s="177">
        <v>17559</v>
      </c>
      <c r="R52" s="187">
        <f t="shared" si="5"/>
        <v>7.0151397414717851E-3</v>
      </c>
      <c r="S52" s="177">
        <v>18727</v>
      </c>
      <c r="T52" s="187">
        <f t="shared" si="6"/>
        <v>7.1680211408204006E-3</v>
      </c>
      <c r="U52" s="187">
        <f t="shared" si="7"/>
        <v>6.6518594452987079E-2</v>
      </c>
    </row>
    <row r="53" spans="1:21" s="85" customFormat="1" x14ac:dyDescent="0.3">
      <c r="A53" s="149" t="s">
        <v>16</v>
      </c>
      <c r="B53" s="81">
        <v>18955</v>
      </c>
      <c r="C53" s="81">
        <v>71319</v>
      </c>
      <c r="D53" s="81">
        <v>6759</v>
      </c>
      <c r="E53" s="81">
        <v>80511</v>
      </c>
      <c r="F53" s="81">
        <v>2124</v>
      </c>
      <c r="G53" s="81">
        <v>1513.7364279999999</v>
      </c>
      <c r="H53" s="81">
        <v>11185</v>
      </c>
      <c r="I53" s="81">
        <v>0</v>
      </c>
      <c r="J53" s="135">
        <v>-1</v>
      </c>
      <c r="K53" s="135">
        <v>0</v>
      </c>
      <c r="L53" s="135">
        <v>36</v>
      </c>
      <c r="M53" s="129">
        <f t="shared" si="3"/>
        <v>2.8447950917802017E-5</v>
      </c>
      <c r="N53" s="135">
        <v>107</v>
      </c>
      <c r="O53" s="129">
        <f t="shared" si="4"/>
        <v>7.807232854003286E-5</v>
      </c>
      <c r="P53" s="129">
        <f t="shared" si="2"/>
        <v>1.9722222222222223</v>
      </c>
      <c r="Q53" s="177">
        <v>35</v>
      </c>
      <c r="R53" s="187">
        <f t="shared" si="5"/>
        <v>1.3983136337576882E-5</v>
      </c>
      <c r="S53" s="177">
        <v>107</v>
      </c>
      <c r="T53" s="187">
        <f t="shared" si="6"/>
        <v>4.095574635914898E-5</v>
      </c>
      <c r="U53" s="187">
        <f t="shared" si="7"/>
        <v>2.0571428571428569</v>
      </c>
    </row>
    <row r="54" spans="1:21" s="95" customFormat="1" x14ac:dyDescent="0.3">
      <c r="A54" s="148" t="s">
        <v>2</v>
      </c>
      <c r="B54" s="80">
        <v>4238</v>
      </c>
      <c r="C54" s="80">
        <v>-53310</v>
      </c>
      <c r="D54" s="80">
        <v>-85355</v>
      </c>
      <c r="E54" s="80">
        <v>-93324</v>
      </c>
      <c r="F54" s="80">
        <v>-153684</v>
      </c>
      <c r="G54" s="80">
        <v>-91750.263571999996</v>
      </c>
      <c r="H54" s="80">
        <f>SUM(H48:H53)</f>
        <v>-62927</v>
      </c>
      <c r="I54" s="80">
        <f>SUM(I48:I53)</f>
        <v>-34992</v>
      </c>
      <c r="J54" s="134">
        <f>SUM(J48:J53)</f>
        <v>-14423</v>
      </c>
      <c r="K54" s="134">
        <f>SUM(K48:K53)</f>
        <v>-15379</v>
      </c>
      <c r="L54" s="134">
        <f>SUM(L48:L53)</f>
        <v>-19</v>
      </c>
      <c r="M54" s="138">
        <f t="shared" si="3"/>
        <v>-1.5014196317728842E-5</v>
      </c>
      <c r="N54" s="134">
        <f>SUM(N48:N53)</f>
        <v>-15538</v>
      </c>
      <c r="O54" s="138">
        <f t="shared" si="4"/>
        <v>-1.133726954070122E-2</v>
      </c>
      <c r="P54" s="129">
        <f t="shared" si="2"/>
        <v>816.78947368421052</v>
      </c>
      <c r="Q54" s="180">
        <f>SUM(Q48:Q53)</f>
        <v>-14442</v>
      </c>
      <c r="R54" s="187">
        <f t="shared" si="5"/>
        <v>-5.7698415710652953E-3</v>
      </c>
      <c r="S54" s="180">
        <f>SUM(S48:S53)</f>
        <v>-30917</v>
      </c>
      <c r="T54" s="187">
        <f t="shared" si="6"/>
        <v>-1.1833914113886065E-2</v>
      </c>
      <c r="U54" s="187">
        <f t="shared" si="7"/>
        <v>1.1407699764575543</v>
      </c>
    </row>
    <row r="55" spans="1:21" s="95" customFormat="1" x14ac:dyDescent="0.3">
      <c r="A55" s="148" t="s">
        <v>41</v>
      </c>
      <c r="B55" s="80">
        <v>267419</v>
      </c>
      <c r="C55" s="80">
        <v>246764</v>
      </c>
      <c r="D55" s="80">
        <v>347530</v>
      </c>
      <c r="E55" s="80">
        <v>372562</v>
      </c>
      <c r="F55" s="80">
        <v>295040</v>
      </c>
      <c r="G55" s="80">
        <v>340993.86194883985</v>
      </c>
      <c r="H55" s="80">
        <f>+H47+H54</f>
        <v>369568.01641320647</v>
      </c>
      <c r="I55" s="80">
        <f>+I47+I54</f>
        <v>486120</v>
      </c>
      <c r="J55" s="134">
        <f>+J47+J54</f>
        <v>100294</v>
      </c>
      <c r="K55" s="134">
        <f>+K47+K54</f>
        <v>125702</v>
      </c>
      <c r="L55" s="134">
        <f>+L47+L54</f>
        <v>126082</v>
      </c>
      <c r="M55" s="138">
        <f t="shared" si="3"/>
        <v>9.9632626322730941E-2</v>
      </c>
      <c r="N55" s="134">
        <f>+N47+N54</f>
        <v>141224</v>
      </c>
      <c r="O55" s="138">
        <f t="shared" si="4"/>
        <v>0.10304379930595889</v>
      </c>
      <c r="P55" s="129">
        <f t="shared" si="2"/>
        <v>0.12009644517060326</v>
      </c>
      <c r="Q55" s="180">
        <f>+Q47+Q54</f>
        <v>226376</v>
      </c>
      <c r="R55" s="187">
        <f t="shared" si="5"/>
        <v>9.0441327758722975E-2</v>
      </c>
      <c r="S55" s="180">
        <f>+S47+S54</f>
        <v>266926</v>
      </c>
      <c r="T55" s="187">
        <f t="shared" si="6"/>
        <v>0.10216965937067476</v>
      </c>
      <c r="U55" s="187">
        <f t="shared" si="7"/>
        <v>0.17912676255433438</v>
      </c>
    </row>
    <row r="56" spans="1:21" s="85" customFormat="1" x14ac:dyDescent="0.3">
      <c r="A56" s="149" t="s">
        <v>15</v>
      </c>
      <c r="B56" s="81">
        <v>-84076</v>
      </c>
      <c r="C56" s="81">
        <v>-70246</v>
      </c>
      <c r="D56" s="81">
        <v>-99987</v>
      </c>
      <c r="E56" s="81">
        <v>-73232</v>
      </c>
      <c r="F56" s="81">
        <v>-81309</v>
      </c>
      <c r="G56" s="81">
        <v>-76992.534036829995</v>
      </c>
      <c r="H56" s="81">
        <v>-113919.04882074999</v>
      </c>
      <c r="I56" s="81">
        <v>-138457</v>
      </c>
      <c r="J56" s="135">
        <v>-39773</v>
      </c>
      <c r="K56" s="135">
        <v>-46692</v>
      </c>
      <c r="L56" s="135">
        <v>-37735</v>
      </c>
      <c r="M56" s="129">
        <f t="shared" si="3"/>
        <v>-2.9818984107868308E-2</v>
      </c>
      <c r="N56" s="135">
        <v>-44055</v>
      </c>
      <c r="O56" s="129">
        <f t="shared" si="4"/>
        <v>-3.2144639568515397E-2</v>
      </c>
      <c r="P56" s="129">
        <f t="shared" si="2"/>
        <v>0.16748376838478865</v>
      </c>
      <c r="Q56" s="177">
        <v>-77508</v>
      </c>
      <c r="R56" s="187">
        <f t="shared" si="5"/>
        <v>-3.0965855178654543E-2</v>
      </c>
      <c r="S56" s="177">
        <v>-90747</v>
      </c>
      <c r="T56" s="187">
        <f t="shared" si="6"/>
        <v>-3.4734683316389646E-2</v>
      </c>
      <c r="U56" s="187">
        <f t="shared" si="7"/>
        <v>0.17080817464003717</v>
      </c>
    </row>
    <row r="57" spans="1:21" s="85" customFormat="1" x14ac:dyDescent="0.3">
      <c r="A57" s="149" t="s">
        <v>18</v>
      </c>
      <c r="B57" s="81">
        <v>-23</v>
      </c>
      <c r="C57" s="81">
        <v>17</v>
      </c>
      <c r="D57" s="81">
        <v>-230</v>
      </c>
      <c r="E57" s="81">
        <v>-279</v>
      </c>
      <c r="F57" s="81">
        <v>-457</v>
      </c>
      <c r="G57" s="81">
        <v>-762.45166136</v>
      </c>
      <c r="H57" s="81">
        <v>-2137.6216936399992</v>
      </c>
      <c r="I57" s="81">
        <v>-2156</v>
      </c>
      <c r="J57" s="135">
        <v>-917</v>
      </c>
      <c r="K57" s="135">
        <v>276</v>
      </c>
      <c r="L57" s="135">
        <v>-863</v>
      </c>
      <c r="M57" s="129">
        <f t="shared" si="3"/>
        <v>-6.8196060116842061E-4</v>
      </c>
      <c r="N57" s="135">
        <v>-50</v>
      </c>
      <c r="O57" s="129">
        <f t="shared" si="4"/>
        <v>-3.648239651403405E-5</v>
      </c>
      <c r="P57" s="129">
        <f t="shared" si="2"/>
        <v>-0.94206257242178448</v>
      </c>
      <c r="Q57" s="177">
        <v>-1780</v>
      </c>
      <c r="R57" s="189">
        <f t="shared" si="5"/>
        <v>-7.1114236231105291E-4</v>
      </c>
      <c r="S57" s="177">
        <v>226</v>
      </c>
      <c r="T57" s="189">
        <f t="shared" si="6"/>
        <v>8.6504660534277283E-5</v>
      </c>
      <c r="U57" s="187">
        <f t="shared" si="7"/>
        <v>-1.1269662921348316</v>
      </c>
    </row>
    <row r="58" spans="1:21" s="95" customFormat="1" x14ac:dyDescent="0.3">
      <c r="A58" s="150" t="s">
        <v>17</v>
      </c>
      <c r="B58" s="113">
        <v>183320</v>
      </c>
      <c r="C58" s="113">
        <v>176535</v>
      </c>
      <c r="D58" s="113">
        <v>247313</v>
      </c>
      <c r="E58" s="113">
        <v>299051</v>
      </c>
      <c r="F58" s="113">
        <v>213274</v>
      </c>
      <c r="G58" s="113">
        <v>263238.87625064986</v>
      </c>
      <c r="H58" s="113">
        <f>+H55+H56+H57</f>
        <v>253511.34589881651</v>
      </c>
      <c r="I58" s="113">
        <f>+I55+I56+I57</f>
        <v>345507</v>
      </c>
      <c r="J58" s="136">
        <f>+J55+J56+J57</f>
        <v>59604</v>
      </c>
      <c r="K58" s="136">
        <f>+K55+K56+K57</f>
        <v>79286</v>
      </c>
      <c r="L58" s="136">
        <f>+L55+L56+L57</f>
        <v>87484</v>
      </c>
      <c r="M58" s="139">
        <f t="shared" si="3"/>
        <v>6.9131681613694207E-2</v>
      </c>
      <c r="N58" s="136">
        <f>+N55+N56+N57</f>
        <v>97119</v>
      </c>
      <c r="O58" s="139">
        <f t="shared" si="4"/>
        <v>7.086267734092945E-2</v>
      </c>
      <c r="P58" s="139">
        <f>+(N58-L58)/L58</f>
        <v>0.11013442458049472</v>
      </c>
      <c r="Q58" s="190">
        <f>+Q55+Q56+Q57</f>
        <v>147088</v>
      </c>
      <c r="R58" s="189">
        <f t="shared" si="5"/>
        <v>5.8764330217757385E-2</v>
      </c>
      <c r="S58" s="190">
        <f>+S55+S56+S57</f>
        <v>176405</v>
      </c>
      <c r="T58" s="189">
        <f t="shared" si="6"/>
        <v>6.7521480714819393E-2</v>
      </c>
      <c r="U58" s="191">
        <f>+(S58-Q58)/Q58</f>
        <v>0.19931605569455021</v>
      </c>
    </row>
    <row r="59" spans="1:21" s="95" customFormat="1" ht="15.75" thickBot="1" x14ac:dyDescent="0.35">
      <c r="A59" s="151" t="s">
        <v>19</v>
      </c>
      <c r="B59" s="91">
        <v>317502</v>
      </c>
      <c r="C59" s="91">
        <v>382594</v>
      </c>
      <c r="D59" s="91">
        <v>528754</v>
      </c>
      <c r="E59" s="91">
        <v>569823</v>
      </c>
      <c r="F59" s="91">
        <v>551034</v>
      </c>
      <c r="G59" s="91">
        <v>538165</v>
      </c>
      <c r="H59" s="91">
        <v>568131.17041880696</v>
      </c>
      <c r="I59" s="91">
        <v>671095</v>
      </c>
      <c r="J59" s="137">
        <v>150246</v>
      </c>
      <c r="K59" s="137">
        <v>179705</v>
      </c>
      <c r="L59" s="137">
        <v>161808</v>
      </c>
      <c r="M59" s="140">
        <f t="shared" si="3"/>
        <v>0.12786405672521414</v>
      </c>
      <c r="N59" s="137">
        <v>196119</v>
      </c>
      <c r="O59" s="140">
        <f t="shared" si="4"/>
        <v>0.14309782243871688</v>
      </c>
      <c r="P59" s="130">
        <f>+(N59-L59)/L59</f>
        <v>0.21204761198457431</v>
      </c>
      <c r="Q59" s="178">
        <v>312054</v>
      </c>
      <c r="R59" s="192">
        <f t="shared" si="5"/>
        <v>0.12467124647674904</v>
      </c>
      <c r="S59" s="178">
        <v>375824</v>
      </c>
      <c r="T59" s="192">
        <f t="shared" si="6"/>
        <v>0.14385189177271782</v>
      </c>
      <c r="U59" s="193">
        <f>+(S59-Q59)/Q59</f>
        <v>0.20435565639280381</v>
      </c>
    </row>
    <row r="60" spans="1:21" s="85" customFormat="1" x14ac:dyDescent="0.3">
      <c r="A60" s="81"/>
      <c r="B60" s="81"/>
      <c r="C60" s="81"/>
      <c r="D60" s="81"/>
      <c r="E60" s="81"/>
      <c r="F60" s="81"/>
      <c r="G60" s="81"/>
      <c r="H60" s="81"/>
      <c r="I60" s="82"/>
      <c r="J60" s="82"/>
      <c r="K60" s="82"/>
      <c r="L60" s="112"/>
      <c r="M60" s="82"/>
      <c r="N60" s="101"/>
      <c r="O60" s="101"/>
    </row>
    <row r="61" spans="1:21" s="85" customFormat="1" x14ac:dyDescent="0.3">
      <c r="A61" s="85" t="s">
        <v>53</v>
      </c>
      <c r="H61" s="112"/>
      <c r="I61" s="112"/>
      <c r="J61" s="112"/>
      <c r="K61" s="112"/>
      <c r="L61" s="112"/>
      <c r="M61" s="82"/>
      <c r="N61" s="101"/>
      <c r="O61" s="101"/>
    </row>
    <row r="62" spans="1:21" s="85" customFormat="1" x14ac:dyDescent="0.3">
      <c r="H62" s="81"/>
      <c r="I62" s="81"/>
      <c r="J62" s="81"/>
      <c r="K62" s="81"/>
      <c r="L62" s="112"/>
      <c r="M62" s="82"/>
      <c r="N62" s="101"/>
      <c r="O62" s="101"/>
    </row>
    <row r="63" spans="1:21" s="85" customFormat="1" x14ac:dyDescent="0.3">
      <c r="H63" s="81"/>
      <c r="I63" s="81"/>
      <c r="J63" s="81"/>
      <c r="K63" s="81"/>
      <c r="L63" s="82"/>
      <c r="M63" s="82"/>
      <c r="N63" s="101"/>
      <c r="O63" s="101"/>
    </row>
    <row r="64" spans="1:21" s="85" customFormat="1" x14ac:dyDescent="0.3">
      <c r="H64" s="81"/>
      <c r="I64" s="81"/>
      <c r="J64" s="81"/>
      <c r="K64" s="81"/>
      <c r="L64" s="89"/>
      <c r="M64" s="82"/>
      <c r="N64" s="101"/>
      <c r="O64" s="101"/>
      <c r="P64" s="194"/>
    </row>
    <row r="65" spans="13:13" x14ac:dyDescent="0.3">
      <c r="M65" s="77"/>
    </row>
    <row r="82" spans="13:13" x14ac:dyDescent="0.3">
      <c r="M82" s="77"/>
    </row>
  </sheetData>
  <pageMargins left="0.7" right="0.7" top="0.75" bottom="0.75" header="0.3" footer="0.3"/>
  <customProperties>
    <customPr name="_pios_id" r:id="rId1"/>
  </customPropertie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8"/>
  <sheetViews>
    <sheetView workbookViewId="0">
      <pane xSplit="1" ySplit="10" topLeftCell="H35" activePane="bottomRight" state="frozen"/>
      <selection pane="topRight" activeCell="B1" sqref="B1"/>
      <selection pane="bottomLeft" activeCell="A11" sqref="A11"/>
      <selection pane="bottomRight" activeCell="N38" sqref="N38"/>
    </sheetView>
  </sheetViews>
  <sheetFormatPr baseColWidth="10" defaultColWidth="11.42578125" defaultRowHeight="15" x14ac:dyDescent="0.3"/>
  <cols>
    <col min="1" max="1" width="43.7109375" style="73" customWidth="1"/>
    <col min="2" max="2" width="14.42578125" style="73" customWidth="1"/>
    <col min="3" max="7" width="11.42578125" style="73" bestFit="1" customWidth="1"/>
    <col min="8" max="8" width="13" style="74" bestFit="1" customWidth="1"/>
    <col min="9" max="9" width="12.7109375" style="74" bestFit="1" customWidth="1"/>
    <col min="10" max="11" width="12.7109375" style="74" customWidth="1"/>
    <col min="12" max="12" width="13.42578125" style="75" bestFit="1" customWidth="1"/>
    <col min="13" max="14" width="11.42578125" style="73"/>
    <col min="15" max="15" width="14.28515625" style="73" bestFit="1" customWidth="1"/>
    <col min="16" max="16384" width="11.42578125" style="73"/>
  </cols>
  <sheetData>
    <row r="1" spans="1:21" x14ac:dyDescent="0.3">
      <c r="M1" s="75"/>
      <c r="N1" s="75"/>
      <c r="O1" s="75"/>
      <c r="P1" s="76"/>
      <c r="Q1" s="76"/>
    </row>
    <row r="2" spans="1:21" x14ac:dyDescent="0.3">
      <c r="M2" s="75"/>
      <c r="N2" s="75"/>
      <c r="O2" s="75"/>
      <c r="P2" s="76"/>
      <c r="Q2" s="76"/>
    </row>
    <row r="3" spans="1:21" x14ac:dyDescent="0.3">
      <c r="M3" s="75"/>
      <c r="N3" s="75"/>
      <c r="O3" s="75"/>
      <c r="P3" s="76"/>
      <c r="Q3" s="76"/>
    </row>
    <row r="4" spans="1:21" x14ac:dyDescent="0.3">
      <c r="M4" s="75"/>
      <c r="N4" s="75"/>
      <c r="O4" s="75"/>
      <c r="P4" s="76"/>
      <c r="Q4" s="76"/>
    </row>
    <row r="5" spans="1:21" x14ac:dyDescent="0.3">
      <c r="M5" s="75"/>
      <c r="N5" s="75"/>
      <c r="O5" s="75"/>
      <c r="P5" s="76"/>
      <c r="Q5" s="76"/>
    </row>
    <row r="6" spans="1:21" ht="21" x14ac:dyDescent="0.35">
      <c r="A6" s="116" t="s">
        <v>90</v>
      </c>
      <c r="B6" s="116"/>
      <c r="C6" s="116"/>
      <c r="D6" s="116"/>
      <c r="E6" s="116"/>
      <c r="F6" s="116"/>
      <c r="G6" s="116"/>
      <c r="M6" s="75"/>
      <c r="N6" s="75"/>
      <c r="O6" s="75"/>
      <c r="P6" s="76"/>
      <c r="Q6" s="76"/>
    </row>
    <row r="7" spans="1:21" ht="15.75" x14ac:dyDescent="0.3">
      <c r="A7" s="78" t="s">
        <v>114</v>
      </c>
      <c r="B7" s="78"/>
      <c r="C7" s="78"/>
      <c r="D7" s="78"/>
      <c r="E7" s="78"/>
      <c r="F7" s="78"/>
      <c r="G7" s="78"/>
      <c r="M7" s="75"/>
      <c r="N7" s="75"/>
      <c r="O7" s="75"/>
      <c r="P7" s="76"/>
      <c r="Q7" s="76"/>
    </row>
    <row r="8" spans="1:21" x14ac:dyDescent="0.3">
      <c r="A8" s="79" t="s">
        <v>88</v>
      </c>
      <c r="B8" s="79"/>
      <c r="C8" s="79"/>
      <c r="D8" s="79"/>
      <c r="E8" s="79"/>
      <c r="F8" s="79"/>
      <c r="G8" s="79"/>
      <c r="M8" s="75"/>
      <c r="N8" s="75"/>
      <c r="O8" s="75"/>
      <c r="P8" s="76"/>
      <c r="Q8" s="76"/>
    </row>
    <row r="9" spans="1:21" s="85" customFormat="1" x14ac:dyDescent="0.3">
      <c r="A9" s="80"/>
      <c r="B9" s="80"/>
      <c r="C9" s="80"/>
      <c r="D9" s="80"/>
      <c r="E9" s="80"/>
      <c r="F9" s="80"/>
      <c r="G9" s="80"/>
      <c r="H9" s="81"/>
      <c r="I9" s="81"/>
      <c r="J9" s="81"/>
      <c r="K9" s="81"/>
      <c r="L9" s="82"/>
      <c r="M9" s="82"/>
      <c r="N9" s="82"/>
      <c r="O9" s="82"/>
      <c r="P9" s="83"/>
      <c r="Q9" s="83"/>
      <c r="R9" s="84"/>
      <c r="S9" s="84"/>
      <c r="T9" s="84"/>
      <c r="U9" s="84"/>
    </row>
    <row r="10" spans="1:21" s="85" customFormat="1" ht="15.75" thickBot="1" x14ac:dyDescent="0.35">
      <c r="A10" s="104" t="s">
        <v>20</v>
      </c>
      <c r="B10" s="156">
        <v>2005</v>
      </c>
      <c r="C10" s="156">
        <v>2006</v>
      </c>
      <c r="D10" s="156">
        <v>2007</v>
      </c>
      <c r="E10" s="156">
        <v>2008</v>
      </c>
      <c r="F10" s="156">
        <v>2009</v>
      </c>
      <c r="G10" s="156">
        <v>2010</v>
      </c>
      <c r="H10" s="156">
        <v>2011</v>
      </c>
      <c r="I10" s="156">
        <v>2012</v>
      </c>
      <c r="J10" s="145">
        <v>2012</v>
      </c>
      <c r="K10" s="145">
        <v>2013</v>
      </c>
      <c r="L10" s="158" t="s">
        <v>46</v>
      </c>
    </row>
    <row r="11" spans="1:21" s="85" customFormat="1" x14ac:dyDescent="0.3">
      <c r="A11" s="88" t="s">
        <v>21</v>
      </c>
      <c r="B11" s="81">
        <v>5989</v>
      </c>
      <c r="C11" s="81">
        <v>915</v>
      </c>
      <c r="D11" s="81">
        <v>1835</v>
      </c>
      <c r="E11" s="81">
        <v>382</v>
      </c>
      <c r="F11" s="81">
        <v>191</v>
      </c>
      <c r="G11" s="81">
        <v>225</v>
      </c>
      <c r="H11" s="81">
        <v>94</v>
      </c>
      <c r="I11" s="81">
        <v>75</v>
      </c>
      <c r="J11" s="135">
        <v>165</v>
      </c>
      <c r="K11" s="135">
        <v>186</v>
      </c>
      <c r="L11" s="129">
        <f t="shared" ref="L11:L17" si="0">IF(J11&lt;&gt;0,(K11-J11)/J11,0)</f>
        <v>0.12727272727272726</v>
      </c>
    </row>
    <row r="12" spans="1:21" s="85" customFormat="1" x14ac:dyDescent="0.3">
      <c r="A12" s="88" t="s">
        <v>22</v>
      </c>
      <c r="B12" s="81">
        <v>2353634</v>
      </c>
      <c r="C12" s="81">
        <v>2658218</v>
      </c>
      <c r="D12" s="81">
        <v>2904738</v>
      </c>
      <c r="E12" s="81">
        <v>3041332</v>
      </c>
      <c r="F12" s="81">
        <v>3601952</v>
      </c>
      <c r="G12" s="81">
        <v>2716228</v>
      </c>
      <c r="H12" s="81">
        <v>3554895</v>
      </c>
      <c r="I12" s="81">
        <v>3748345</v>
      </c>
      <c r="J12" s="135">
        <v>3658770</v>
      </c>
      <c r="K12" s="135">
        <v>3944362</v>
      </c>
      <c r="L12" s="129">
        <f t="shared" si="0"/>
        <v>7.8056833307368317E-2</v>
      </c>
    </row>
    <row r="13" spans="1:21" s="89" customFormat="1" ht="14.25" customHeight="1" x14ac:dyDescent="0.3">
      <c r="A13" s="88" t="s">
        <v>23</v>
      </c>
      <c r="B13" s="81">
        <v>5093</v>
      </c>
      <c r="C13" s="81">
        <v>21107</v>
      </c>
      <c r="D13" s="81">
        <v>10187</v>
      </c>
      <c r="E13" s="81">
        <v>24218</v>
      </c>
      <c r="F13" s="81">
        <v>43410</v>
      </c>
      <c r="G13" s="81">
        <v>90361</v>
      </c>
      <c r="H13" s="81">
        <v>10662</v>
      </c>
      <c r="I13" s="81">
        <v>14922</v>
      </c>
      <c r="J13" s="135">
        <v>25595</v>
      </c>
      <c r="K13" s="135">
        <v>27401</v>
      </c>
      <c r="L13" s="129">
        <f t="shared" si="0"/>
        <v>7.056065637819886E-2</v>
      </c>
      <c r="S13" s="85"/>
      <c r="T13" s="85"/>
      <c r="U13" s="85"/>
    </row>
    <row r="14" spans="1:21" s="89" customFormat="1" x14ac:dyDescent="0.3">
      <c r="A14" s="88" t="s">
        <v>37</v>
      </c>
      <c r="B14" s="81"/>
      <c r="C14" s="81"/>
      <c r="D14" s="81">
        <v>0</v>
      </c>
      <c r="E14" s="81">
        <v>50</v>
      </c>
      <c r="F14" s="81"/>
      <c r="G14" s="81"/>
      <c r="H14" s="81">
        <v>0</v>
      </c>
      <c r="I14" s="81">
        <v>0</v>
      </c>
      <c r="J14" s="135">
        <v>0</v>
      </c>
      <c r="K14" s="135">
        <v>0</v>
      </c>
      <c r="L14" s="129">
        <f t="shared" si="0"/>
        <v>0</v>
      </c>
      <c r="S14" s="85"/>
      <c r="T14" s="85"/>
      <c r="U14" s="85"/>
    </row>
    <row r="15" spans="1:21" s="89" customFormat="1" x14ac:dyDescent="0.3">
      <c r="A15" s="88" t="s">
        <v>110</v>
      </c>
      <c r="B15" s="81">
        <v>23371</v>
      </c>
      <c r="C15" s="81">
        <v>1095</v>
      </c>
      <c r="D15" s="81">
        <v>209</v>
      </c>
      <c r="E15" s="81">
        <v>209</v>
      </c>
      <c r="F15" s="81">
        <v>209</v>
      </c>
      <c r="G15" s="81">
        <v>155</v>
      </c>
      <c r="H15" s="81">
        <f>503+155</f>
        <v>658</v>
      </c>
      <c r="I15" s="81">
        <v>118</v>
      </c>
      <c r="J15" s="135">
        <v>583</v>
      </c>
      <c r="K15" s="135">
        <v>4751</v>
      </c>
      <c r="L15" s="129">
        <f t="shared" si="0"/>
        <v>7.1492281303602061</v>
      </c>
      <c r="S15" s="85"/>
      <c r="T15" s="85"/>
      <c r="U15" s="85"/>
    </row>
    <row r="16" spans="1:21" s="89" customFormat="1" x14ac:dyDescent="0.3">
      <c r="A16" s="88" t="s">
        <v>26</v>
      </c>
      <c r="B16" s="81">
        <v>1356015</v>
      </c>
      <c r="C16" s="81">
        <v>1347305</v>
      </c>
      <c r="D16" s="81">
        <v>1324771</v>
      </c>
      <c r="E16" s="81">
        <v>891321</v>
      </c>
      <c r="F16" s="81">
        <v>1869198</v>
      </c>
      <c r="G16" s="81">
        <v>3596772</v>
      </c>
      <c r="H16" s="81">
        <v>2979150</v>
      </c>
      <c r="I16" s="81">
        <v>3733696</v>
      </c>
      <c r="J16" s="135">
        <v>3185128</v>
      </c>
      <c r="K16" s="135">
        <v>3866241</v>
      </c>
      <c r="L16" s="129">
        <f t="shared" si="0"/>
        <v>0.21384164152900606</v>
      </c>
      <c r="S16" s="85"/>
      <c r="T16" s="85"/>
      <c r="U16" s="85"/>
    </row>
    <row r="17" spans="1:21" s="89" customFormat="1" ht="15.75" thickBot="1" x14ac:dyDescent="0.35">
      <c r="A17" s="90" t="s">
        <v>27</v>
      </c>
      <c r="B17" s="91">
        <f t="shared" ref="B17:K17" si="1">SUM(B11:B16)</f>
        <v>3744102</v>
      </c>
      <c r="C17" s="91">
        <f t="shared" si="1"/>
        <v>4028640</v>
      </c>
      <c r="D17" s="91">
        <f t="shared" si="1"/>
        <v>4241740</v>
      </c>
      <c r="E17" s="91">
        <f t="shared" si="1"/>
        <v>3957512</v>
      </c>
      <c r="F17" s="91">
        <f t="shared" si="1"/>
        <v>5514960</v>
      </c>
      <c r="G17" s="91">
        <f t="shared" si="1"/>
        <v>6403741</v>
      </c>
      <c r="H17" s="91">
        <f t="shared" si="1"/>
        <v>6545459</v>
      </c>
      <c r="I17" s="91">
        <f t="shared" si="1"/>
        <v>7497156</v>
      </c>
      <c r="J17" s="137">
        <f t="shared" si="1"/>
        <v>6870241</v>
      </c>
      <c r="K17" s="137">
        <f t="shared" si="1"/>
        <v>7842941</v>
      </c>
      <c r="L17" s="159">
        <f t="shared" si="0"/>
        <v>0.14158164175026758</v>
      </c>
      <c r="S17" s="85"/>
      <c r="T17" s="85"/>
      <c r="U17" s="85"/>
    </row>
    <row r="18" spans="1:21" s="85" customFormat="1" x14ac:dyDescent="0.3">
      <c r="B18" s="81"/>
      <c r="C18" s="81"/>
      <c r="D18" s="81"/>
      <c r="E18" s="81"/>
      <c r="F18" s="81"/>
      <c r="G18" s="81"/>
      <c r="H18" s="81"/>
      <c r="I18" s="81"/>
      <c r="J18" s="135"/>
      <c r="K18" s="135"/>
      <c r="L18" s="129"/>
    </row>
    <row r="19" spans="1:21" s="89" customFormat="1" x14ac:dyDescent="0.3">
      <c r="A19" s="104" t="s">
        <v>48</v>
      </c>
      <c r="B19" s="86"/>
      <c r="C19" s="86"/>
      <c r="D19" s="86"/>
      <c r="E19" s="86"/>
      <c r="F19" s="86"/>
      <c r="G19" s="86"/>
      <c r="H19" s="86">
        <v>2011</v>
      </c>
      <c r="I19" s="86">
        <v>2012</v>
      </c>
      <c r="J19" s="161">
        <v>2012</v>
      </c>
      <c r="K19" s="161">
        <v>2013</v>
      </c>
      <c r="L19" s="162" t="s">
        <v>46</v>
      </c>
      <c r="S19" s="85"/>
      <c r="T19" s="85"/>
      <c r="U19" s="85"/>
    </row>
    <row r="20" spans="1:21" s="89" customFormat="1" x14ac:dyDescent="0.3">
      <c r="A20" s="88" t="s">
        <v>28</v>
      </c>
      <c r="B20" s="81"/>
      <c r="C20" s="81"/>
      <c r="D20" s="81">
        <v>7000</v>
      </c>
      <c r="E20" s="81">
        <v>7000</v>
      </c>
      <c r="F20" s="81">
        <v>0</v>
      </c>
      <c r="G20" s="81">
        <v>445</v>
      </c>
      <c r="H20" s="81">
        <v>0</v>
      </c>
      <c r="I20" s="81">
        <v>7</v>
      </c>
      <c r="J20" s="135">
        <v>0</v>
      </c>
      <c r="K20" s="135">
        <v>0</v>
      </c>
      <c r="L20" s="129">
        <f t="shared" ref="L20:L28" si="2">IF(J20&lt;&gt;0,(K20-J20)/J20,0)</f>
        <v>0</v>
      </c>
      <c r="S20" s="85"/>
      <c r="T20" s="85"/>
      <c r="U20" s="85"/>
    </row>
    <row r="21" spans="1:21" s="89" customFormat="1" x14ac:dyDescent="0.3">
      <c r="A21" s="88" t="s">
        <v>29</v>
      </c>
      <c r="B21" s="81">
        <v>37598</v>
      </c>
      <c r="C21" s="81">
        <v>60127</v>
      </c>
      <c r="D21" s="81">
        <v>62571</v>
      </c>
      <c r="E21" s="81">
        <v>71267</v>
      </c>
      <c r="F21" s="81">
        <v>111498</v>
      </c>
      <c r="G21" s="81">
        <v>70420</v>
      </c>
      <c r="H21" s="81">
        <v>59466</v>
      </c>
      <c r="I21" s="81">
        <v>65082</v>
      </c>
      <c r="J21" s="135">
        <v>108672</v>
      </c>
      <c r="K21" s="135">
        <v>119625</v>
      </c>
      <c r="L21" s="129">
        <f t="shared" si="2"/>
        <v>0.10078953180212014</v>
      </c>
      <c r="S21" s="85"/>
      <c r="T21" s="85"/>
      <c r="U21" s="85"/>
    </row>
    <row r="22" spans="1:21" s="85" customFormat="1" x14ac:dyDescent="0.3">
      <c r="A22" s="88" t="s">
        <v>30</v>
      </c>
      <c r="B22" s="81">
        <v>3128</v>
      </c>
      <c r="C22" s="81">
        <v>98</v>
      </c>
      <c r="D22" s="81">
        <v>645</v>
      </c>
      <c r="E22" s="81">
        <v>1762</v>
      </c>
      <c r="F22" s="81">
        <v>430</v>
      </c>
      <c r="G22" s="81">
        <v>604</v>
      </c>
      <c r="H22" s="81">
        <v>585</v>
      </c>
      <c r="I22" s="81">
        <v>657</v>
      </c>
      <c r="J22" s="135">
        <v>1472</v>
      </c>
      <c r="K22" s="135">
        <v>1901</v>
      </c>
      <c r="L22" s="129">
        <f t="shared" si="2"/>
        <v>0.29144021739130432</v>
      </c>
    </row>
    <row r="23" spans="1:21" s="85" customFormat="1" x14ac:dyDescent="0.3">
      <c r="A23" s="88" t="s">
        <v>31</v>
      </c>
      <c r="B23" s="81">
        <v>247</v>
      </c>
      <c r="C23" s="81">
        <v>501</v>
      </c>
      <c r="D23" s="81">
        <v>686</v>
      </c>
      <c r="E23" s="81">
        <v>940</v>
      </c>
      <c r="F23" s="81">
        <v>650</v>
      </c>
      <c r="G23" s="81">
        <v>947</v>
      </c>
      <c r="H23" s="81">
        <v>872</v>
      </c>
      <c r="I23" s="81">
        <v>481</v>
      </c>
      <c r="J23" s="135">
        <v>182</v>
      </c>
      <c r="K23" s="135">
        <v>112</v>
      </c>
      <c r="L23" s="129">
        <f t="shared" si="2"/>
        <v>-0.38461538461538464</v>
      </c>
    </row>
    <row r="24" spans="1:21" s="85" customFormat="1" x14ac:dyDescent="0.3">
      <c r="A24" s="88" t="s">
        <v>32</v>
      </c>
      <c r="B24" s="81"/>
      <c r="C24" s="81"/>
      <c r="D24" s="81"/>
      <c r="E24" s="81"/>
      <c r="F24" s="81"/>
      <c r="G24" s="81"/>
      <c r="H24" s="81">
        <v>0</v>
      </c>
      <c r="I24" s="81">
        <v>0</v>
      </c>
      <c r="J24" s="135">
        <v>742</v>
      </c>
      <c r="K24" s="135">
        <v>2369</v>
      </c>
      <c r="L24" s="129">
        <f t="shared" si="2"/>
        <v>2.1927223719676552</v>
      </c>
    </row>
    <row r="25" spans="1:21" s="85" customFormat="1" x14ac:dyDescent="0.3">
      <c r="A25" s="88" t="s">
        <v>87</v>
      </c>
      <c r="B25" s="81">
        <v>2356</v>
      </c>
      <c r="C25" s="81">
        <v>2509</v>
      </c>
      <c r="D25" s="81">
        <v>2679</v>
      </c>
      <c r="E25" s="81">
        <v>2934</v>
      </c>
      <c r="F25" s="81">
        <v>3179</v>
      </c>
      <c r="G25" s="81">
        <v>7650</v>
      </c>
      <c r="H25" s="81">
        <v>8296</v>
      </c>
      <c r="I25" s="81">
        <v>8803</v>
      </c>
      <c r="J25" s="135">
        <v>17654</v>
      </c>
      <c r="K25" s="135">
        <v>19244</v>
      </c>
      <c r="L25" s="129">
        <f t="shared" si="2"/>
        <v>9.0064574600657074E-2</v>
      </c>
    </row>
    <row r="26" spans="1:21" s="95" customFormat="1" x14ac:dyDescent="0.3">
      <c r="A26" s="93" t="s">
        <v>33</v>
      </c>
      <c r="B26" s="80">
        <f t="shared" ref="B26:G26" si="3">SUM(B20:B25)</f>
        <v>43329</v>
      </c>
      <c r="C26" s="80">
        <f t="shared" si="3"/>
        <v>63235</v>
      </c>
      <c r="D26" s="80">
        <f t="shared" si="3"/>
        <v>73581</v>
      </c>
      <c r="E26" s="80">
        <f t="shared" si="3"/>
        <v>83903</v>
      </c>
      <c r="F26" s="80">
        <f t="shared" si="3"/>
        <v>115757</v>
      </c>
      <c r="G26" s="80">
        <f t="shared" si="3"/>
        <v>80066</v>
      </c>
      <c r="H26" s="80">
        <f>SUM(H20:H25)</f>
        <v>69219</v>
      </c>
      <c r="I26" s="80">
        <f>SUM(I20:I25)</f>
        <v>75030</v>
      </c>
      <c r="J26" s="134">
        <f>SUM(J20:J25)</f>
        <v>128722</v>
      </c>
      <c r="K26" s="134">
        <f>SUM(K20:K25)</f>
        <v>143251</v>
      </c>
      <c r="L26" s="138">
        <f t="shared" si="2"/>
        <v>0.11287114867699383</v>
      </c>
      <c r="S26" s="85"/>
      <c r="T26" s="85"/>
      <c r="U26" s="85"/>
    </row>
    <row r="27" spans="1:21" s="95" customFormat="1" x14ac:dyDescent="0.3">
      <c r="A27" s="96" t="s">
        <v>34</v>
      </c>
      <c r="B27" s="97">
        <v>3700773</v>
      </c>
      <c r="C27" s="97">
        <v>3965405</v>
      </c>
      <c r="D27" s="97">
        <v>4168159</v>
      </c>
      <c r="E27" s="97">
        <v>3873609</v>
      </c>
      <c r="F27" s="97">
        <v>5399203</v>
      </c>
      <c r="G27" s="97">
        <v>6323675</v>
      </c>
      <c r="H27" s="97">
        <v>6476240</v>
      </c>
      <c r="I27" s="97">
        <v>7422126</v>
      </c>
      <c r="J27" s="163">
        <v>6741519</v>
      </c>
      <c r="K27" s="163">
        <v>7699690</v>
      </c>
      <c r="L27" s="131">
        <f t="shared" si="2"/>
        <v>0.14212983750398092</v>
      </c>
      <c r="S27" s="85"/>
      <c r="T27" s="85"/>
      <c r="U27" s="85"/>
    </row>
    <row r="28" spans="1:21" s="95" customFormat="1" ht="15.75" thickBot="1" x14ac:dyDescent="0.35">
      <c r="A28" s="90" t="s">
        <v>35</v>
      </c>
      <c r="B28" s="91">
        <f t="shared" ref="B28:G28" si="4">+B26+B27</f>
        <v>3744102</v>
      </c>
      <c r="C28" s="91">
        <f t="shared" si="4"/>
        <v>4028640</v>
      </c>
      <c r="D28" s="91">
        <f t="shared" si="4"/>
        <v>4241740</v>
      </c>
      <c r="E28" s="91">
        <f t="shared" si="4"/>
        <v>3957512</v>
      </c>
      <c r="F28" s="91">
        <f t="shared" si="4"/>
        <v>5514960</v>
      </c>
      <c r="G28" s="91">
        <f t="shared" si="4"/>
        <v>6403741</v>
      </c>
      <c r="H28" s="91">
        <f>+H26+H27</f>
        <v>6545459</v>
      </c>
      <c r="I28" s="91">
        <f>+I26+I27</f>
        <v>7497156</v>
      </c>
      <c r="J28" s="137">
        <f>+J26+J27</f>
        <v>6870241</v>
      </c>
      <c r="K28" s="137">
        <f>+K26+K27</f>
        <v>7842941</v>
      </c>
      <c r="L28" s="130">
        <f t="shared" si="2"/>
        <v>0.14158164175026758</v>
      </c>
      <c r="S28" s="85"/>
      <c r="T28" s="85"/>
      <c r="U28" s="85"/>
    </row>
    <row r="29" spans="1:21" s="85" customFormat="1" x14ac:dyDescent="0.3">
      <c r="A29" s="88" t="s">
        <v>54</v>
      </c>
      <c r="B29" s="81">
        <v>435123458</v>
      </c>
      <c r="C29" s="81">
        <v>435123458</v>
      </c>
      <c r="D29" s="81">
        <v>435123458</v>
      </c>
      <c r="E29" s="81">
        <v>435123458</v>
      </c>
      <c r="F29" s="81">
        <v>435123458</v>
      </c>
      <c r="G29" s="81">
        <v>435123458</v>
      </c>
      <c r="H29" s="81">
        <f>435123458+25000000</f>
        <v>460123458</v>
      </c>
      <c r="I29" s="81">
        <f>435123458+25000000</f>
        <v>460123458</v>
      </c>
      <c r="J29" s="135">
        <f>435123458+25000000</f>
        <v>460123458</v>
      </c>
      <c r="K29" s="135">
        <f>435123458+25000000</f>
        <v>460123458</v>
      </c>
      <c r="L29" s="129"/>
    </row>
    <row r="30" spans="1:21" s="85" customFormat="1" x14ac:dyDescent="0.3">
      <c r="A30" s="88" t="s">
        <v>71</v>
      </c>
      <c r="B30" s="100">
        <f t="shared" ref="B30:K30" si="5">+B27/+(B29/1000000)</f>
        <v>8505.1102898708796</v>
      </c>
      <c r="C30" s="100">
        <f t="shared" si="5"/>
        <v>9113.2871075868297</v>
      </c>
      <c r="D30" s="100">
        <f t="shared" si="5"/>
        <v>9579.2560096817397</v>
      </c>
      <c r="E30" s="100">
        <f t="shared" si="5"/>
        <v>8902.3216946395933</v>
      </c>
      <c r="F30" s="100">
        <f t="shared" si="5"/>
        <v>12408.439261851976</v>
      </c>
      <c r="G30" s="100">
        <f t="shared" si="5"/>
        <v>14533.059258781675</v>
      </c>
      <c r="H30" s="100">
        <f t="shared" si="5"/>
        <v>14075.005060924323</v>
      </c>
      <c r="I30" s="100">
        <f t="shared" si="5"/>
        <v>16130.727244947375</v>
      </c>
      <c r="J30" s="165">
        <f t="shared" si="5"/>
        <v>14651.5438037067</v>
      </c>
      <c r="K30" s="165">
        <f t="shared" si="5"/>
        <v>16733.965343709991</v>
      </c>
      <c r="L30" s="129"/>
    </row>
    <row r="31" spans="1:21" s="85" customFormat="1" x14ac:dyDescent="0.3">
      <c r="A31" s="115"/>
      <c r="B31" s="115"/>
      <c r="C31" s="115"/>
      <c r="D31" s="115"/>
      <c r="E31" s="115"/>
      <c r="F31" s="81"/>
      <c r="G31" s="115"/>
      <c r="H31" s="100"/>
      <c r="I31" s="100"/>
      <c r="J31" s="100"/>
      <c r="K31" s="100"/>
      <c r="L31" s="82"/>
      <c r="P31" s="107"/>
    </row>
    <row r="32" spans="1:21" s="85" customFormat="1" x14ac:dyDescent="0.3">
      <c r="A32" s="115"/>
      <c r="B32" s="115"/>
      <c r="C32" s="115"/>
      <c r="D32" s="115"/>
      <c r="E32" s="115"/>
      <c r="F32" s="100"/>
      <c r="G32" s="115"/>
      <c r="H32" s="100"/>
      <c r="I32" s="100"/>
      <c r="J32" s="100"/>
      <c r="K32" s="100"/>
      <c r="L32" s="82"/>
      <c r="P32" s="107"/>
    </row>
    <row r="33" spans="1:19" ht="21" x14ac:dyDescent="0.35">
      <c r="A33" s="116" t="s">
        <v>92</v>
      </c>
      <c r="B33" s="116"/>
      <c r="C33" s="116"/>
      <c r="D33" s="116"/>
      <c r="E33" s="116"/>
      <c r="F33" s="116"/>
      <c r="G33" s="116"/>
      <c r="M33" s="75"/>
      <c r="N33" s="75"/>
      <c r="O33" s="75"/>
      <c r="P33" s="109"/>
      <c r="Q33" s="76"/>
    </row>
    <row r="34" spans="1:19" ht="15.75" x14ac:dyDescent="0.3">
      <c r="A34" s="78" t="s">
        <v>117</v>
      </c>
      <c r="B34" s="78"/>
      <c r="C34" s="78"/>
      <c r="D34" s="78"/>
      <c r="E34" s="78"/>
      <c r="F34" s="78"/>
      <c r="G34" s="78"/>
      <c r="M34" s="75"/>
      <c r="N34" s="75"/>
      <c r="O34" s="75"/>
      <c r="P34" s="109"/>
      <c r="Q34" s="76"/>
    </row>
    <row r="35" spans="1:19" x14ac:dyDescent="0.3">
      <c r="A35" s="79" t="s">
        <v>88</v>
      </c>
      <c r="B35" s="79"/>
      <c r="C35" s="79"/>
      <c r="D35" s="79"/>
      <c r="E35" s="79"/>
      <c r="F35" s="79"/>
      <c r="G35" s="79"/>
      <c r="M35" s="75"/>
      <c r="N35" s="75"/>
      <c r="O35" s="75"/>
      <c r="P35" s="109"/>
      <c r="Q35" s="76"/>
    </row>
    <row r="36" spans="1:19" s="85" customFormat="1" x14ac:dyDescent="0.3">
      <c r="H36" s="81"/>
      <c r="I36" s="81"/>
      <c r="J36" s="81"/>
      <c r="K36" s="81"/>
      <c r="L36" s="82"/>
      <c r="P36" s="107"/>
    </row>
    <row r="37" spans="1:19" s="85" customFormat="1" ht="15.75" thickBot="1" x14ac:dyDescent="0.35">
      <c r="B37" s="156">
        <v>2005</v>
      </c>
      <c r="C37" s="156">
        <v>2006</v>
      </c>
      <c r="D37" s="156">
        <v>2007</v>
      </c>
      <c r="E37" s="156">
        <v>2008</v>
      </c>
      <c r="F37" s="156">
        <v>2009</v>
      </c>
      <c r="G37" s="156">
        <v>2010</v>
      </c>
      <c r="H37" s="156">
        <v>2011</v>
      </c>
      <c r="I37" s="156">
        <v>2012</v>
      </c>
      <c r="J37" s="145" t="s">
        <v>96</v>
      </c>
      <c r="K37" s="145" t="s">
        <v>95</v>
      </c>
      <c r="L37" s="145" t="s">
        <v>99</v>
      </c>
      <c r="M37" s="145" t="s">
        <v>100</v>
      </c>
      <c r="N37" s="145" t="s">
        <v>111</v>
      </c>
      <c r="O37" s="145" t="s">
        <v>112</v>
      </c>
      <c r="P37" s="167" t="s">
        <v>46</v>
      </c>
      <c r="Q37" s="176" t="s">
        <v>106</v>
      </c>
      <c r="R37" s="176" t="s">
        <v>107</v>
      </c>
      <c r="S37" s="167" t="s">
        <v>46</v>
      </c>
    </row>
    <row r="38" spans="1:19" s="95" customFormat="1" x14ac:dyDescent="0.3">
      <c r="A38" s="85" t="s">
        <v>72</v>
      </c>
      <c r="B38" s="80">
        <v>158869</v>
      </c>
      <c r="C38" s="80">
        <v>163042</v>
      </c>
      <c r="D38" s="80">
        <v>231987</v>
      </c>
      <c r="E38" s="80">
        <v>268897</v>
      </c>
      <c r="F38" s="80">
        <v>212895</v>
      </c>
      <c r="G38" s="80">
        <v>239836</v>
      </c>
      <c r="H38" s="80">
        <v>223644</v>
      </c>
      <c r="I38" s="80">
        <v>312990</v>
      </c>
      <c r="J38" s="134">
        <v>55583</v>
      </c>
      <c r="K38" s="134">
        <v>77093</v>
      </c>
      <c r="L38" s="134">
        <f>130102-J38</f>
        <v>74519</v>
      </c>
      <c r="M38" s="134">
        <f>165449-K38</f>
        <v>88356</v>
      </c>
      <c r="N38" s="134">
        <f t="shared" ref="N38:O41" si="6">+Q38-J38-L38</f>
        <v>88047</v>
      </c>
      <c r="O38" s="134">
        <f t="shared" si="6"/>
        <v>91080</v>
      </c>
      <c r="P38" s="129">
        <f t="shared" ref="P38:P49" si="7">IF(N38&lt;&gt;0,(O38-N38)/N38,0)</f>
        <v>3.4447510988449351E-2</v>
      </c>
      <c r="Q38" s="180">
        <v>218149</v>
      </c>
      <c r="R38" s="180">
        <v>256529</v>
      </c>
      <c r="S38" s="129">
        <f t="shared" ref="S38:S49" si="8">IF(Q38&lt;&gt;0,(R38-Q38)/Q38,0)</f>
        <v>0.17593479685902755</v>
      </c>
    </row>
    <row r="39" spans="1:19" s="85" customFormat="1" x14ac:dyDescent="0.3">
      <c r="A39" s="85" t="s">
        <v>105</v>
      </c>
      <c r="B39" s="81">
        <v>17762</v>
      </c>
      <c r="C39" s="81">
        <v>56828</v>
      </c>
      <c r="D39" s="81">
        <v>2685</v>
      </c>
      <c r="E39" s="81">
        <v>2704</v>
      </c>
      <c r="F39" s="81">
        <v>0</v>
      </c>
      <c r="G39" s="81">
        <v>1579</v>
      </c>
      <c r="H39" s="81">
        <v>11024</v>
      </c>
      <c r="I39" s="81">
        <v>0</v>
      </c>
      <c r="J39" s="135">
        <v>0</v>
      </c>
      <c r="K39" s="135">
        <v>0</v>
      </c>
      <c r="L39" s="135">
        <v>0</v>
      </c>
      <c r="M39" s="135">
        <v>-176</v>
      </c>
      <c r="N39" s="134">
        <f t="shared" si="6"/>
        <v>0</v>
      </c>
      <c r="O39" s="134">
        <f t="shared" si="6"/>
        <v>0</v>
      </c>
      <c r="P39" s="129">
        <f t="shared" si="7"/>
        <v>0</v>
      </c>
      <c r="Q39" s="177">
        <v>0</v>
      </c>
      <c r="R39" s="177">
        <v>-176</v>
      </c>
      <c r="S39" s="129">
        <f t="shared" si="8"/>
        <v>0</v>
      </c>
    </row>
    <row r="40" spans="1:19" s="95" customFormat="1" x14ac:dyDescent="0.3">
      <c r="A40" s="85" t="s">
        <v>57</v>
      </c>
      <c r="B40" s="81">
        <v>11795</v>
      </c>
      <c r="C40" s="81">
        <v>16684</v>
      </c>
      <c r="D40" s="81">
        <v>11678</v>
      </c>
      <c r="E40" s="81">
        <v>14746</v>
      </c>
      <c r="F40" s="81">
        <v>12979</v>
      </c>
      <c r="G40" s="81">
        <v>30953</v>
      </c>
      <c r="H40" s="81">
        <v>33432</v>
      </c>
      <c r="I40" s="81">
        <v>35105</v>
      </c>
      <c r="J40" s="135">
        <v>8296</v>
      </c>
      <c r="K40" s="135">
        <v>8803</v>
      </c>
      <c r="L40" s="135">
        <f>17500-J40</f>
        <v>9204</v>
      </c>
      <c r="M40" s="135">
        <f>18664-K40</f>
        <v>9861</v>
      </c>
      <c r="N40" s="135">
        <f t="shared" si="6"/>
        <v>8803</v>
      </c>
      <c r="O40" s="135">
        <f t="shared" si="6"/>
        <v>11140</v>
      </c>
      <c r="P40" s="129">
        <f t="shared" si="7"/>
        <v>0.26547767806429629</v>
      </c>
      <c r="Q40" s="177">
        <v>26303</v>
      </c>
      <c r="R40" s="177">
        <v>29804</v>
      </c>
      <c r="S40" s="129">
        <f t="shared" si="8"/>
        <v>0.13310268790632249</v>
      </c>
    </row>
    <row r="41" spans="1:19" s="95" customFormat="1" x14ac:dyDescent="0.3">
      <c r="A41" s="85" t="s">
        <v>56</v>
      </c>
      <c r="B41" s="81">
        <v>2490</v>
      </c>
      <c r="C41" s="81">
        <v>7447</v>
      </c>
      <c r="D41" s="81">
        <v>5519</v>
      </c>
      <c r="E41" s="81">
        <v>13179</v>
      </c>
      <c r="F41" s="81">
        <v>10094</v>
      </c>
      <c r="G41" s="81">
        <v>13131</v>
      </c>
      <c r="H41" s="81">
        <v>7221</v>
      </c>
      <c r="I41" s="81">
        <v>8379</v>
      </c>
      <c r="J41" s="135">
        <v>2095</v>
      </c>
      <c r="K41" s="135">
        <v>2650</v>
      </c>
      <c r="L41" s="135">
        <f>4189-J41</f>
        <v>2094</v>
      </c>
      <c r="M41" s="135">
        <f>5570-K41</f>
        <v>2920</v>
      </c>
      <c r="N41" s="135">
        <f t="shared" si="6"/>
        <v>2094</v>
      </c>
      <c r="O41" s="135">
        <f t="shared" si="6"/>
        <v>3537</v>
      </c>
      <c r="P41" s="129">
        <f t="shared" si="7"/>
        <v>0.68911174785100282</v>
      </c>
      <c r="Q41" s="177">
        <v>6283</v>
      </c>
      <c r="R41" s="177">
        <v>9107</v>
      </c>
      <c r="S41" s="129">
        <f t="shared" si="8"/>
        <v>0.44946681521566129</v>
      </c>
    </row>
    <row r="42" spans="1:19" s="95" customFormat="1" x14ac:dyDescent="0.3">
      <c r="A42" s="95" t="s">
        <v>4</v>
      </c>
      <c r="B42" s="80">
        <f t="shared" ref="B42:G42" si="9">SUM(B38:B41)</f>
        <v>190916</v>
      </c>
      <c r="C42" s="80">
        <f t="shared" si="9"/>
        <v>244001</v>
      </c>
      <c r="D42" s="80">
        <f t="shared" si="9"/>
        <v>251869</v>
      </c>
      <c r="E42" s="80">
        <f t="shared" si="9"/>
        <v>299526</v>
      </c>
      <c r="F42" s="80">
        <f t="shared" si="9"/>
        <v>235968</v>
      </c>
      <c r="G42" s="80">
        <f t="shared" si="9"/>
        <v>285499</v>
      </c>
      <c r="H42" s="80">
        <f t="shared" ref="H42:O42" si="10">SUM(H38:H41)</f>
        <v>275321</v>
      </c>
      <c r="I42" s="80">
        <f t="shared" si="10"/>
        <v>356474</v>
      </c>
      <c r="J42" s="134">
        <f t="shared" si="10"/>
        <v>65974</v>
      </c>
      <c r="K42" s="134">
        <f t="shared" si="10"/>
        <v>88546</v>
      </c>
      <c r="L42" s="134">
        <f t="shared" si="10"/>
        <v>85817</v>
      </c>
      <c r="M42" s="134">
        <f t="shared" si="10"/>
        <v>100961</v>
      </c>
      <c r="N42" s="134">
        <f t="shared" si="10"/>
        <v>98944</v>
      </c>
      <c r="O42" s="134">
        <f t="shared" si="10"/>
        <v>105757</v>
      </c>
      <c r="P42" s="129">
        <f t="shared" si="7"/>
        <v>6.8857131306597666E-2</v>
      </c>
      <c r="Q42" s="180">
        <f>SUM(Q38:Q41)</f>
        <v>250735</v>
      </c>
      <c r="R42" s="180">
        <f>SUM(R38:R41)</f>
        <v>295264</v>
      </c>
      <c r="S42" s="129">
        <f t="shared" si="8"/>
        <v>0.17759387401040941</v>
      </c>
    </row>
    <row r="43" spans="1:19" s="85" customFormat="1" x14ac:dyDescent="0.3">
      <c r="A43" s="85" t="s">
        <v>58</v>
      </c>
      <c r="B43" s="81">
        <v>-22106</v>
      </c>
      <c r="C43" s="81">
        <v>-41421</v>
      </c>
      <c r="D43" s="81">
        <v>-7188</v>
      </c>
      <c r="E43" s="81">
        <v>-8773</v>
      </c>
      <c r="F43" s="81">
        <v>-8740</v>
      </c>
      <c r="G43" s="81">
        <v>-11563</v>
      </c>
      <c r="H43" s="81">
        <v>-9004</v>
      </c>
      <c r="I43" s="81">
        <v>-10090</v>
      </c>
      <c r="J43" s="135">
        <v>-8176</v>
      </c>
      <c r="K43" s="135">
        <f>-2393-5938</f>
        <v>-8331</v>
      </c>
      <c r="L43" s="135">
        <f>-4827.592907-J43</f>
        <v>3348.4070929999998</v>
      </c>
      <c r="M43" s="135">
        <f>-6685-K43</f>
        <v>1646</v>
      </c>
      <c r="N43" s="135">
        <f>+Q43-J43-L43</f>
        <v>-2647</v>
      </c>
      <c r="O43" s="135">
        <f>+R43-K43-M43</f>
        <v>-3043</v>
      </c>
      <c r="P43" s="129">
        <f t="shared" si="7"/>
        <v>0.14960332451832262</v>
      </c>
      <c r="Q43" s="177">
        <v>-7474.5929070000002</v>
      </c>
      <c r="R43" s="177">
        <v>-9728</v>
      </c>
      <c r="S43" s="129">
        <f t="shared" si="8"/>
        <v>0.30147556141681919</v>
      </c>
    </row>
    <row r="44" spans="1:19" s="95" customFormat="1" x14ac:dyDescent="0.3">
      <c r="A44" s="95" t="s">
        <v>42</v>
      </c>
      <c r="B44" s="80">
        <f t="shared" ref="B44:G44" si="11">SUM(B42:B43)</f>
        <v>168810</v>
      </c>
      <c r="C44" s="80">
        <f t="shared" si="11"/>
        <v>202580</v>
      </c>
      <c r="D44" s="80">
        <f t="shared" si="11"/>
        <v>244681</v>
      </c>
      <c r="E44" s="80">
        <f t="shared" si="11"/>
        <v>290753</v>
      </c>
      <c r="F44" s="80">
        <f t="shared" si="11"/>
        <v>227228</v>
      </c>
      <c r="G44" s="80">
        <f t="shared" si="11"/>
        <v>273936</v>
      </c>
      <c r="H44" s="80">
        <f t="shared" ref="H44:O44" si="12">SUM(H42:H43)</f>
        <v>266317</v>
      </c>
      <c r="I44" s="80">
        <f t="shared" si="12"/>
        <v>346384</v>
      </c>
      <c r="J44" s="134">
        <f t="shared" si="12"/>
        <v>57798</v>
      </c>
      <c r="K44" s="134">
        <f t="shared" si="12"/>
        <v>80215</v>
      </c>
      <c r="L44" s="134">
        <f t="shared" si="12"/>
        <v>89165.407093000002</v>
      </c>
      <c r="M44" s="134">
        <f t="shared" si="12"/>
        <v>102607</v>
      </c>
      <c r="N44" s="134">
        <f t="shared" si="12"/>
        <v>96297</v>
      </c>
      <c r="O44" s="134">
        <f t="shared" si="12"/>
        <v>102714</v>
      </c>
      <c r="P44" s="129">
        <f t="shared" si="7"/>
        <v>6.6637589956073398E-2</v>
      </c>
      <c r="Q44" s="180">
        <f>SUM(Q42:Q43)</f>
        <v>243260.40709299999</v>
      </c>
      <c r="R44" s="180">
        <f>SUM(R42:R43)</f>
        <v>285536</v>
      </c>
      <c r="S44" s="129">
        <f t="shared" si="8"/>
        <v>0.17378739685672642</v>
      </c>
    </row>
    <row r="45" spans="1:19" s="95" customFormat="1" x14ac:dyDescent="0.3">
      <c r="A45" s="85" t="s">
        <v>10</v>
      </c>
      <c r="B45" s="81">
        <v>4490</v>
      </c>
      <c r="C45" s="81">
        <v>8391</v>
      </c>
      <c r="D45" s="81">
        <v>80</v>
      </c>
      <c r="E45" s="81">
        <v>960</v>
      </c>
      <c r="F45" s="81">
        <v>214</v>
      </c>
      <c r="G45" s="81">
        <v>7839</v>
      </c>
      <c r="H45" s="81">
        <v>814</v>
      </c>
      <c r="I45" s="81">
        <v>851</v>
      </c>
      <c r="J45" s="135">
        <v>652</v>
      </c>
      <c r="K45" s="135">
        <v>61</v>
      </c>
      <c r="L45" s="135">
        <f>743.423097-J45</f>
        <v>91.423096999999984</v>
      </c>
      <c r="M45" s="135">
        <f>112-K45</f>
        <v>51</v>
      </c>
      <c r="N45" s="135">
        <f>+Q45-J45-L45</f>
        <v>27.000000000000114</v>
      </c>
      <c r="O45" s="135">
        <f>+R45-K45-M45</f>
        <v>130</v>
      </c>
      <c r="P45" s="129">
        <f t="shared" si="7"/>
        <v>3.8148148148147945</v>
      </c>
      <c r="Q45" s="177">
        <v>770.4230970000001</v>
      </c>
      <c r="R45" s="177">
        <v>242</v>
      </c>
      <c r="S45" s="129">
        <f t="shared" si="8"/>
        <v>-0.68588688352888261</v>
      </c>
    </row>
    <row r="46" spans="1:19" s="85" customFormat="1" x14ac:dyDescent="0.3">
      <c r="A46" s="85" t="s">
        <v>13</v>
      </c>
      <c r="B46" s="81">
        <v>-388</v>
      </c>
      <c r="C46" s="81">
        <v>-60</v>
      </c>
      <c r="D46" s="81">
        <v>-279</v>
      </c>
      <c r="E46" s="81">
        <v>-633</v>
      </c>
      <c r="F46" s="81">
        <v>-1741</v>
      </c>
      <c r="G46" s="81">
        <v>-1496</v>
      </c>
      <c r="H46" s="81">
        <v>-11022</v>
      </c>
      <c r="I46" s="81">
        <v>-1390</v>
      </c>
      <c r="J46" s="135">
        <v>-25</v>
      </c>
      <c r="K46" s="135">
        <v>-127</v>
      </c>
      <c r="L46" s="135">
        <f>-599.521351-J46</f>
        <v>-574.52135099999998</v>
      </c>
      <c r="M46" s="135">
        <f>-2966-K46</f>
        <v>-2839</v>
      </c>
      <c r="N46" s="135">
        <f>+Q46-J46-L46</f>
        <v>-706.99999999999989</v>
      </c>
      <c r="O46" s="135">
        <f>+R46-K46-M46</f>
        <v>-18</v>
      </c>
      <c r="P46" s="129">
        <f t="shared" si="7"/>
        <v>-0.97454031117397455</v>
      </c>
      <c r="Q46" s="177">
        <v>-1306.5213509999999</v>
      </c>
      <c r="R46" s="177">
        <v>-2984</v>
      </c>
      <c r="S46" s="129">
        <f t="shared" si="8"/>
        <v>1.2839274671753913</v>
      </c>
    </row>
    <row r="47" spans="1:19" s="95" customFormat="1" x14ac:dyDescent="0.3">
      <c r="A47" s="95" t="s">
        <v>43</v>
      </c>
      <c r="B47" s="80">
        <f t="shared" ref="B47:G47" si="13">SUM(B44:B46)</f>
        <v>172912</v>
      </c>
      <c r="C47" s="80">
        <f t="shared" si="13"/>
        <v>210911</v>
      </c>
      <c r="D47" s="80">
        <f t="shared" si="13"/>
        <v>244482</v>
      </c>
      <c r="E47" s="80">
        <f t="shared" si="13"/>
        <v>291080</v>
      </c>
      <c r="F47" s="80">
        <f t="shared" si="13"/>
        <v>225701</v>
      </c>
      <c r="G47" s="80">
        <f t="shared" si="13"/>
        <v>280279</v>
      </c>
      <c r="H47" s="80">
        <f t="shared" ref="H47:O47" si="14">SUM(H44:H46)</f>
        <v>256109</v>
      </c>
      <c r="I47" s="80">
        <f t="shared" si="14"/>
        <v>345845</v>
      </c>
      <c r="J47" s="134">
        <f t="shared" si="14"/>
        <v>58425</v>
      </c>
      <c r="K47" s="134">
        <f t="shared" si="14"/>
        <v>80149</v>
      </c>
      <c r="L47" s="134">
        <f t="shared" si="14"/>
        <v>88682.308839000005</v>
      </c>
      <c r="M47" s="134">
        <f t="shared" si="14"/>
        <v>99819</v>
      </c>
      <c r="N47" s="134">
        <f t="shared" si="14"/>
        <v>95617</v>
      </c>
      <c r="O47" s="134">
        <f t="shared" si="14"/>
        <v>102826</v>
      </c>
      <c r="P47" s="129">
        <f t="shared" si="7"/>
        <v>7.5394542811424742E-2</v>
      </c>
      <c r="Q47" s="180">
        <f>SUM(Q44:Q46)</f>
        <v>242724.30883899998</v>
      </c>
      <c r="R47" s="180">
        <f>SUM(R44:R46)</f>
        <v>282794</v>
      </c>
      <c r="S47" s="129">
        <f t="shared" si="8"/>
        <v>0.16508314042652569</v>
      </c>
    </row>
    <row r="48" spans="1:19" s="85" customFormat="1" x14ac:dyDescent="0.3">
      <c r="A48" s="85" t="s">
        <v>15</v>
      </c>
      <c r="B48" s="81">
        <v>-3501</v>
      </c>
      <c r="C48" s="81">
        <v>-214</v>
      </c>
      <c r="D48" s="81">
        <v>-190</v>
      </c>
      <c r="E48" s="81">
        <v>-74</v>
      </c>
      <c r="F48" s="81">
        <v>-205</v>
      </c>
      <c r="G48" s="81">
        <v>-1876</v>
      </c>
      <c r="H48" s="81">
        <v>-127</v>
      </c>
      <c r="I48" s="81">
        <v>-361</v>
      </c>
      <c r="J48" s="135">
        <v>-8</v>
      </c>
      <c r="K48" s="135">
        <v>-2289</v>
      </c>
      <c r="L48" s="135">
        <f>-18.162-J48</f>
        <v>-10.161999999999999</v>
      </c>
      <c r="M48" s="135">
        <f>-1378-K48</f>
        <v>911</v>
      </c>
      <c r="N48" s="135">
        <f>+Q48-J48-L48</f>
        <v>-261</v>
      </c>
      <c r="O48" s="135">
        <f>+R48-K48-M48</f>
        <v>-496</v>
      </c>
      <c r="P48" s="129">
        <f t="shared" si="7"/>
        <v>0.90038314176245215</v>
      </c>
      <c r="Q48" s="177">
        <v>-279.16199999999998</v>
      </c>
      <c r="R48" s="177">
        <v>-1874</v>
      </c>
      <c r="S48" s="129">
        <f t="shared" si="8"/>
        <v>5.7129480373403263</v>
      </c>
    </row>
    <row r="49" spans="1:19" s="85" customFormat="1" ht="15.75" thickBot="1" x14ac:dyDescent="0.35">
      <c r="A49" s="102" t="s">
        <v>17</v>
      </c>
      <c r="B49" s="103">
        <f t="shared" ref="B49:G49" si="15">SUM(B47:B48)</f>
        <v>169411</v>
      </c>
      <c r="C49" s="103">
        <f t="shared" si="15"/>
        <v>210697</v>
      </c>
      <c r="D49" s="103">
        <f t="shared" si="15"/>
        <v>244292</v>
      </c>
      <c r="E49" s="103">
        <f t="shared" si="15"/>
        <v>291006</v>
      </c>
      <c r="F49" s="103">
        <f t="shared" si="15"/>
        <v>225496</v>
      </c>
      <c r="G49" s="103">
        <f t="shared" si="15"/>
        <v>278403</v>
      </c>
      <c r="H49" s="103">
        <f t="shared" ref="H49:O49" si="16">SUM(H47:H48)</f>
        <v>255982</v>
      </c>
      <c r="I49" s="103">
        <f t="shared" si="16"/>
        <v>345484</v>
      </c>
      <c r="J49" s="166">
        <f t="shared" si="16"/>
        <v>58417</v>
      </c>
      <c r="K49" s="166">
        <f t="shared" si="16"/>
        <v>77860</v>
      </c>
      <c r="L49" s="166">
        <f t="shared" si="16"/>
        <v>88672.146839000008</v>
      </c>
      <c r="M49" s="166">
        <f t="shared" si="16"/>
        <v>100730</v>
      </c>
      <c r="N49" s="166">
        <f>SUM(N47:N48)</f>
        <v>95356</v>
      </c>
      <c r="O49" s="166">
        <f t="shared" si="16"/>
        <v>102330</v>
      </c>
      <c r="P49" s="130">
        <f t="shared" si="7"/>
        <v>7.31364570661521E-2</v>
      </c>
      <c r="Q49" s="182">
        <f>SUM(Q47:Q48)</f>
        <v>242445.14683899996</v>
      </c>
      <c r="R49" s="182">
        <f>SUM(R47:R48)</f>
        <v>280920</v>
      </c>
      <c r="S49" s="130">
        <f t="shared" si="8"/>
        <v>0.15869508489914194</v>
      </c>
    </row>
    <row r="50" spans="1:19" s="85" customFormat="1" x14ac:dyDescent="0.3">
      <c r="C50" s="80"/>
      <c r="H50" s="81"/>
      <c r="I50" s="81"/>
      <c r="J50" s="81"/>
      <c r="K50" s="81"/>
      <c r="L50" s="82"/>
    </row>
    <row r="51" spans="1:19" s="85" customFormat="1" x14ac:dyDescent="0.3">
      <c r="C51" s="81"/>
      <c r="H51" s="81"/>
      <c r="I51" s="81"/>
      <c r="J51" s="81"/>
      <c r="K51" s="81"/>
      <c r="L51" s="82"/>
    </row>
    <row r="52" spans="1:19" s="85" customFormat="1" x14ac:dyDescent="0.3">
      <c r="C52" s="81"/>
      <c r="E52" s="80"/>
      <c r="H52" s="81"/>
      <c r="I52" s="81"/>
      <c r="J52" s="81"/>
      <c r="K52" s="81"/>
      <c r="L52" s="82"/>
    </row>
    <row r="53" spans="1:19" s="85" customFormat="1" x14ac:dyDescent="0.3">
      <c r="C53" s="81"/>
      <c r="E53" s="81"/>
      <c r="H53" s="81"/>
      <c r="I53" s="81"/>
      <c r="J53" s="81"/>
      <c r="K53" s="81"/>
      <c r="L53" s="82"/>
    </row>
    <row r="54" spans="1:19" s="85" customFormat="1" x14ac:dyDescent="0.3">
      <c r="C54" s="80"/>
      <c r="E54" s="81"/>
      <c r="H54" s="81"/>
      <c r="I54" s="81"/>
      <c r="J54" s="81"/>
      <c r="K54" s="81"/>
      <c r="L54" s="82"/>
    </row>
    <row r="55" spans="1:19" s="85" customFormat="1" x14ac:dyDescent="0.3">
      <c r="C55" s="81"/>
      <c r="E55" s="81"/>
      <c r="H55" s="81"/>
      <c r="I55" s="81"/>
      <c r="J55" s="81"/>
      <c r="K55" s="81"/>
      <c r="L55" s="82"/>
    </row>
    <row r="56" spans="1:19" x14ac:dyDescent="0.3">
      <c r="C56" s="80"/>
      <c r="E56" s="80"/>
    </row>
    <row r="57" spans="1:19" x14ac:dyDescent="0.3">
      <c r="C57" s="81"/>
      <c r="E57" s="81"/>
    </row>
    <row r="58" spans="1:19" x14ac:dyDescent="0.3">
      <c r="C58" s="81"/>
      <c r="E58" s="80"/>
    </row>
  </sheetData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W82"/>
  <sheetViews>
    <sheetView topLeftCell="A49" workbookViewId="0">
      <selection activeCell="A61" sqref="A61"/>
    </sheetView>
  </sheetViews>
  <sheetFormatPr baseColWidth="10" defaultColWidth="11.42578125" defaultRowHeight="15" x14ac:dyDescent="0.3"/>
  <cols>
    <col min="1" max="1" width="32.140625" style="73" customWidth="1"/>
    <col min="2" max="4" width="10.42578125" style="73" bestFit="1" customWidth="1"/>
    <col min="5" max="7" width="11.140625" style="73" bestFit="1" customWidth="1"/>
    <col min="8" max="10" width="11.140625" style="74" bestFit="1" customWidth="1"/>
    <col min="11" max="11" width="11.5703125" style="74" bestFit="1" customWidth="1"/>
    <col min="12" max="12" width="11.140625" style="75" bestFit="1" customWidth="1"/>
    <col min="13" max="13" width="10.28515625" style="75" bestFit="1" customWidth="1"/>
    <col min="14" max="14" width="10.28515625" style="75" customWidth="1"/>
    <col min="15" max="16" width="10.42578125" style="76" bestFit="1" customWidth="1"/>
    <col min="17" max="17" width="10.28515625" style="73" bestFit="1" customWidth="1"/>
    <col min="18" max="16384" width="11.42578125" style="73"/>
  </cols>
  <sheetData>
    <row r="6" spans="1:20" ht="21" x14ac:dyDescent="0.35">
      <c r="A6" s="116" t="s">
        <v>40</v>
      </c>
      <c r="B6" s="116"/>
      <c r="C6" s="116"/>
      <c r="D6" s="116"/>
      <c r="E6" s="116"/>
      <c r="F6" s="116"/>
      <c r="G6" s="116"/>
    </row>
    <row r="7" spans="1:20" ht="15.75" x14ac:dyDescent="0.3">
      <c r="A7" s="78" t="s">
        <v>115</v>
      </c>
      <c r="B7" s="78"/>
      <c r="C7" s="78"/>
      <c r="D7" s="78"/>
      <c r="E7" s="78"/>
      <c r="F7" s="78"/>
      <c r="G7" s="78"/>
    </row>
    <row r="8" spans="1:20" x14ac:dyDescent="0.3">
      <c r="A8" s="79" t="s">
        <v>88</v>
      </c>
      <c r="B8" s="79"/>
      <c r="C8" s="79"/>
      <c r="D8" s="79"/>
      <c r="E8" s="79"/>
      <c r="F8" s="79"/>
      <c r="G8" s="79"/>
    </row>
    <row r="9" spans="1:20" s="85" customFormat="1" x14ac:dyDescent="0.3">
      <c r="H9" s="81"/>
      <c r="I9" s="81"/>
      <c r="J9" s="81"/>
      <c r="K9" s="81"/>
      <c r="L9" s="82"/>
      <c r="M9" s="82"/>
      <c r="N9" s="82"/>
      <c r="O9" s="83"/>
      <c r="P9" s="83"/>
      <c r="Q9" s="84"/>
      <c r="R9" s="84"/>
      <c r="S9" s="84"/>
      <c r="T9" s="84"/>
    </row>
    <row r="10" spans="1:20" s="85" customFormat="1" ht="15.75" thickBot="1" x14ac:dyDescent="0.35">
      <c r="A10" s="152" t="s">
        <v>20</v>
      </c>
      <c r="B10" s="144">
        <v>2005</v>
      </c>
      <c r="C10" s="144">
        <v>2006</v>
      </c>
      <c r="D10" s="144">
        <v>2007</v>
      </c>
      <c r="E10" s="144">
        <v>2008</v>
      </c>
      <c r="F10" s="144">
        <v>2009</v>
      </c>
      <c r="G10" s="144">
        <v>2010</v>
      </c>
      <c r="H10" s="144">
        <v>2011</v>
      </c>
      <c r="I10" s="144">
        <v>2012</v>
      </c>
      <c r="J10" s="176">
        <v>2012</v>
      </c>
      <c r="K10" s="145">
        <v>2013</v>
      </c>
      <c r="L10" s="146" t="s">
        <v>46</v>
      </c>
      <c r="O10" s="83"/>
      <c r="P10" s="83"/>
      <c r="Q10" s="106"/>
      <c r="R10" s="84"/>
      <c r="S10" s="84"/>
      <c r="T10" s="84"/>
    </row>
    <row r="11" spans="1:20" s="85" customFormat="1" x14ac:dyDescent="0.3">
      <c r="A11" s="153" t="s">
        <v>21</v>
      </c>
      <c r="B11" s="81">
        <v>121469</v>
      </c>
      <c r="C11" s="81">
        <v>147021</v>
      </c>
      <c r="D11" s="81">
        <v>141066</v>
      </c>
      <c r="E11" s="81">
        <v>200123</v>
      </c>
      <c r="F11" s="81">
        <v>152572</v>
      </c>
      <c r="G11" s="81">
        <v>133389</v>
      </c>
      <c r="H11" s="171">
        <v>193087</v>
      </c>
      <c r="I11" s="171">
        <v>291812</v>
      </c>
      <c r="J11" s="177">
        <v>331810</v>
      </c>
      <c r="K11" s="117">
        <v>345435</v>
      </c>
      <c r="L11" s="129">
        <f>+(K11-J11)/J11</f>
        <v>4.1062656339471384E-2</v>
      </c>
      <c r="O11" s="83"/>
      <c r="P11" s="83"/>
      <c r="Q11" s="108"/>
      <c r="R11" s="84"/>
      <c r="S11" s="84"/>
      <c r="T11" s="84"/>
    </row>
    <row r="12" spans="1:20" s="85" customFormat="1" x14ac:dyDescent="0.3">
      <c r="A12" s="153" t="s">
        <v>22</v>
      </c>
      <c r="B12" s="81">
        <v>328742</v>
      </c>
      <c r="C12" s="81">
        <v>323226</v>
      </c>
      <c r="D12" s="81">
        <v>322254</v>
      </c>
      <c r="E12" s="81">
        <v>299414</v>
      </c>
      <c r="F12" s="81">
        <v>335272</v>
      </c>
      <c r="G12" s="81">
        <v>330481</v>
      </c>
      <c r="H12" s="171">
        <v>329071</v>
      </c>
      <c r="I12" s="171">
        <v>330090</v>
      </c>
      <c r="J12" s="177">
        <v>329454</v>
      </c>
      <c r="K12" s="117">
        <v>357305</v>
      </c>
      <c r="L12" s="129">
        <f>+(K12-J12)/J12</f>
        <v>8.4536839740904646E-2</v>
      </c>
      <c r="O12" s="170"/>
      <c r="P12" s="83"/>
      <c r="Q12" s="106"/>
      <c r="R12" s="84"/>
      <c r="S12" s="84"/>
      <c r="T12" s="84"/>
    </row>
    <row r="13" spans="1:20" s="85" customFormat="1" x14ac:dyDescent="0.3">
      <c r="A13" s="153" t="s">
        <v>23</v>
      </c>
      <c r="B13" s="81">
        <v>292269</v>
      </c>
      <c r="C13" s="81">
        <v>381730</v>
      </c>
      <c r="D13" s="81">
        <v>426683</v>
      </c>
      <c r="E13" s="81">
        <v>656631</v>
      </c>
      <c r="F13" s="81">
        <v>523529</v>
      </c>
      <c r="G13" s="81">
        <v>586256</v>
      </c>
      <c r="H13" s="171">
        <v>650631</v>
      </c>
      <c r="I13" s="171">
        <v>681860</v>
      </c>
      <c r="J13" s="177">
        <v>694158</v>
      </c>
      <c r="K13" s="117">
        <v>931013</v>
      </c>
      <c r="L13" s="129">
        <f t="shared" ref="L13:L19" si="0">+(K13-J13)/J13</f>
        <v>0.34121194310229086</v>
      </c>
      <c r="O13" s="83"/>
      <c r="P13" s="83"/>
      <c r="Q13" s="106"/>
      <c r="R13" s="84"/>
      <c r="S13" s="84"/>
      <c r="T13" s="84"/>
    </row>
    <row r="14" spans="1:20" s="85" customFormat="1" x14ac:dyDescent="0.3">
      <c r="A14" s="153" t="s">
        <v>36</v>
      </c>
      <c r="B14" s="81">
        <v>274553</v>
      </c>
      <c r="C14" s="81">
        <v>371699</v>
      </c>
      <c r="D14" s="81">
        <v>434839</v>
      </c>
      <c r="E14" s="81">
        <v>528465</v>
      </c>
      <c r="F14" s="81">
        <v>494120</v>
      </c>
      <c r="G14" s="81">
        <v>553016</v>
      </c>
      <c r="H14" s="171">
        <v>601866</v>
      </c>
      <c r="I14" s="171">
        <v>555796</v>
      </c>
      <c r="J14" s="177">
        <v>595515</v>
      </c>
      <c r="K14" s="117">
        <v>751151</v>
      </c>
      <c r="L14" s="129">
        <f t="shared" si="0"/>
        <v>0.26134690142145872</v>
      </c>
      <c r="O14" s="83"/>
      <c r="P14" s="83"/>
      <c r="Q14" s="106"/>
      <c r="R14" s="84"/>
      <c r="S14" s="84"/>
      <c r="T14" s="84"/>
    </row>
    <row r="15" spans="1:20" s="85" customFormat="1" x14ac:dyDescent="0.3">
      <c r="A15" s="153" t="s">
        <v>60</v>
      </c>
      <c r="B15" s="81">
        <v>456824</v>
      </c>
      <c r="C15" s="81">
        <v>561031</v>
      </c>
      <c r="D15" s="81">
        <v>653908</v>
      </c>
      <c r="E15" s="81">
        <v>767527</v>
      </c>
      <c r="F15" s="81">
        <v>977261</v>
      </c>
      <c r="G15" s="81">
        <v>988793</v>
      </c>
      <c r="H15" s="171">
        <v>1009855</v>
      </c>
      <c r="I15" s="171">
        <v>1135785</v>
      </c>
      <c r="J15" s="177">
        <v>1076293</v>
      </c>
      <c r="K15" s="117">
        <v>1379531</v>
      </c>
      <c r="L15" s="129">
        <f t="shared" si="0"/>
        <v>0.28174298262647812</v>
      </c>
      <c r="O15" s="83"/>
      <c r="P15" s="83"/>
      <c r="Q15" s="106"/>
      <c r="R15" s="84"/>
      <c r="S15" s="84"/>
      <c r="T15" s="84"/>
    </row>
    <row r="16" spans="1:20" s="85" customFormat="1" x14ac:dyDescent="0.3">
      <c r="A16" s="153" t="s">
        <v>47</v>
      </c>
      <c r="B16" s="81">
        <v>63266</v>
      </c>
      <c r="C16" s="81">
        <v>621440</v>
      </c>
      <c r="D16" s="81">
        <v>564218</v>
      </c>
      <c r="E16" s="81">
        <v>543336</v>
      </c>
      <c r="F16" s="81">
        <v>748013</v>
      </c>
      <c r="G16" s="81">
        <v>853564</v>
      </c>
      <c r="H16" s="171">
        <v>900384</v>
      </c>
      <c r="I16" s="171">
        <v>1025441</v>
      </c>
      <c r="J16" s="177">
        <v>871879</v>
      </c>
      <c r="K16" s="117">
        <v>2118695</v>
      </c>
      <c r="L16" s="129">
        <f t="shared" si="0"/>
        <v>1.4300332959045923</v>
      </c>
      <c r="O16" s="83"/>
      <c r="P16" s="83"/>
      <c r="Q16" s="106"/>
      <c r="R16" s="84"/>
      <c r="S16" s="84"/>
      <c r="T16" s="84"/>
    </row>
    <row r="17" spans="1:20" s="85" customFormat="1" x14ac:dyDescent="0.3">
      <c r="A17" s="153" t="s">
        <v>24</v>
      </c>
      <c r="B17" s="81">
        <v>12635</v>
      </c>
      <c r="C17" s="81">
        <v>23420</v>
      </c>
      <c r="D17" s="81">
        <v>57260</v>
      </c>
      <c r="E17" s="81">
        <v>28175</v>
      </c>
      <c r="F17" s="81">
        <v>79348</v>
      </c>
      <c r="G17" s="81">
        <v>67002</v>
      </c>
      <c r="H17" s="171">
        <v>130401</v>
      </c>
      <c r="I17" s="171">
        <v>57452</v>
      </c>
      <c r="J17" s="177">
        <v>113035</v>
      </c>
      <c r="K17" s="117">
        <v>103310</v>
      </c>
      <c r="L17" s="129">
        <f t="shared" si="0"/>
        <v>-8.6035298801256252E-2</v>
      </c>
      <c r="O17" s="83"/>
      <c r="P17" s="83"/>
      <c r="Q17" s="106"/>
      <c r="R17" s="84"/>
      <c r="S17" s="84"/>
      <c r="T17" s="84"/>
    </row>
    <row r="18" spans="1:20" s="85" customFormat="1" x14ac:dyDescent="0.3">
      <c r="A18" s="153" t="s">
        <v>25</v>
      </c>
      <c r="B18" s="81">
        <v>3714</v>
      </c>
      <c r="C18" s="81">
        <v>11893</v>
      </c>
      <c r="D18" s="81">
        <v>12073</v>
      </c>
      <c r="E18" s="81">
        <v>44095</v>
      </c>
      <c r="F18" s="81">
        <v>19094</v>
      </c>
      <c r="G18" s="81">
        <v>16902</v>
      </c>
      <c r="H18" s="171">
        <v>18323</v>
      </c>
      <c r="I18" s="171">
        <v>6913</v>
      </c>
      <c r="J18" s="177">
        <v>4678</v>
      </c>
      <c r="K18" s="117">
        <v>14047</v>
      </c>
      <c r="L18" s="129">
        <f t="shared" si="0"/>
        <v>2.0027789653698163</v>
      </c>
      <c r="O18" s="83"/>
      <c r="P18" s="83"/>
      <c r="Q18" s="106"/>
      <c r="R18" s="84"/>
      <c r="S18" s="84"/>
      <c r="T18" s="84"/>
    </row>
    <row r="19" spans="1:20" s="85" customFormat="1" x14ac:dyDescent="0.3">
      <c r="A19" s="153" t="s">
        <v>26</v>
      </c>
      <c r="B19" s="81">
        <v>2468685</v>
      </c>
      <c r="C19" s="81">
        <v>2591441</v>
      </c>
      <c r="D19" s="81">
        <v>2736001</v>
      </c>
      <c r="E19" s="81">
        <v>2268787</v>
      </c>
      <c r="F19" s="81">
        <v>3599917</v>
      </c>
      <c r="G19" s="81">
        <v>4555288</v>
      </c>
      <c r="H19" s="171">
        <v>4097551</v>
      </c>
      <c r="I19" s="171">
        <v>4866415</v>
      </c>
      <c r="J19" s="177">
        <v>4259574</v>
      </c>
      <c r="K19" s="117">
        <v>4989555</v>
      </c>
      <c r="L19" s="129">
        <f t="shared" si="0"/>
        <v>0.17137417967148827</v>
      </c>
      <c r="O19" s="83"/>
      <c r="P19" s="83"/>
      <c r="Q19" s="106"/>
      <c r="R19" s="84"/>
      <c r="S19" s="84"/>
      <c r="T19" s="84"/>
    </row>
    <row r="20" spans="1:20" s="85" customFormat="1" ht="15.75" thickBot="1" x14ac:dyDescent="0.35">
      <c r="A20" s="154" t="s">
        <v>27</v>
      </c>
      <c r="B20" s="91">
        <v>4022157</v>
      </c>
      <c r="C20" s="91">
        <v>5032901</v>
      </c>
      <c r="D20" s="91">
        <v>5348302</v>
      </c>
      <c r="E20" s="91">
        <v>5336553</v>
      </c>
      <c r="F20" s="91">
        <v>6929126</v>
      </c>
      <c r="G20" s="91">
        <v>8084691</v>
      </c>
      <c r="H20" s="172">
        <f>SUM(H11:H19)</f>
        <v>7931169</v>
      </c>
      <c r="I20" s="172">
        <f>SUM(I11:I19)</f>
        <v>8951564</v>
      </c>
      <c r="J20" s="178">
        <f>SUM(J11:J19)</f>
        <v>8276396</v>
      </c>
      <c r="K20" s="118">
        <f>SUM(K11:K19)</f>
        <v>10990042</v>
      </c>
      <c r="L20" s="130">
        <f>+(K20-J20)/J20</f>
        <v>0.32787773808793103</v>
      </c>
      <c r="O20" s="83"/>
      <c r="P20" s="83"/>
      <c r="Q20" s="106"/>
      <c r="R20" s="84"/>
      <c r="S20" s="84"/>
      <c r="T20" s="84"/>
    </row>
    <row r="21" spans="1:20" s="85" customFormat="1" x14ac:dyDescent="0.3">
      <c r="A21" s="153"/>
      <c r="B21" s="81"/>
      <c r="C21" s="81"/>
      <c r="D21" s="81"/>
      <c r="E21" s="81"/>
      <c r="F21" s="81"/>
      <c r="G21" s="81"/>
      <c r="H21" s="171"/>
      <c r="I21" s="171"/>
      <c r="J21" s="177"/>
      <c r="K21" s="117"/>
      <c r="L21" s="129"/>
      <c r="O21" s="83"/>
      <c r="P21" s="83"/>
      <c r="Q21" s="106"/>
      <c r="R21" s="84"/>
      <c r="S21" s="84"/>
      <c r="T21" s="84"/>
    </row>
    <row r="22" spans="1:20" s="85" customFormat="1" x14ac:dyDescent="0.3">
      <c r="A22" s="152" t="s">
        <v>48</v>
      </c>
      <c r="B22" s="125">
        <v>2005</v>
      </c>
      <c r="C22" s="125">
        <v>2006</v>
      </c>
      <c r="D22" s="125">
        <v>2007</v>
      </c>
      <c r="E22" s="125">
        <v>2008</v>
      </c>
      <c r="F22" s="125">
        <v>2009</v>
      </c>
      <c r="G22" s="125">
        <v>2010</v>
      </c>
      <c r="H22" s="173">
        <v>2011</v>
      </c>
      <c r="I22" s="173">
        <v>2012</v>
      </c>
      <c r="J22" s="179">
        <v>2012</v>
      </c>
      <c r="K22" s="127">
        <v>2013</v>
      </c>
      <c r="L22" s="128" t="s">
        <v>46</v>
      </c>
      <c r="O22" s="83"/>
      <c r="P22" s="83"/>
      <c r="Q22" s="108"/>
      <c r="R22" s="84"/>
      <c r="S22" s="84"/>
      <c r="T22" s="84"/>
    </row>
    <row r="23" spans="1:20" s="85" customFormat="1" x14ac:dyDescent="0.3">
      <c r="A23" s="153" t="s">
        <v>28</v>
      </c>
      <c r="B23" s="81">
        <v>41040</v>
      </c>
      <c r="C23" s="81">
        <v>705877</v>
      </c>
      <c r="D23" s="81">
        <v>718503</v>
      </c>
      <c r="E23" s="81">
        <v>884817</v>
      </c>
      <c r="F23" s="81">
        <v>1015157</v>
      </c>
      <c r="G23" s="81">
        <v>1126326</v>
      </c>
      <c r="H23" s="171">
        <v>679598</v>
      </c>
      <c r="I23" s="171">
        <v>690354</v>
      </c>
      <c r="J23" s="177">
        <v>632454</v>
      </c>
      <c r="K23" s="117">
        <v>2021108</v>
      </c>
      <c r="L23" s="129">
        <f t="shared" ref="L23:L34" si="1">+(K23-J23)/J23</f>
        <v>2.1956600796263444</v>
      </c>
      <c r="O23" s="83"/>
      <c r="P23" s="83"/>
      <c r="Q23" s="106"/>
      <c r="R23" s="84"/>
      <c r="S23" s="84"/>
      <c r="T23" s="84"/>
    </row>
    <row r="24" spans="1:20" s="85" customFormat="1" x14ac:dyDescent="0.3">
      <c r="A24" s="153" t="s">
        <v>49</v>
      </c>
      <c r="B24" s="81">
        <v>111023</v>
      </c>
      <c r="C24" s="81">
        <v>146194</v>
      </c>
      <c r="D24" s="81">
        <v>146091</v>
      </c>
      <c r="E24" s="81">
        <v>163812</v>
      </c>
      <c r="F24" s="81">
        <v>124270</v>
      </c>
      <c r="G24" s="81">
        <v>165155</v>
      </c>
      <c r="H24" s="171">
        <v>163168</v>
      </c>
      <c r="I24" s="171">
        <v>170648</v>
      </c>
      <c r="J24" s="177">
        <v>158167</v>
      </c>
      <c r="K24" s="117">
        <v>206620</v>
      </c>
      <c r="L24" s="129">
        <f t="shared" si="1"/>
        <v>0.30634076640512875</v>
      </c>
      <c r="O24" s="83"/>
      <c r="P24" s="83"/>
      <c r="Q24" s="108"/>
      <c r="R24" s="84"/>
      <c r="S24" s="84"/>
      <c r="T24" s="84"/>
    </row>
    <row r="25" spans="1:20" s="85" customFormat="1" x14ac:dyDescent="0.3">
      <c r="A25" s="153" t="s">
        <v>38</v>
      </c>
      <c r="B25" s="81">
        <v>59396</v>
      </c>
      <c r="C25" s="81">
        <v>108992</v>
      </c>
      <c r="D25" s="81">
        <v>140644</v>
      </c>
      <c r="E25" s="81">
        <v>173147</v>
      </c>
      <c r="F25" s="81">
        <v>141613</v>
      </c>
      <c r="G25" s="81">
        <v>209038</v>
      </c>
      <c r="H25" s="171">
        <v>217244</v>
      </c>
      <c r="I25" s="171">
        <v>259622</v>
      </c>
      <c r="J25" s="177">
        <v>234700</v>
      </c>
      <c r="K25" s="117">
        <v>358785</v>
      </c>
      <c r="L25" s="129">
        <f t="shared" si="1"/>
        <v>0.5286962079250106</v>
      </c>
      <c r="O25" s="83"/>
      <c r="P25" s="83"/>
      <c r="Q25" s="106"/>
      <c r="R25" s="84"/>
      <c r="S25" s="84"/>
      <c r="T25" s="84"/>
    </row>
    <row r="26" spans="1:20" s="85" customFormat="1" x14ac:dyDescent="0.3">
      <c r="A26" s="153" t="s">
        <v>30</v>
      </c>
      <c r="B26" s="81">
        <v>55165</v>
      </c>
      <c r="C26" s="81">
        <v>54299</v>
      </c>
      <c r="D26" s="81">
        <v>55981</v>
      </c>
      <c r="E26" s="81">
        <v>61484</v>
      </c>
      <c r="F26" s="81">
        <v>52025</v>
      </c>
      <c r="G26" s="81">
        <v>68247</v>
      </c>
      <c r="H26" s="171">
        <v>132822</v>
      </c>
      <c r="I26" s="171">
        <v>138203</v>
      </c>
      <c r="J26" s="177">
        <v>86817</v>
      </c>
      <c r="K26" s="117">
        <v>69570</v>
      </c>
      <c r="L26" s="129">
        <f t="shared" si="1"/>
        <v>-0.19865924876464286</v>
      </c>
      <c r="O26" s="83"/>
      <c r="P26" s="83"/>
      <c r="Q26" s="106"/>
      <c r="R26" s="84"/>
      <c r="S26" s="84"/>
      <c r="T26" s="84"/>
    </row>
    <row r="27" spans="1:20" s="85" customFormat="1" x14ac:dyDescent="0.3">
      <c r="A27" s="153" t="s">
        <v>31</v>
      </c>
      <c r="B27" s="81">
        <v>34448</v>
      </c>
      <c r="C27" s="81">
        <v>46282</v>
      </c>
      <c r="D27" s="81">
        <v>58521</v>
      </c>
      <c r="E27" s="81">
        <v>75362</v>
      </c>
      <c r="F27" s="81">
        <v>77811</v>
      </c>
      <c r="G27" s="81">
        <v>88387</v>
      </c>
      <c r="H27" s="171">
        <v>96429</v>
      </c>
      <c r="I27" s="171">
        <v>109969</v>
      </c>
      <c r="J27" s="177">
        <v>45855</v>
      </c>
      <c r="K27" s="117">
        <v>56114</v>
      </c>
      <c r="L27" s="129">
        <f t="shared" si="1"/>
        <v>0.22372696543452186</v>
      </c>
      <c r="O27" s="83"/>
      <c r="P27" s="83"/>
      <c r="Q27" s="106"/>
      <c r="R27" s="84"/>
      <c r="S27" s="84"/>
      <c r="T27" s="84"/>
    </row>
    <row r="28" spans="1:20" s="85" customFormat="1" x14ac:dyDescent="0.3">
      <c r="A28" s="153" t="s">
        <v>32</v>
      </c>
      <c r="B28" s="81">
        <v>33024</v>
      </c>
      <c r="C28" s="81">
        <v>38698</v>
      </c>
      <c r="D28" s="81">
        <v>57731</v>
      </c>
      <c r="E28" s="81">
        <v>63828</v>
      </c>
      <c r="F28" s="81">
        <v>65860</v>
      </c>
      <c r="G28" s="81">
        <v>31651</v>
      </c>
      <c r="H28" s="171">
        <v>33608</v>
      </c>
      <c r="I28" s="171">
        <v>28288</v>
      </c>
      <c r="J28" s="177">
        <v>252760</v>
      </c>
      <c r="K28" s="117">
        <v>384377</v>
      </c>
      <c r="L28" s="129">
        <f t="shared" si="1"/>
        <v>0.52071925937648367</v>
      </c>
      <c r="O28" s="83"/>
      <c r="P28" s="83"/>
      <c r="Q28" s="106"/>
      <c r="R28" s="84"/>
      <c r="S28" s="84"/>
      <c r="T28" s="84"/>
    </row>
    <row r="29" spans="1:20" s="85" customFormat="1" x14ac:dyDescent="0.3">
      <c r="A29" s="153" t="s">
        <v>24</v>
      </c>
      <c r="B29" s="81">
        <v>12261</v>
      </c>
      <c r="C29" s="81">
        <v>10307</v>
      </c>
      <c r="D29" s="81">
        <v>36889</v>
      </c>
      <c r="E29" s="81">
        <v>44153</v>
      </c>
      <c r="F29" s="81">
        <v>59601</v>
      </c>
      <c r="G29" s="81">
        <v>58990</v>
      </c>
      <c r="H29" s="171">
        <v>112430</v>
      </c>
      <c r="I29" s="171">
        <v>125466</v>
      </c>
      <c r="J29" s="177">
        <v>119193</v>
      </c>
      <c r="K29" s="117">
        <v>162220</v>
      </c>
      <c r="L29" s="129">
        <f t="shared" si="1"/>
        <v>0.36098596394083543</v>
      </c>
      <c r="O29" s="83"/>
      <c r="P29" s="83"/>
      <c r="Q29" s="106"/>
      <c r="R29" s="84"/>
      <c r="S29" s="84"/>
      <c r="T29" s="84"/>
    </row>
    <row r="30" spans="1:20" s="85" customFormat="1" x14ac:dyDescent="0.3">
      <c r="A30" s="153" t="s">
        <v>0</v>
      </c>
      <c r="B30" s="81">
        <v>938</v>
      </c>
      <c r="C30" s="81">
        <v>1750</v>
      </c>
      <c r="D30" s="81">
        <v>1583</v>
      </c>
      <c r="E30" s="81">
        <v>2766</v>
      </c>
      <c r="F30" s="81">
        <v>2549</v>
      </c>
      <c r="G30" s="81">
        <v>1983</v>
      </c>
      <c r="H30" s="171">
        <v>5031</v>
      </c>
      <c r="I30" s="171">
        <v>3762</v>
      </c>
      <c r="J30" s="177">
        <v>6607</v>
      </c>
      <c r="K30" s="117">
        <v>22494</v>
      </c>
      <c r="L30" s="129">
        <f t="shared" si="1"/>
        <v>2.4045709096412895</v>
      </c>
      <c r="O30" s="83"/>
      <c r="P30" s="83"/>
      <c r="Q30" s="106"/>
      <c r="R30" s="84"/>
      <c r="S30" s="84"/>
      <c r="T30" s="84"/>
    </row>
    <row r="31" spans="1:20" s="85" customFormat="1" x14ac:dyDescent="0.3">
      <c r="A31" s="153" t="s">
        <v>33</v>
      </c>
      <c r="B31" s="80">
        <v>347295</v>
      </c>
      <c r="C31" s="80">
        <v>1112399</v>
      </c>
      <c r="D31" s="80">
        <v>1215943</v>
      </c>
      <c r="E31" s="80">
        <v>1469369</v>
      </c>
      <c r="F31" s="80">
        <v>1538886</v>
      </c>
      <c r="G31" s="80">
        <v>1749777</v>
      </c>
      <c r="H31" s="174">
        <f>SUM(H23:H30)</f>
        <v>1440330</v>
      </c>
      <c r="I31" s="174">
        <f>SUM(I23:I30)</f>
        <v>1526312</v>
      </c>
      <c r="J31" s="180">
        <f>SUM(J23:J30)</f>
        <v>1536553</v>
      </c>
      <c r="K31" s="119">
        <f>SUM(K23:K30)</f>
        <v>3281288</v>
      </c>
      <c r="L31" s="129">
        <f t="shared" si="1"/>
        <v>1.1354863776257635</v>
      </c>
      <c r="O31" s="83"/>
      <c r="P31" s="83"/>
      <c r="Q31" s="106"/>
      <c r="R31" s="84"/>
      <c r="S31" s="84"/>
      <c r="T31" s="84"/>
    </row>
    <row r="32" spans="1:20" s="85" customFormat="1" x14ac:dyDescent="0.3">
      <c r="A32" s="153" t="s">
        <v>39</v>
      </c>
      <c r="B32" s="81">
        <v>2519</v>
      </c>
      <c r="C32" s="81">
        <v>2618</v>
      </c>
      <c r="D32" s="81">
        <v>2964</v>
      </c>
      <c r="E32" s="81">
        <v>2751</v>
      </c>
      <c r="F32" s="81">
        <v>3611</v>
      </c>
      <c r="G32" s="81">
        <v>11268</v>
      </c>
      <c r="H32" s="171">
        <v>16209</v>
      </c>
      <c r="I32" s="171">
        <v>16294</v>
      </c>
      <c r="J32" s="177">
        <v>15731</v>
      </c>
      <c r="K32" s="117">
        <v>20353</v>
      </c>
      <c r="L32" s="129">
        <f t="shared" si="1"/>
        <v>0.29381476066365775</v>
      </c>
      <c r="O32" s="83"/>
      <c r="P32" s="83"/>
      <c r="Q32" s="106"/>
      <c r="R32" s="84"/>
      <c r="S32" s="84"/>
      <c r="T32" s="84"/>
    </row>
    <row r="33" spans="1:23" s="85" customFormat="1" x14ac:dyDescent="0.3">
      <c r="A33" s="155" t="s">
        <v>34</v>
      </c>
      <c r="B33" s="97">
        <v>3672343</v>
      </c>
      <c r="C33" s="97">
        <v>3917884</v>
      </c>
      <c r="D33" s="97">
        <v>4129395</v>
      </c>
      <c r="E33" s="97">
        <v>3864433</v>
      </c>
      <c r="F33" s="97">
        <v>5386629</v>
      </c>
      <c r="G33" s="97">
        <v>6323646</v>
      </c>
      <c r="H33" s="175">
        <v>6474630</v>
      </c>
      <c r="I33" s="175">
        <v>7408958</v>
      </c>
      <c r="J33" s="181">
        <v>6724112</v>
      </c>
      <c r="K33" s="120">
        <v>7688401</v>
      </c>
      <c r="L33" s="131">
        <f t="shared" si="1"/>
        <v>0.14340763508995685</v>
      </c>
      <c r="O33" s="83"/>
      <c r="P33" s="83"/>
      <c r="Q33" s="108"/>
      <c r="R33" s="84"/>
      <c r="S33" s="84"/>
      <c r="T33" s="84"/>
    </row>
    <row r="34" spans="1:23" s="85" customFormat="1" ht="15.75" thickBot="1" x14ac:dyDescent="0.35">
      <c r="A34" s="151" t="s">
        <v>35</v>
      </c>
      <c r="B34" s="91">
        <v>4022157</v>
      </c>
      <c r="C34" s="91">
        <v>5032901</v>
      </c>
      <c r="D34" s="91">
        <v>5348302</v>
      </c>
      <c r="E34" s="91">
        <v>5336553</v>
      </c>
      <c r="F34" s="91">
        <v>6929126</v>
      </c>
      <c r="G34" s="91">
        <v>8084691</v>
      </c>
      <c r="H34" s="172">
        <f>+H31+H32+H33</f>
        <v>7931169</v>
      </c>
      <c r="I34" s="172">
        <f>+I31+I32+I33</f>
        <v>8951564</v>
      </c>
      <c r="J34" s="178">
        <f>+J31+J32+J33</f>
        <v>8276396</v>
      </c>
      <c r="K34" s="118">
        <f>+K31+K32+K33</f>
        <v>10990042</v>
      </c>
      <c r="L34" s="130">
        <f t="shared" si="1"/>
        <v>0.32787773808793103</v>
      </c>
      <c r="O34" s="83"/>
      <c r="P34" s="83"/>
      <c r="Q34" s="108"/>
      <c r="R34" s="84"/>
      <c r="S34" s="84"/>
      <c r="T34" s="84"/>
    </row>
    <row r="35" spans="1:23" s="85" customFormat="1" x14ac:dyDescent="0.3">
      <c r="H35" s="81"/>
      <c r="I35" s="81"/>
      <c r="J35" s="81"/>
      <c r="K35" s="81"/>
      <c r="L35" s="82"/>
      <c r="M35" s="107"/>
      <c r="N35" s="107"/>
      <c r="O35" s="83"/>
      <c r="P35" s="83"/>
      <c r="Q35" s="108"/>
      <c r="R35" s="84"/>
      <c r="S35" s="84"/>
      <c r="T35" s="84"/>
    </row>
    <row r="36" spans="1:23" ht="21" x14ac:dyDescent="0.35">
      <c r="A36" s="116" t="s">
        <v>91</v>
      </c>
      <c r="B36" s="116"/>
      <c r="C36" s="116"/>
      <c r="D36" s="116"/>
      <c r="E36" s="116"/>
      <c r="F36" s="116"/>
      <c r="G36" s="116"/>
    </row>
    <row r="37" spans="1:23" ht="15.75" x14ac:dyDescent="0.3">
      <c r="A37" s="78" t="s">
        <v>113</v>
      </c>
      <c r="B37" s="78"/>
      <c r="C37" s="78"/>
      <c r="D37" s="78"/>
      <c r="E37" s="78"/>
      <c r="F37" s="78"/>
      <c r="G37" s="78"/>
    </row>
    <row r="38" spans="1:23" x14ac:dyDescent="0.3">
      <c r="A38" s="79" t="s">
        <v>88</v>
      </c>
      <c r="B38" s="79"/>
      <c r="C38" s="79"/>
      <c r="D38" s="79"/>
      <c r="E38" s="79"/>
      <c r="F38" s="79"/>
      <c r="G38" s="79"/>
    </row>
    <row r="39" spans="1:23" s="85" customFormat="1" ht="15.75" thickBot="1" x14ac:dyDescent="0.35">
      <c r="A39" s="86"/>
      <c r="B39" s="144">
        <v>2005</v>
      </c>
      <c r="C39" s="144">
        <v>2006</v>
      </c>
      <c r="D39" s="144">
        <v>2007</v>
      </c>
      <c r="E39" s="144">
        <v>2008</v>
      </c>
      <c r="F39" s="144">
        <v>2009</v>
      </c>
      <c r="G39" s="144">
        <v>2010</v>
      </c>
      <c r="H39" s="144">
        <v>2011</v>
      </c>
      <c r="I39" s="144">
        <v>2012</v>
      </c>
      <c r="J39" s="145" t="s">
        <v>96</v>
      </c>
      <c r="K39" s="145" t="s">
        <v>95</v>
      </c>
      <c r="L39" s="145" t="s">
        <v>99</v>
      </c>
      <c r="M39" s="145" t="s">
        <v>100</v>
      </c>
      <c r="N39" s="145" t="s">
        <v>111</v>
      </c>
      <c r="O39" s="146" t="s">
        <v>55</v>
      </c>
      <c r="P39" s="145" t="s">
        <v>112</v>
      </c>
      <c r="Q39" s="146" t="s">
        <v>55</v>
      </c>
      <c r="R39" s="147" t="s">
        <v>46</v>
      </c>
      <c r="S39" s="176" t="s">
        <v>108</v>
      </c>
      <c r="T39" s="183" t="s">
        <v>55</v>
      </c>
      <c r="U39" s="176" t="s">
        <v>109</v>
      </c>
      <c r="V39" s="183" t="s">
        <v>55</v>
      </c>
      <c r="W39" s="184" t="s">
        <v>46</v>
      </c>
    </row>
    <row r="40" spans="1:23" s="95" customFormat="1" x14ac:dyDescent="0.3">
      <c r="A40" s="148" t="s">
        <v>4</v>
      </c>
      <c r="B40" s="110">
        <v>2297199</v>
      </c>
      <c r="C40" s="110">
        <v>2872015</v>
      </c>
      <c r="D40" s="110">
        <v>3449517</v>
      </c>
      <c r="E40" s="110">
        <v>4009727</v>
      </c>
      <c r="F40" s="110">
        <v>4588366</v>
      </c>
      <c r="G40" s="110">
        <v>4458858</v>
      </c>
      <c r="H40" s="110">
        <v>5057382.6182662696</v>
      </c>
      <c r="I40" s="110">
        <v>5305782</v>
      </c>
      <c r="J40" s="132">
        <v>1237546</v>
      </c>
      <c r="K40" s="132">
        <v>1242052</v>
      </c>
      <c r="L40" s="132">
        <v>1265469</v>
      </c>
      <c r="M40" s="132">
        <v>1370524</v>
      </c>
      <c r="N40" s="132">
        <v>1329904</v>
      </c>
      <c r="O40" s="138">
        <v>1</v>
      </c>
      <c r="P40" s="132">
        <v>1488896</v>
      </c>
      <c r="Q40" s="138">
        <v>1</v>
      </c>
      <c r="R40" s="138">
        <f t="shared" ref="R40:R59" si="2">IF(N40&lt;&gt;0,(P40-N40)/N40,0)</f>
        <v>0.11955148642308017</v>
      </c>
      <c r="S40" s="185">
        <v>3832919</v>
      </c>
      <c r="T40" s="186">
        <v>1</v>
      </c>
      <c r="U40" s="185">
        <v>4101472</v>
      </c>
      <c r="V40" s="186">
        <v>1</v>
      </c>
      <c r="W40" s="187">
        <f t="shared" ref="W40:W57" si="3">IF(S40&lt;&gt;0,(U40-S40)/S40,0)</f>
        <v>7.0064877447188423E-2</v>
      </c>
    </row>
    <row r="41" spans="1:23" s="85" customFormat="1" x14ac:dyDescent="0.3">
      <c r="A41" s="149" t="s">
        <v>50</v>
      </c>
      <c r="B41" s="112">
        <v>-1428204</v>
      </c>
      <c r="C41" s="112">
        <v>-1760636</v>
      </c>
      <c r="D41" s="112">
        <v>-2035308</v>
      </c>
      <c r="E41" s="112">
        <v>-2384094</v>
      </c>
      <c r="F41" s="112">
        <v>-2818189</v>
      </c>
      <c r="G41" s="112">
        <v>-2587907.8744791602</v>
      </c>
      <c r="H41" s="112">
        <v>-3030201.8461819952</v>
      </c>
      <c r="I41" s="112">
        <v>-3064460</v>
      </c>
      <c r="J41" s="133">
        <v>-724520</v>
      </c>
      <c r="K41" s="133">
        <v>-682801</v>
      </c>
      <c r="L41" s="133">
        <v>-728867</v>
      </c>
      <c r="M41" s="133">
        <v>-750580</v>
      </c>
      <c r="N41" s="133">
        <v>-749719</v>
      </c>
      <c r="O41" s="129">
        <f t="shared" ref="O41:O59" si="4">+N41/$N$40</f>
        <v>-0.56373918718945126</v>
      </c>
      <c r="P41" s="133">
        <v>-823869</v>
      </c>
      <c r="Q41" s="129">
        <f t="shared" ref="Q41:Q59" si="5">+P41/$P$40</f>
        <v>-0.55334220791781297</v>
      </c>
      <c r="R41" s="129">
        <f t="shared" si="2"/>
        <v>9.8903722594732166E-2</v>
      </c>
      <c r="S41" s="188">
        <v>-2203106</v>
      </c>
      <c r="T41" s="187">
        <f t="shared" ref="T41:T59" si="6">+S41/$S$40</f>
        <v>-0.57478543115573277</v>
      </c>
      <c r="U41" s="188">
        <v>-2257250</v>
      </c>
      <c r="V41" s="187">
        <f t="shared" ref="V41:V59" si="7">+U41/$U$40</f>
        <v>-0.55035119098704077</v>
      </c>
      <c r="W41" s="187">
        <f t="shared" si="3"/>
        <v>2.4576211948040629E-2</v>
      </c>
    </row>
    <row r="42" spans="1:23" s="95" customFormat="1" x14ac:dyDescent="0.3">
      <c r="A42" s="148" t="s">
        <v>6</v>
      </c>
      <c r="B42" s="80">
        <v>868995</v>
      </c>
      <c r="C42" s="80">
        <v>1111379</v>
      </c>
      <c r="D42" s="80">
        <v>1414209</v>
      </c>
      <c r="E42" s="80">
        <v>1625633</v>
      </c>
      <c r="F42" s="80">
        <v>1770177</v>
      </c>
      <c r="G42" s="80">
        <v>1870950.1255208398</v>
      </c>
      <c r="H42" s="80">
        <f t="shared" ref="H42:N42" si="8">SUM(H40:H41)</f>
        <v>2027180.7720842743</v>
      </c>
      <c r="I42" s="80">
        <f t="shared" si="8"/>
        <v>2241322</v>
      </c>
      <c r="J42" s="134">
        <f t="shared" si="8"/>
        <v>513026</v>
      </c>
      <c r="K42" s="134">
        <f t="shared" si="8"/>
        <v>559251</v>
      </c>
      <c r="L42" s="134">
        <f t="shared" si="8"/>
        <v>536602</v>
      </c>
      <c r="M42" s="134">
        <f t="shared" si="8"/>
        <v>619944</v>
      </c>
      <c r="N42" s="134">
        <f t="shared" si="8"/>
        <v>580185</v>
      </c>
      <c r="O42" s="138">
        <f t="shared" si="4"/>
        <v>0.43626081281054874</v>
      </c>
      <c r="P42" s="134">
        <f>SUM(P40:P41)</f>
        <v>665027</v>
      </c>
      <c r="Q42" s="138">
        <f t="shared" si="5"/>
        <v>0.44665779208218709</v>
      </c>
      <c r="R42" s="138">
        <f t="shared" si="2"/>
        <v>0.14623266716650724</v>
      </c>
      <c r="S42" s="180">
        <f>SUM(S40:S41)</f>
        <v>1629813</v>
      </c>
      <c r="T42" s="187">
        <f t="shared" si="6"/>
        <v>0.42521456884426723</v>
      </c>
      <c r="U42" s="180">
        <f>SUM(U40:U41)</f>
        <v>1844222</v>
      </c>
      <c r="V42" s="187">
        <f t="shared" si="7"/>
        <v>0.44964880901295923</v>
      </c>
      <c r="W42" s="187">
        <f t="shared" si="3"/>
        <v>0.13155435623596082</v>
      </c>
    </row>
    <row r="43" spans="1:23" s="85" customFormat="1" x14ac:dyDescent="0.3">
      <c r="A43" s="149" t="s">
        <v>7</v>
      </c>
      <c r="B43" s="81">
        <v>-95853</v>
      </c>
      <c r="C43" s="81">
        <v>-127200</v>
      </c>
      <c r="D43" s="81">
        <v>-165507</v>
      </c>
      <c r="E43" s="81">
        <v>-183777</v>
      </c>
      <c r="F43" s="81">
        <v>-218875</v>
      </c>
      <c r="G43" s="81">
        <v>-212941</v>
      </c>
      <c r="H43" s="81">
        <v>-250061.17590559012</v>
      </c>
      <c r="I43" s="81">
        <v>-270303</v>
      </c>
      <c r="J43" s="135">
        <v>-59529</v>
      </c>
      <c r="K43" s="135">
        <v>-64873</v>
      </c>
      <c r="L43" s="135">
        <v>-62802</v>
      </c>
      <c r="M43" s="135">
        <v>-73939</v>
      </c>
      <c r="N43" s="135">
        <v>-70895</v>
      </c>
      <c r="O43" s="129">
        <f t="shared" si="4"/>
        <v>-5.3308359099604179E-2</v>
      </c>
      <c r="P43" s="135">
        <v>-103428</v>
      </c>
      <c r="Q43" s="129">
        <f t="shared" si="5"/>
        <v>-6.9466235385144431E-2</v>
      </c>
      <c r="R43" s="129">
        <f t="shared" si="2"/>
        <v>0.45888990760984555</v>
      </c>
      <c r="S43" s="177">
        <v>-193226</v>
      </c>
      <c r="T43" s="187">
        <f t="shared" si="6"/>
        <v>-5.0412231513371403E-2</v>
      </c>
      <c r="U43" s="177">
        <v>-242240</v>
      </c>
      <c r="V43" s="187">
        <f t="shared" si="7"/>
        <v>-5.9061722230457747E-2</v>
      </c>
      <c r="W43" s="187">
        <f t="shared" si="3"/>
        <v>0.25366151553103622</v>
      </c>
    </row>
    <row r="44" spans="1:23" s="85" customFormat="1" x14ac:dyDescent="0.3">
      <c r="A44" s="149" t="s">
        <v>8</v>
      </c>
      <c r="B44" s="81">
        <v>-509961</v>
      </c>
      <c r="C44" s="81">
        <v>-684105</v>
      </c>
      <c r="D44" s="81">
        <v>-815817</v>
      </c>
      <c r="E44" s="81">
        <v>-975970</v>
      </c>
      <c r="F44" s="81">
        <v>-1102578</v>
      </c>
      <c r="G44" s="81">
        <v>-1103652</v>
      </c>
      <c r="H44" s="81">
        <v>-1221301.5797654777</v>
      </c>
      <c r="I44" s="81">
        <v>-1326976</v>
      </c>
      <c r="J44" s="135">
        <v>-305689</v>
      </c>
      <c r="K44" s="135">
        <v>-325559</v>
      </c>
      <c r="L44" s="135">
        <v>-310054</v>
      </c>
      <c r="M44" s="135">
        <v>-355546</v>
      </c>
      <c r="N44" s="135">
        <v>-335753</v>
      </c>
      <c r="O44" s="129">
        <f t="shared" si="4"/>
        <v>-0.25246408763339306</v>
      </c>
      <c r="P44" s="135">
        <v>-375490</v>
      </c>
      <c r="Q44" s="129">
        <f t="shared" si="5"/>
        <v>-0.25219357161279232</v>
      </c>
      <c r="R44" s="129">
        <f t="shared" si="2"/>
        <v>0.11835188367639306</v>
      </c>
      <c r="S44" s="177">
        <v>-951496</v>
      </c>
      <c r="T44" s="187">
        <f t="shared" si="6"/>
        <v>-0.24824317967585541</v>
      </c>
      <c r="U44" s="177">
        <v>-1056595</v>
      </c>
      <c r="V44" s="187">
        <f t="shared" si="7"/>
        <v>-0.25761360799244759</v>
      </c>
      <c r="W44" s="187">
        <f t="shared" si="3"/>
        <v>0.11045658625995275</v>
      </c>
    </row>
    <row r="45" spans="1:23" s="85" customFormat="1" x14ac:dyDescent="0.3">
      <c r="A45" s="149" t="s">
        <v>84</v>
      </c>
      <c r="B45" s="81"/>
      <c r="C45" s="81"/>
      <c r="D45" s="81"/>
      <c r="E45" s="81"/>
      <c r="F45" s="81"/>
      <c r="G45" s="81">
        <v>-121613</v>
      </c>
      <c r="H45" s="81">
        <v>-123323</v>
      </c>
      <c r="I45" s="81">
        <v>-122931</v>
      </c>
      <c r="J45" s="135">
        <v>-33091</v>
      </c>
      <c r="K45" s="135">
        <v>-27738</v>
      </c>
      <c r="L45" s="135">
        <v>-37645</v>
      </c>
      <c r="M45" s="135">
        <v>-33697</v>
      </c>
      <c r="N45" s="135">
        <v>-33984</v>
      </c>
      <c r="O45" s="129">
        <f t="shared" si="4"/>
        <v>-2.5553724178587325E-2</v>
      </c>
      <c r="P45" s="135">
        <v>-32082</v>
      </c>
      <c r="Q45" s="129">
        <f t="shared" si="5"/>
        <v>-2.1547509026822557E-2</v>
      </c>
      <c r="R45" s="129">
        <f t="shared" si="2"/>
        <v>-5.5967514124293787E-2</v>
      </c>
      <c r="S45" s="177">
        <v>-104720</v>
      </c>
      <c r="T45" s="187">
        <f t="shared" si="6"/>
        <v>-2.7321213936428085E-2</v>
      </c>
      <c r="U45" s="177">
        <v>-93517</v>
      </c>
      <c r="V45" s="187">
        <f t="shared" si="7"/>
        <v>-2.2800838333164288E-2</v>
      </c>
      <c r="W45" s="187">
        <f t="shared" si="3"/>
        <v>-0.10698051948051948</v>
      </c>
    </row>
    <row r="46" spans="1:23" s="95" customFormat="1" x14ac:dyDescent="0.3">
      <c r="A46" s="148" t="s">
        <v>9</v>
      </c>
      <c r="B46" s="80">
        <v>-605814</v>
      </c>
      <c r="C46" s="80">
        <v>-811305</v>
      </c>
      <c r="D46" s="80">
        <v>-981324</v>
      </c>
      <c r="E46" s="80">
        <v>-1159747</v>
      </c>
      <c r="F46" s="80">
        <v>-1321453</v>
      </c>
      <c r="G46" s="80">
        <v>-1438206</v>
      </c>
      <c r="H46" s="80">
        <f t="shared" ref="H46:N46" si="9">SUM(H43:H45)</f>
        <v>-1594685.7556710679</v>
      </c>
      <c r="I46" s="80">
        <f t="shared" si="9"/>
        <v>-1720210</v>
      </c>
      <c r="J46" s="134">
        <f t="shared" si="9"/>
        <v>-398309</v>
      </c>
      <c r="K46" s="134">
        <f t="shared" si="9"/>
        <v>-418170</v>
      </c>
      <c r="L46" s="134">
        <f t="shared" si="9"/>
        <v>-410501</v>
      </c>
      <c r="M46" s="134">
        <f t="shared" si="9"/>
        <v>-463182</v>
      </c>
      <c r="N46" s="134">
        <f t="shared" si="9"/>
        <v>-440632</v>
      </c>
      <c r="O46" s="138">
        <f t="shared" si="4"/>
        <v>-0.33132617091158462</v>
      </c>
      <c r="P46" s="134">
        <f>SUM(P43:P45)</f>
        <v>-511000</v>
      </c>
      <c r="Q46" s="138">
        <f t="shared" si="5"/>
        <v>-0.34320731602475929</v>
      </c>
      <c r="R46" s="138">
        <f t="shared" si="2"/>
        <v>0.15969788848744532</v>
      </c>
      <c r="S46" s="180">
        <f>SUM(S43:S45)</f>
        <v>-1249442</v>
      </c>
      <c r="T46" s="187">
        <f t="shared" si="6"/>
        <v>-0.3259766251256549</v>
      </c>
      <c r="U46" s="180">
        <f>SUM(U43:U45)</f>
        <v>-1392352</v>
      </c>
      <c r="V46" s="187">
        <f t="shared" si="7"/>
        <v>-0.3394761685560696</v>
      </c>
      <c r="W46" s="187">
        <f t="shared" si="3"/>
        <v>0.11437905881185362</v>
      </c>
    </row>
    <row r="47" spans="1:23" s="95" customFormat="1" x14ac:dyDescent="0.3">
      <c r="A47" s="148" t="s">
        <v>1</v>
      </c>
      <c r="B47" s="80">
        <v>263181</v>
      </c>
      <c r="C47" s="80">
        <v>300074</v>
      </c>
      <c r="D47" s="80">
        <v>432885</v>
      </c>
      <c r="E47" s="80">
        <v>465886</v>
      </c>
      <c r="F47" s="80">
        <v>448724</v>
      </c>
      <c r="G47" s="80">
        <v>432744.12552083982</v>
      </c>
      <c r="H47" s="80">
        <f t="shared" ref="H47:N47" si="10">+H42+H46</f>
        <v>432495.01641320647</v>
      </c>
      <c r="I47" s="80">
        <f t="shared" si="10"/>
        <v>521112</v>
      </c>
      <c r="J47" s="134">
        <f t="shared" si="10"/>
        <v>114717</v>
      </c>
      <c r="K47" s="134">
        <f t="shared" si="10"/>
        <v>141081</v>
      </c>
      <c r="L47" s="134">
        <f t="shared" si="10"/>
        <v>126101</v>
      </c>
      <c r="M47" s="134">
        <f t="shared" si="10"/>
        <v>156762</v>
      </c>
      <c r="N47" s="134">
        <f t="shared" si="10"/>
        <v>139553</v>
      </c>
      <c r="O47" s="138">
        <f t="shared" si="4"/>
        <v>0.10493464189896413</v>
      </c>
      <c r="P47" s="134">
        <f>+P42+P46</f>
        <v>154027</v>
      </c>
      <c r="Q47" s="138">
        <f t="shared" si="5"/>
        <v>0.10345047605742778</v>
      </c>
      <c r="R47" s="138">
        <f t="shared" si="2"/>
        <v>0.10371686742671243</v>
      </c>
      <c r="S47" s="180">
        <f>+S42+S46</f>
        <v>380371</v>
      </c>
      <c r="T47" s="187">
        <f t="shared" si="6"/>
        <v>9.9237943718612373E-2</v>
      </c>
      <c r="U47" s="180">
        <f>+U42+U46</f>
        <v>451870</v>
      </c>
      <c r="V47" s="187">
        <f t="shared" si="7"/>
        <v>0.11017264045688963</v>
      </c>
      <c r="W47" s="187">
        <f t="shared" si="3"/>
        <v>0.18797174337686101</v>
      </c>
    </row>
    <row r="48" spans="1:23" s="85" customFormat="1" x14ac:dyDescent="0.3">
      <c r="A48" s="149" t="s">
        <v>51</v>
      </c>
      <c r="B48" s="81">
        <v>14213</v>
      </c>
      <c r="C48" s="81">
        <v>13821</v>
      </c>
      <c r="D48" s="81">
        <v>11386</v>
      </c>
      <c r="E48" s="81">
        <v>11580</v>
      </c>
      <c r="F48" s="81">
        <v>9537</v>
      </c>
      <c r="G48" s="81">
        <v>8084</v>
      </c>
      <c r="H48" s="81">
        <v>7592</v>
      </c>
      <c r="I48" s="81">
        <v>12296</v>
      </c>
      <c r="J48" s="135">
        <v>2281</v>
      </c>
      <c r="K48" s="135">
        <v>2375</v>
      </c>
      <c r="L48" s="135">
        <v>2318</v>
      </c>
      <c r="M48" s="135">
        <v>2770</v>
      </c>
      <c r="N48" s="135">
        <v>3549</v>
      </c>
      <c r="O48" s="129">
        <f t="shared" si="4"/>
        <v>2.6686136743704807E-3</v>
      </c>
      <c r="P48" s="135">
        <v>3066</v>
      </c>
      <c r="Q48" s="129">
        <f t="shared" si="5"/>
        <v>2.0592438961485556E-3</v>
      </c>
      <c r="R48" s="129">
        <f t="shared" si="2"/>
        <v>-0.13609467455621302</v>
      </c>
      <c r="S48" s="177">
        <v>8148</v>
      </c>
      <c r="T48" s="187">
        <f t="shared" si="6"/>
        <v>2.1257949881017574E-3</v>
      </c>
      <c r="U48" s="177">
        <v>8211</v>
      </c>
      <c r="V48" s="187">
        <f t="shared" si="7"/>
        <v>2.0019641728628162E-3</v>
      </c>
      <c r="W48" s="187">
        <f t="shared" si="3"/>
        <v>7.7319587628865982E-3</v>
      </c>
    </row>
    <row r="49" spans="1:23" s="85" customFormat="1" x14ac:dyDescent="0.3">
      <c r="A49" s="149" t="s">
        <v>11</v>
      </c>
      <c r="B49" s="81">
        <v>-25197</v>
      </c>
      <c r="C49" s="81">
        <v>-64413</v>
      </c>
      <c r="D49" s="81">
        <v>-84176</v>
      </c>
      <c r="E49" s="81">
        <v>-88738</v>
      </c>
      <c r="F49" s="81">
        <v>-103331</v>
      </c>
      <c r="G49" s="81">
        <v>-79867</v>
      </c>
      <c r="H49" s="81">
        <v>-84666</v>
      </c>
      <c r="I49" s="81">
        <v>-70722</v>
      </c>
      <c r="J49" s="135">
        <v>-18188</v>
      </c>
      <c r="K49" s="135">
        <v>-16818</v>
      </c>
      <c r="L49" s="135">
        <v>-17611</v>
      </c>
      <c r="M49" s="135">
        <v>-17303</v>
      </c>
      <c r="N49" s="135">
        <v>-17493</v>
      </c>
      <c r="O49" s="129">
        <f t="shared" si="4"/>
        <v>-1.3153581010358642E-2</v>
      </c>
      <c r="P49" s="135">
        <v>-27265</v>
      </c>
      <c r="Q49" s="129">
        <f t="shared" si="5"/>
        <v>-1.8312225971458047E-2</v>
      </c>
      <c r="R49" s="129">
        <f t="shared" si="2"/>
        <v>0.55862344937975195</v>
      </c>
      <c r="S49" s="177">
        <v>-53292</v>
      </c>
      <c r="T49" s="187">
        <f t="shared" si="6"/>
        <v>-1.3903763685066134E-2</v>
      </c>
      <c r="U49" s="177">
        <v>-61386</v>
      </c>
      <c r="V49" s="187">
        <f t="shared" si="7"/>
        <v>-1.4966821667928003E-2</v>
      </c>
      <c r="W49" s="187">
        <f t="shared" si="3"/>
        <v>0.15188020716054942</v>
      </c>
    </row>
    <row r="50" spans="1:23" s="85" customFormat="1" x14ac:dyDescent="0.3">
      <c r="A50" s="149" t="s">
        <v>12</v>
      </c>
      <c r="B50" s="81">
        <v>-24458</v>
      </c>
      <c r="C50" s="81">
        <v>-32576</v>
      </c>
      <c r="D50" s="81">
        <v>-17533</v>
      </c>
      <c r="E50" s="81">
        <v>-27906</v>
      </c>
      <c r="F50" s="81">
        <v>-1787</v>
      </c>
      <c r="G50" s="81">
        <v>-28926</v>
      </c>
      <c r="H50" s="81">
        <v>-3636</v>
      </c>
      <c r="I50" s="81">
        <v>1782</v>
      </c>
      <c r="J50" s="135">
        <v>-1259</v>
      </c>
      <c r="K50" s="135">
        <v>-1758</v>
      </c>
      <c r="L50" s="135">
        <v>13430</v>
      </c>
      <c r="M50" s="135">
        <v>4040</v>
      </c>
      <c r="N50" s="135">
        <v>-3185</v>
      </c>
      <c r="O50" s="129">
        <f t="shared" si="4"/>
        <v>-2.3949097077683801E-3</v>
      </c>
      <c r="P50" s="135">
        <v>10554</v>
      </c>
      <c r="Q50" s="129">
        <f t="shared" si="5"/>
        <v>7.0884736072902342E-3</v>
      </c>
      <c r="R50" s="129">
        <f t="shared" si="2"/>
        <v>-4.3136577708006278</v>
      </c>
      <c r="S50" s="177">
        <v>8986</v>
      </c>
      <c r="T50" s="187">
        <f t="shared" si="6"/>
        <v>2.344427315056749E-3</v>
      </c>
      <c r="U50" s="177">
        <v>12836</v>
      </c>
      <c r="V50" s="187">
        <f t="shared" si="7"/>
        <v>3.1296081016766665E-3</v>
      </c>
      <c r="W50" s="187">
        <f t="shared" si="3"/>
        <v>0.4284442466058313</v>
      </c>
    </row>
    <row r="51" spans="1:23" s="85" customFormat="1" x14ac:dyDescent="0.3">
      <c r="A51" s="149" t="s">
        <v>52</v>
      </c>
      <c r="B51" s="81">
        <v>-1493</v>
      </c>
      <c r="C51" s="81">
        <v>-70809</v>
      </c>
      <c r="D51" s="81">
        <v>-27554</v>
      </c>
      <c r="E51" s="81">
        <v>-96678</v>
      </c>
      <c r="F51" s="81">
        <v>-89202</v>
      </c>
      <c r="G51" s="81">
        <v>-23551</v>
      </c>
      <c r="H51" s="81">
        <v>-26933</v>
      </c>
      <c r="I51" s="81">
        <v>-13536</v>
      </c>
      <c r="J51" s="135">
        <v>-5552</v>
      </c>
      <c r="K51" s="135">
        <v>-7981</v>
      </c>
      <c r="L51" s="135">
        <v>-7455</v>
      </c>
      <c r="M51" s="135">
        <v>-15076</v>
      </c>
      <c r="N51" s="135">
        <v>2332</v>
      </c>
      <c r="O51" s="129">
        <f t="shared" si="4"/>
        <v>1.7535100277914796E-3</v>
      </c>
      <c r="P51" s="135">
        <v>-2563</v>
      </c>
      <c r="Q51" s="129">
        <f t="shared" si="5"/>
        <v>-1.7214096887895461E-3</v>
      </c>
      <c r="R51" s="129">
        <f t="shared" si="2"/>
        <v>-2.0990566037735849</v>
      </c>
      <c r="S51" s="177">
        <v>-10675</v>
      </c>
      <c r="T51" s="187">
        <f t="shared" si="6"/>
        <v>-2.7850836399099486E-3</v>
      </c>
      <c r="U51" s="177">
        <v>-25620</v>
      </c>
      <c r="V51" s="187">
        <f t="shared" si="7"/>
        <v>-6.2465378283699117E-3</v>
      </c>
      <c r="W51" s="187">
        <f t="shared" si="3"/>
        <v>1.4</v>
      </c>
    </row>
    <row r="52" spans="1:23" s="85" customFormat="1" x14ac:dyDescent="0.3">
      <c r="A52" s="149" t="s">
        <v>14</v>
      </c>
      <c r="B52" s="81">
        <v>22218</v>
      </c>
      <c r="C52" s="81">
        <v>29348</v>
      </c>
      <c r="D52" s="81">
        <v>25763</v>
      </c>
      <c r="E52" s="81">
        <v>27907</v>
      </c>
      <c r="F52" s="81">
        <v>28975</v>
      </c>
      <c r="G52" s="81">
        <v>30996</v>
      </c>
      <c r="H52" s="81">
        <v>33531</v>
      </c>
      <c r="I52" s="81">
        <v>35188</v>
      </c>
      <c r="J52" s="135">
        <v>8296</v>
      </c>
      <c r="K52" s="135">
        <v>8803</v>
      </c>
      <c r="L52" s="135">
        <v>9263</v>
      </c>
      <c r="M52" s="135">
        <v>9924</v>
      </c>
      <c r="N52" s="135">
        <v>8787</v>
      </c>
      <c r="O52" s="129">
        <f t="shared" si="4"/>
        <v>6.6072438311336754E-3</v>
      </c>
      <c r="P52" s="135">
        <v>11140</v>
      </c>
      <c r="Q52" s="129">
        <f t="shared" si="5"/>
        <v>7.4820538170563963E-3</v>
      </c>
      <c r="R52" s="129">
        <f t="shared" si="2"/>
        <v>0.26778195060885401</v>
      </c>
      <c r="S52" s="177">
        <v>26346</v>
      </c>
      <c r="T52" s="187">
        <f t="shared" si="6"/>
        <v>6.8736125130742396E-3</v>
      </c>
      <c r="U52" s="177">
        <v>29867</v>
      </c>
      <c r="V52" s="187">
        <f t="shared" si="7"/>
        <v>7.2820197236504354E-3</v>
      </c>
      <c r="W52" s="187">
        <f t="shared" si="3"/>
        <v>0.13364457602672133</v>
      </c>
    </row>
    <row r="53" spans="1:23" s="85" customFormat="1" x14ac:dyDescent="0.3">
      <c r="A53" s="149" t="s">
        <v>16</v>
      </c>
      <c r="B53" s="81">
        <v>18955</v>
      </c>
      <c r="C53" s="81">
        <v>71319</v>
      </c>
      <c r="D53" s="81">
        <v>6759</v>
      </c>
      <c r="E53" s="81">
        <v>80511</v>
      </c>
      <c r="F53" s="81">
        <v>2124</v>
      </c>
      <c r="G53" s="81">
        <v>1513.7364279999999</v>
      </c>
      <c r="H53" s="81">
        <v>11185</v>
      </c>
      <c r="I53" s="81">
        <v>0</v>
      </c>
      <c r="J53" s="135">
        <v>-1</v>
      </c>
      <c r="K53" s="135">
        <v>0</v>
      </c>
      <c r="L53" s="135">
        <v>36</v>
      </c>
      <c r="M53" s="135">
        <v>107</v>
      </c>
      <c r="N53" s="135">
        <v>0</v>
      </c>
      <c r="O53" s="129">
        <f t="shared" si="4"/>
        <v>0</v>
      </c>
      <c r="P53" s="135">
        <v>0</v>
      </c>
      <c r="Q53" s="129">
        <f t="shared" si="5"/>
        <v>0</v>
      </c>
      <c r="R53" s="129">
        <f t="shared" si="2"/>
        <v>0</v>
      </c>
      <c r="S53" s="177">
        <v>35</v>
      </c>
      <c r="T53" s="187">
        <f t="shared" si="6"/>
        <v>9.1314217701965518E-6</v>
      </c>
      <c r="U53" s="177">
        <v>107</v>
      </c>
      <c r="V53" s="187">
        <f t="shared" si="7"/>
        <v>2.608819467742313E-5</v>
      </c>
      <c r="W53" s="195" t="s">
        <v>116</v>
      </c>
    </row>
    <row r="54" spans="1:23" s="95" customFormat="1" x14ac:dyDescent="0.3">
      <c r="A54" s="148" t="s">
        <v>2</v>
      </c>
      <c r="B54" s="80">
        <v>4238</v>
      </c>
      <c r="C54" s="80">
        <v>-53310</v>
      </c>
      <c r="D54" s="80">
        <v>-85355</v>
      </c>
      <c r="E54" s="80">
        <v>-93324</v>
      </c>
      <c r="F54" s="80">
        <v>-153684</v>
      </c>
      <c r="G54" s="80">
        <v>-91750.263571999996</v>
      </c>
      <c r="H54" s="80">
        <f t="shared" ref="H54:N54" si="11">SUM(H48:H53)</f>
        <v>-62927</v>
      </c>
      <c r="I54" s="80">
        <f t="shared" si="11"/>
        <v>-34992</v>
      </c>
      <c r="J54" s="134">
        <f t="shared" si="11"/>
        <v>-14423</v>
      </c>
      <c r="K54" s="134">
        <f t="shared" si="11"/>
        <v>-15379</v>
      </c>
      <c r="L54" s="134">
        <f t="shared" si="11"/>
        <v>-19</v>
      </c>
      <c r="M54" s="134">
        <f t="shared" si="11"/>
        <v>-15538</v>
      </c>
      <c r="N54" s="134">
        <f t="shared" si="11"/>
        <v>-6010</v>
      </c>
      <c r="O54" s="138">
        <f t="shared" si="4"/>
        <v>-4.5191231848313862E-3</v>
      </c>
      <c r="P54" s="134">
        <f>SUM(P48:P53)</f>
        <v>-5068</v>
      </c>
      <c r="Q54" s="138">
        <f t="shared" si="5"/>
        <v>-3.4038643397524071E-3</v>
      </c>
      <c r="R54" s="138">
        <f t="shared" si="2"/>
        <v>-0.15673876871880199</v>
      </c>
      <c r="S54" s="180">
        <f>SUM(S48:S53)</f>
        <v>-20452</v>
      </c>
      <c r="T54" s="187">
        <f t="shared" si="6"/>
        <v>-5.3358810869731394E-3</v>
      </c>
      <c r="U54" s="180">
        <f>SUM(U48:U53)</f>
        <v>-35985</v>
      </c>
      <c r="V54" s="187">
        <f t="shared" si="7"/>
        <v>-8.7736793034305736E-3</v>
      </c>
      <c r="W54" s="187">
        <f t="shared" si="3"/>
        <v>0.75948562487776261</v>
      </c>
    </row>
    <row r="55" spans="1:23" s="95" customFormat="1" x14ac:dyDescent="0.3">
      <c r="A55" s="148" t="s">
        <v>41</v>
      </c>
      <c r="B55" s="80">
        <v>267419</v>
      </c>
      <c r="C55" s="80">
        <v>246764</v>
      </c>
      <c r="D55" s="80">
        <v>347530</v>
      </c>
      <c r="E55" s="80">
        <v>372562</v>
      </c>
      <c r="F55" s="80">
        <v>295040</v>
      </c>
      <c r="G55" s="80">
        <v>340993.86194883985</v>
      </c>
      <c r="H55" s="80">
        <f t="shared" ref="H55:N55" si="12">+H47+H54</f>
        <v>369568.01641320647</v>
      </c>
      <c r="I55" s="80">
        <f t="shared" si="12"/>
        <v>486120</v>
      </c>
      <c r="J55" s="134">
        <f t="shared" si="12"/>
        <v>100294</v>
      </c>
      <c r="K55" s="134">
        <f t="shared" si="12"/>
        <v>125702</v>
      </c>
      <c r="L55" s="134">
        <f t="shared" si="12"/>
        <v>126082</v>
      </c>
      <c r="M55" s="134">
        <f t="shared" si="12"/>
        <v>141224</v>
      </c>
      <c r="N55" s="134">
        <f t="shared" si="12"/>
        <v>133543</v>
      </c>
      <c r="O55" s="138">
        <f t="shared" si="4"/>
        <v>0.10041551871413275</v>
      </c>
      <c r="P55" s="134">
        <f>+P47+P54</f>
        <v>148959</v>
      </c>
      <c r="Q55" s="138">
        <f t="shared" si="5"/>
        <v>0.10004661171767538</v>
      </c>
      <c r="R55" s="138">
        <f t="shared" si="2"/>
        <v>0.1154384730012056</v>
      </c>
      <c r="S55" s="180">
        <f>+S47+S54</f>
        <v>359919</v>
      </c>
      <c r="T55" s="187">
        <f t="shared" si="6"/>
        <v>9.3902062631639235E-2</v>
      </c>
      <c r="U55" s="180">
        <f>+U47+U54</f>
        <v>415885</v>
      </c>
      <c r="V55" s="187">
        <f t="shared" si="7"/>
        <v>0.10139896115345905</v>
      </c>
      <c r="W55" s="187">
        <f t="shared" si="3"/>
        <v>0.15549609773310105</v>
      </c>
    </row>
    <row r="56" spans="1:23" s="85" customFormat="1" x14ac:dyDescent="0.3">
      <c r="A56" s="149" t="s">
        <v>15</v>
      </c>
      <c r="B56" s="81">
        <v>-84076</v>
      </c>
      <c r="C56" s="81">
        <v>-70246</v>
      </c>
      <c r="D56" s="81">
        <v>-99987</v>
      </c>
      <c r="E56" s="81">
        <v>-73232</v>
      </c>
      <c r="F56" s="81">
        <v>-81309</v>
      </c>
      <c r="G56" s="81">
        <v>-76992.534036829995</v>
      </c>
      <c r="H56" s="81">
        <v>-113919.04882074999</v>
      </c>
      <c r="I56" s="81">
        <v>-138457</v>
      </c>
      <c r="J56" s="135">
        <v>-39773</v>
      </c>
      <c r="K56" s="135">
        <v>-46692</v>
      </c>
      <c r="L56" s="135">
        <v>-37735</v>
      </c>
      <c r="M56" s="135">
        <v>-44055</v>
      </c>
      <c r="N56" s="135">
        <v>-39317</v>
      </c>
      <c r="O56" s="129">
        <f t="shared" si="4"/>
        <v>-2.9563788062897774E-2</v>
      </c>
      <c r="P56" s="135">
        <v>-44910</v>
      </c>
      <c r="Q56" s="129">
        <f t="shared" si="5"/>
        <v>-3.0163288772352134E-2</v>
      </c>
      <c r="R56" s="129">
        <f t="shared" si="2"/>
        <v>0.14225398682503751</v>
      </c>
      <c r="S56" s="177">
        <v>-116825</v>
      </c>
      <c r="T56" s="187">
        <f t="shared" si="6"/>
        <v>-3.0479381380091777E-2</v>
      </c>
      <c r="U56" s="177">
        <v>-135657</v>
      </c>
      <c r="V56" s="187">
        <f t="shared" si="7"/>
        <v>-3.3075198367805508E-2</v>
      </c>
      <c r="W56" s="187">
        <f t="shared" si="3"/>
        <v>0.16119837363578002</v>
      </c>
    </row>
    <row r="57" spans="1:23" s="85" customFormat="1" x14ac:dyDescent="0.3">
      <c r="A57" s="149" t="s">
        <v>18</v>
      </c>
      <c r="B57" s="81">
        <v>-23</v>
      </c>
      <c r="C57" s="81">
        <v>17</v>
      </c>
      <c r="D57" s="81">
        <v>-230</v>
      </c>
      <c r="E57" s="81">
        <v>-279</v>
      </c>
      <c r="F57" s="81">
        <v>-457</v>
      </c>
      <c r="G57" s="81">
        <v>-762.45166136</v>
      </c>
      <c r="H57" s="81">
        <v>-2137.6216936399992</v>
      </c>
      <c r="I57" s="81">
        <v>-2156</v>
      </c>
      <c r="J57" s="135">
        <v>-917</v>
      </c>
      <c r="K57" s="135">
        <v>276</v>
      </c>
      <c r="L57" s="135">
        <v>-863</v>
      </c>
      <c r="M57" s="135">
        <v>-50</v>
      </c>
      <c r="N57" s="135">
        <v>-209</v>
      </c>
      <c r="O57" s="129">
        <f t="shared" si="4"/>
        <v>-1.5715420060395338E-4</v>
      </c>
      <c r="P57" s="135">
        <v>-299</v>
      </c>
      <c r="Q57" s="129">
        <f t="shared" si="5"/>
        <v>-2.0081993638239339E-4</v>
      </c>
      <c r="R57" s="129">
        <f t="shared" si="2"/>
        <v>0.43062200956937802</v>
      </c>
      <c r="S57" s="177">
        <v>-1989</v>
      </c>
      <c r="T57" s="189">
        <f t="shared" si="6"/>
        <v>-5.1892565431202692E-4</v>
      </c>
      <c r="U57" s="177">
        <v>-73</v>
      </c>
      <c r="V57" s="189">
        <f t="shared" si="7"/>
        <v>-1.7798487957494284E-5</v>
      </c>
      <c r="W57" s="187">
        <f t="shared" si="3"/>
        <v>-0.96329813976872802</v>
      </c>
    </row>
    <row r="58" spans="1:23" s="95" customFormat="1" x14ac:dyDescent="0.3">
      <c r="A58" s="150" t="s">
        <v>17</v>
      </c>
      <c r="B58" s="113">
        <v>183320</v>
      </c>
      <c r="C58" s="113">
        <v>176535</v>
      </c>
      <c r="D58" s="113">
        <v>247313</v>
      </c>
      <c r="E58" s="113">
        <v>299051</v>
      </c>
      <c r="F58" s="113">
        <v>213274</v>
      </c>
      <c r="G58" s="113">
        <v>263238.87625064986</v>
      </c>
      <c r="H58" s="113">
        <f t="shared" ref="H58:M58" si="13">+H55+H56+H57</f>
        <v>253511.34589881651</v>
      </c>
      <c r="I58" s="113">
        <f t="shared" si="13"/>
        <v>345507</v>
      </c>
      <c r="J58" s="136">
        <f t="shared" si="13"/>
        <v>59604</v>
      </c>
      <c r="K58" s="136">
        <f t="shared" si="13"/>
        <v>79286</v>
      </c>
      <c r="L58" s="136">
        <f t="shared" si="13"/>
        <v>87484</v>
      </c>
      <c r="M58" s="136">
        <f t="shared" si="13"/>
        <v>97119</v>
      </c>
      <c r="N58" s="136">
        <v>94017</v>
      </c>
      <c r="O58" s="139">
        <f t="shared" si="4"/>
        <v>7.0694576450631028E-2</v>
      </c>
      <c r="P58" s="136">
        <f>+P55+P56+P57</f>
        <v>103750</v>
      </c>
      <c r="Q58" s="139">
        <f t="shared" si="5"/>
        <v>6.9682503008940855E-2</v>
      </c>
      <c r="R58" s="139">
        <f t="shared" si="2"/>
        <v>0.10352383079655807</v>
      </c>
      <c r="S58" s="190">
        <f>+S55+S56+S57</f>
        <v>241105</v>
      </c>
      <c r="T58" s="189">
        <f t="shared" si="6"/>
        <v>6.290375559723542E-2</v>
      </c>
      <c r="U58" s="190">
        <f>+U55+U56+U57</f>
        <v>280155</v>
      </c>
      <c r="V58" s="189">
        <f t="shared" si="7"/>
        <v>6.8305964297696045E-2</v>
      </c>
      <c r="W58" s="191">
        <f>+(U58-S58)/S58</f>
        <v>0.16196263038924949</v>
      </c>
    </row>
    <row r="59" spans="1:23" s="95" customFormat="1" ht="15.75" thickBot="1" x14ac:dyDescent="0.35">
      <c r="A59" s="151" t="s">
        <v>19</v>
      </c>
      <c r="B59" s="91">
        <v>317502</v>
      </c>
      <c r="C59" s="91">
        <v>382594</v>
      </c>
      <c r="D59" s="91">
        <v>528754</v>
      </c>
      <c r="E59" s="91">
        <v>569823</v>
      </c>
      <c r="F59" s="91">
        <v>551034</v>
      </c>
      <c r="G59" s="91">
        <v>538165</v>
      </c>
      <c r="H59" s="91">
        <v>568131.17041880696</v>
      </c>
      <c r="I59" s="91">
        <v>671095</v>
      </c>
      <c r="J59" s="137">
        <v>150246</v>
      </c>
      <c r="K59" s="137">
        <v>179705</v>
      </c>
      <c r="L59" s="137">
        <v>161808</v>
      </c>
      <c r="M59" s="137">
        <v>196119</v>
      </c>
      <c r="N59" s="137">
        <v>176006</v>
      </c>
      <c r="O59" s="140">
        <f t="shared" si="4"/>
        <v>0.13234489105980582</v>
      </c>
      <c r="P59" s="137">
        <v>199330</v>
      </c>
      <c r="Q59" s="140">
        <f t="shared" si="5"/>
        <v>0.13387771879298488</v>
      </c>
      <c r="R59" s="140">
        <f t="shared" si="2"/>
        <v>0.13251820960649069</v>
      </c>
      <c r="S59" s="178">
        <v>488060</v>
      </c>
      <c r="T59" s="192">
        <f t="shared" si="6"/>
        <v>0.12733376311891798</v>
      </c>
      <c r="U59" s="178">
        <v>575154</v>
      </c>
      <c r="V59" s="192">
        <f t="shared" si="7"/>
        <v>0.14023111702335161</v>
      </c>
      <c r="W59" s="193">
        <f>+(U59-S59)/S59</f>
        <v>0.17844937097897801</v>
      </c>
    </row>
    <row r="60" spans="1:23" s="85" customFormat="1" x14ac:dyDescent="0.3">
      <c r="A60" s="81"/>
      <c r="B60" s="81"/>
      <c r="C60" s="81"/>
      <c r="D60" s="81"/>
      <c r="E60" s="81"/>
      <c r="F60" s="81"/>
      <c r="G60" s="81"/>
      <c r="H60" s="81"/>
      <c r="I60" s="82"/>
      <c r="J60" s="82"/>
      <c r="K60" s="82"/>
      <c r="L60" s="112"/>
      <c r="M60" s="82"/>
      <c r="N60" s="82"/>
      <c r="O60" s="101"/>
      <c r="P60" s="101"/>
    </row>
    <row r="61" spans="1:23" s="85" customFormat="1" x14ac:dyDescent="0.3">
      <c r="A61" s="85" t="s">
        <v>53</v>
      </c>
      <c r="H61" s="112"/>
      <c r="I61" s="112"/>
      <c r="J61" s="112"/>
      <c r="K61" s="112"/>
      <c r="L61" s="112"/>
      <c r="M61" s="82"/>
      <c r="N61" s="82"/>
      <c r="O61" s="101"/>
      <c r="P61" s="101"/>
    </row>
    <row r="62" spans="1:23" s="85" customFormat="1" x14ac:dyDescent="0.3">
      <c r="H62" s="81"/>
      <c r="I62" s="81"/>
      <c r="J62" s="81"/>
      <c r="K62" s="81"/>
      <c r="L62" s="112"/>
      <c r="M62" s="82"/>
      <c r="N62" s="82"/>
      <c r="O62" s="101"/>
      <c r="P62" s="101"/>
    </row>
    <row r="63" spans="1:23" s="85" customFormat="1" x14ac:dyDescent="0.3">
      <c r="H63" s="81"/>
      <c r="I63" s="81"/>
      <c r="J63" s="81"/>
      <c r="K63" s="81"/>
      <c r="L63" s="82"/>
      <c r="M63" s="82"/>
      <c r="N63" s="82"/>
      <c r="O63" s="101"/>
      <c r="P63" s="101"/>
    </row>
    <row r="64" spans="1:23" s="85" customFormat="1" x14ac:dyDescent="0.3">
      <c r="H64" s="81"/>
      <c r="I64" s="81"/>
      <c r="J64" s="81"/>
      <c r="K64" s="81"/>
      <c r="L64" s="89"/>
      <c r="M64" s="82"/>
      <c r="N64" s="82"/>
      <c r="O64" s="101"/>
      <c r="P64" s="101"/>
      <c r="Q64" s="194"/>
    </row>
    <row r="65" spans="13:14" x14ac:dyDescent="0.3">
      <c r="M65" s="77"/>
      <c r="N65" s="77"/>
    </row>
    <row r="82" spans="13:14" x14ac:dyDescent="0.3">
      <c r="M82" s="77"/>
      <c r="N82" s="77"/>
    </row>
  </sheetData>
  <pageMargins left="0.7" right="0.7" top="0.75" bottom="0.75" header="0.3" footer="0.3"/>
  <customProperties>
    <customPr name="_pios_id" r:id="rId1"/>
  </customPropertie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8"/>
  <sheetViews>
    <sheetView zoomScale="94" zoomScaleNormal="94" workbookViewId="0">
      <pane xSplit="1" ySplit="10" topLeftCell="H11" activePane="bottomRight" state="frozen"/>
      <selection pane="topRight" activeCell="B1" sqref="B1"/>
      <selection pane="bottomLeft" activeCell="A11" sqref="A11"/>
      <selection pane="bottomRight" activeCell="H37" sqref="H37"/>
    </sheetView>
  </sheetViews>
  <sheetFormatPr baseColWidth="10" defaultColWidth="11.42578125" defaultRowHeight="15" x14ac:dyDescent="0.3"/>
  <cols>
    <col min="1" max="1" width="43.7109375" style="73" customWidth="1"/>
    <col min="2" max="2" width="14.42578125" style="73" customWidth="1"/>
    <col min="3" max="7" width="11.42578125" style="73" bestFit="1" customWidth="1"/>
    <col min="8" max="8" width="13" style="74" bestFit="1" customWidth="1"/>
    <col min="9" max="9" width="12.7109375" style="74" bestFit="1" customWidth="1"/>
    <col min="10" max="11" width="12.7109375" style="74" customWidth="1"/>
    <col min="12" max="12" width="13.42578125" style="75" bestFit="1" customWidth="1"/>
    <col min="13" max="14" width="11.42578125" style="73"/>
    <col min="15" max="15" width="14.28515625" style="73" bestFit="1" customWidth="1"/>
    <col min="16" max="17" width="14.28515625" style="73" customWidth="1"/>
    <col min="18" max="16384" width="11.42578125" style="73"/>
  </cols>
  <sheetData>
    <row r="1" spans="1:23" x14ac:dyDescent="0.3">
      <c r="M1" s="75"/>
      <c r="N1" s="75"/>
      <c r="O1" s="75"/>
      <c r="P1" s="75"/>
      <c r="Q1" s="75"/>
      <c r="R1" s="76"/>
      <c r="S1" s="76"/>
    </row>
    <row r="2" spans="1:23" x14ac:dyDescent="0.3">
      <c r="M2" s="75"/>
      <c r="N2" s="75"/>
      <c r="O2" s="75"/>
      <c r="P2" s="75"/>
      <c r="Q2" s="75"/>
      <c r="R2" s="76"/>
      <c r="S2" s="76"/>
    </row>
    <row r="3" spans="1:23" x14ac:dyDescent="0.3">
      <c r="M3" s="75"/>
      <c r="N3" s="75"/>
      <c r="O3" s="75"/>
      <c r="P3" s="75"/>
      <c r="Q3" s="75"/>
      <c r="R3" s="76"/>
      <c r="S3" s="76"/>
    </row>
    <row r="4" spans="1:23" x14ac:dyDescent="0.3">
      <c r="M4" s="75"/>
      <c r="N4" s="75"/>
      <c r="O4" s="75"/>
      <c r="P4" s="75"/>
      <c r="Q4" s="75"/>
      <c r="R4" s="76"/>
      <c r="S4" s="76"/>
    </row>
    <row r="5" spans="1:23" x14ac:dyDescent="0.3">
      <c r="M5" s="75"/>
      <c r="N5" s="75"/>
      <c r="O5" s="75"/>
      <c r="P5" s="75"/>
      <c r="Q5" s="75"/>
      <c r="R5" s="76"/>
      <c r="S5" s="76"/>
    </row>
    <row r="6" spans="1:23" ht="21" x14ac:dyDescent="0.35">
      <c r="A6" s="116" t="s">
        <v>90</v>
      </c>
      <c r="B6" s="116"/>
      <c r="C6" s="116"/>
      <c r="D6" s="116"/>
      <c r="E6" s="116"/>
      <c r="F6" s="116"/>
      <c r="G6" s="116"/>
      <c r="M6" s="75"/>
      <c r="N6" s="75"/>
      <c r="O6" s="75"/>
      <c r="P6" s="75"/>
      <c r="Q6" s="75"/>
      <c r="R6" s="76"/>
      <c r="S6" s="76"/>
    </row>
    <row r="7" spans="1:23" ht="15.75" x14ac:dyDescent="0.3">
      <c r="A7" s="78" t="s">
        <v>85</v>
      </c>
      <c r="B7" s="78"/>
      <c r="C7" s="78"/>
      <c r="D7" s="78"/>
      <c r="E7" s="78"/>
      <c r="F7" s="78"/>
      <c r="G7" s="78"/>
      <c r="M7" s="75"/>
      <c r="N7" s="75"/>
      <c r="O7" s="75"/>
      <c r="P7" s="75"/>
      <c r="Q7" s="75"/>
      <c r="R7" s="76"/>
      <c r="S7" s="76"/>
    </row>
    <row r="8" spans="1:23" x14ac:dyDescent="0.3">
      <c r="A8" s="79" t="s">
        <v>88</v>
      </c>
      <c r="B8" s="79"/>
      <c r="C8" s="79"/>
      <c r="D8" s="79"/>
      <c r="E8" s="79"/>
      <c r="F8" s="79"/>
      <c r="G8" s="79"/>
      <c r="M8" s="75"/>
      <c r="N8" s="75"/>
      <c r="O8" s="75"/>
      <c r="P8" s="75"/>
      <c r="Q8" s="75"/>
      <c r="R8" s="76"/>
      <c r="S8" s="76"/>
    </row>
    <row r="9" spans="1:23" s="85" customFormat="1" x14ac:dyDescent="0.3">
      <c r="A9" s="80"/>
      <c r="B9" s="80"/>
      <c r="C9" s="80"/>
      <c r="D9" s="80"/>
      <c r="E9" s="80"/>
      <c r="F9" s="80"/>
      <c r="G9" s="80"/>
      <c r="H9" s="81"/>
      <c r="I9" s="81"/>
      <c r="J9" s="81"/>
      <c r="K9" s="81"/>
      <c r="L9" s="82"/>
      <c r="M9" s="82"/>
      <c r="N9" s="82"/>
      <c r="O9" s="82"/>
      <c r="P9" s="82"/>
      <c r="Q9" s="82"/>
      <c r="R9" s="83"/>
      <c r="S9" s="83"/>
      <c r="T9" s="84"/>
      <c r="U9" s="84"/>
      <c r="V9" s="84"/>
      <c r="W9" s="84"/>
    </row>
    <row r="10" spans="1:23" s="85" customFormat="1" ht="15.75" thickBot="1" x14ac:dyDescent="0.35">
      <c r="A10" s="104" t="s">
        <v>20</v>
      </c>
      <c r="B10" s="156">
        <v>2005</v>
      </c>
      <c r="C10" s="156">
        <v>2006</v>
      </c>
      <c r="D10" s="156">
        <v>2007</v>
      </c>
      <c r="E10" s="156">
        <v>2008</v>
      </c>
      <c r="F10" s="156">
        <v>2009</v>
      </c>
      <c r="G10" s="156">
        <v>2010</v>
      </c>
      <c r="H10" s="156">
        <v>2011</v>
      </c>
      <c r="I10" s="156">
        <v>2012</v>
      </c>
      <c r="J10" s="145">
        <v>2012</v>
      </c>
      <c r="K10" s="145">
        <v>2013</v>
      </c>
      <c r="L10" s="158" t="s">
        <v>46</v>
      </c>
    </row>
    <row r="11" spans="1:23" s="85" customFormat="1" x14ac:dyDescent="0.3">
      <c r="A11" s="88" t="s">
        <v>21</v>
      </c>
      <c r="B11" s="81">
        <v>5989</v>
      </c>
      <c r="C11" s="81">
        <v>915</v>
      </c>
      <c r="D11" s="81">
        <v>1835</v>
      </c>
      <c r="E11" s="81">
        <v>382</v>
      </c>
      <c r="F11" s="81">
        <v>191</v>
      </c>
      <c r="G11" s="81">
        <v>225</v>
      </c>
      <c r="H11" s="81">
        <v>94</v>
      </c>
      <c r="I11" s="81">
        <v>75</v>
      </c>
      <c r="J11" s="135">
        <v>74</v>
      </c>
      <c r="K11" s="135">
        <v>58</v>
      </c>
      <c r="L11" s="129">
        <f>IF(J11&lt;&gt;0,(K11-J11)/J11,0)</f>
        <v>-0.21621621621621623</v>
      </c>
      <c r="N11" s="82"/>
    </row>
    <row r="12" spans="1:23" s="85" customFormat="1" x14ac:dyDescent="0.3">
      <c r="A12" s="88" t="s">
        <v>22</v>
      </c>
      <c r="B12" s="81">
        <v>2353634</v>
      </c>
      <c r="C12" s="81">
        <v>2658218</v>
      </c>
      <c r="D12" s="81">
        <v>2904738</v>
      </c>
      <c r="E12" s="81">
        <v>3041332</v>
      </c>
      <c r="F12" s="81">
        <v>3601952</v>
      </c>
      <c r="G12" s="81">
        <v>2716228</v>
      </c>
      <c r="H12" s="81">
        <v>3554895</v>
      </c>
      <c r="I12" s="81">
        <v>3748345</v>
      </c>
      <c r="J12" s="135">
        <v>3748346</v>
      </c>
      <c r="K12" s="135">
        <v>4126523</v>
      </c>
      <c r="L12" s="129">
        <f t="shared" ref="L12:L17" si="0">IF(J12&lt;&gt;0,(K12-J12)/J12,0)</f>
        <v>0.10089169996579825</v>
      </c>
      <c r="N12" s="82"/>
    </row>
    <row r="13" spans="1:23" s="89" customFormat="1" ht="14.25" customHeight="1" x14ac:dyDescent="0.3">
      <c r="A13" s="88" t="s">
        <v>23</v>
      </c>
      <c r="B13" s="81">
        <v>5093</v>
      </c>
      <c r="C13" s="81">
        <v>21107</v>
      </c>
      <c r="D13" s="81">
        <v>10187</v>
      </c>
      <c r="E13" s="81">
        <v>24218</v>
      </c>
      <c r="F13" s="81">
        <v>43410</v>
      </c>
      <c r="G13" s="81">
        <v>90361</v>
      </c>
      <c r="H13" s="81">
        <v>10662</v>
      </c>
      <c r="I13" s="81">
        <v>14922</v>
      </c>
      <c r="J13" s="135">
        <v>14922</v>
      </c>
      <c r="K13" s="135">
        <v>18191</v>
      </c>
      <c r="L13" s="129">
        <f t="shared" si="0"/>
        <v>0.21907251038734754</v>
      </c>
      <c r="N13" s="82"/>
      <c r="U13" s="85"/>
      <c r="V13" s="85"/>
      <c r="W13" s="85"/>
    </row>
    <row r="14" spans="1:23" s="89" customFormat="1" x14ac:dyDescent="0.3">
      <c r="A14" s="88" t="s">
        <v>37</v>
      </c>
      <c r="B14" s="81"/>
      <c r="C14" s="81"/>
      <c r="D14" s="81">
        <v>0</v>
      </c>
      <c r="E14" s="81">
        <v>50</v>
      </c>
      <c r="F14" s="81"/>
      <c r="G14" s="81"/>
      <c r="H14" s="81">
        <v>0</v>
      </c>
      <c r="I14" s="81">
        <v>0</v>
      </c>
      <c r="J14" s="135">
        <v>0</v>
      </c>
      <c r="K14" s="135">
        <v>0</v>
      </c>
      <c r="L14" s="129">
        <f t="shared" si="0"/>
        <v>0</v>
      </c>
      <c r="N14" s="82"/>
      <c r="U14" s="85"/>
      <c r="V14" s="85"/>
      <c r="W14" s="85"/>
    </row>
    <row r="15" spans="1:23" s="89" customFormat="1" x14ac:dyDescent="0.3">
      <c r="A15" s="88" t="s">
        <v>110</v>
      </c>
      <c r="B15" s="81">
        <v>23371</v>
      </c>
      <c r="C15" s="81">
        <v>1095</v>
      </c>
      <c r="D15" s="81">
        <v>209</v>
      </c>
      <c r="E15" s="81">
        <v>209</v>
      </c>
      <c r="F15" s="81">
        <v>209</v>
      </c>
      <c r="G15" s="81">
        <v>155</v>
      </c>
      <c r="H15" s="81">
        <f>503+155</f>
        <v>658</v>
      </c>
      <c r="I15" s="81">
        <v>118</v>
      </c>
      <c r="J15" s="135">
        <v>118</v>
      </c>
      <c r="K15" s="135">
        <v>4612</v>
      </c>
      <c r="L15" s="197" t="s">
        <v>116</v>
      </c>
      <c r="N15" s="82"/>
      <c r="U15" s="85"/>
      <c r="V15" s="85"/>
      <c r="W15" s="85"/>
    </row>
    <row r="16" spans="1:23" s="89" customFormat="1" x14ac:dyDescent="0.3">
      <c r="A16" s="88" t="s">
        <v>26</v>
      </c>
      <c r="B16" s="81">
        <v>1356015</v>
      </c>
      <c r="C16" s="81">
        <v>1347305</v>
      </c>
      <c r="D16" s="81">
        <v>1324771</v>
      </c>
      <c r="E16" s="81">
        <v>891321</v>
      </c>
      <c r="F16" s="81">
        <v>1869198</v>
      </c>
      <c r="G16" s="81">
        <v>3596772</v>
      </c>
      <c r="H16" s="81">
        <v>2979150</v>
      </c>
      <c r="I16" s="81">
        <v>3733696</v>
      </c>
      <c r="J16" s="135">
        <v>3733696</v>
      </c>
      <c r="K16" s="135">
        <v>3357714</v>
      </c>
      <c r="L16" s="129">
        <f t="shared" si="0"/>
        <v>-0.10069968203088843</v>
      </c>
      <c r="N16" s="82"/>
      <c r="U16" s="85"/>
      <c r="V16" s="85"/>
      <c r="W16" s="85"/>
    </row>
    <row r="17" spans="1:23" s="89" customFormat="1" ht="15.75" thickBot="1" x14ac:dyDescent="0.35">
      <c r="A17" s="90" t="s">
        <v>27</v>
      </c>
      <c r="B17" s="91">
        <f t="shared" ref="B17:K17" si="1">SUM(B11:B16)</f>
        <v>3744102</v>
      </c>
      <c r="C17" s="91">
        <f t="shared" si="1"/>
        <v>4028640</v>
      </c>
      <c r="D17" s="91">
        <f t="shared" si="1"/>
        <v>4241740</v>
      </c>
      <c r="E17" s="91">
        <f t="shared" si="1"/>
        <v>3957512</v>
      </c>
      <c r="F17" s="91">
        <f t="shared" si="1"/>
        <v>5514960</v>
      </c>
      <c r="G17" s="91">
        <f t="shared" si="1"/>
        <v>6403741</v>
      </c>
      <c r="H17" s="91">
        <f t="shared" si="1"/>
        <v>6545459</v>
      </c>
      <c r="I17" s="91">
        <f t="shared" si="1"/>
        <v>7497156</v>
      </c>
      <c r="J17" s="137">
        <f t="shared" si="1"/>
        <v>7497156</v>
      </c>
      <c r="K17" s="137">
        <f t="shared" si="1"/>
        <v>7507098</v>
      </c>
      <c r="L17" s="159">
        <f t="shared" si="0"/>
        <v>1.3261028582038309E-3</v>
      </c>
      <c r="N17" s="82"/>
      <c r="U17" s="85"/>
      <c r="V17" s="85"/>
      <c r="W17" s="85"/>
    </row>
    <row r="18" spans="1:23" s="85" customFormat="1" x14ac:dyDescent="0.3">
      <c r="B18" s="81"/>
      <c r="C18" s="81"/>
      <c r="D18" s="81"/>
      <c r="E18" s="81"/>
      <c r="F18" s="81"/>
      <c r="G18" s="81"/>
      <c r="H18" s="81"/>
      <c r="I18" s="81"/>
      <c r="J18" s="135"/>
      <c r="K18" s="135"/>
      <c r="L18" s="129"/>
      <c r="N18" s="82"/>
    </row>
    <row r="19" spans="1:23" s="89" customFormat="1" x14ac:dyDescent="0.3">
      <c r="A19" s="104" t="s">
        <v>48</v>
      </c>
      <c r="B19" s="86"/>
      <c r="C19" s="86"/>
      <c r="D19" s="86"/>
      <c r="E19" s="86"/>
      <c r="F19" s="86"/>
      <c r="G19" s="86"/>
      <c r="H19" s="86">
        <v>2011</v>
      </c>
      <c r="I19" s="86">
        <v>2012</v>
      </c>
      <c r="J19" s="161">
        <v>2012</v>
      </c>
      <c r="K19" s="161">
        <v>2013</v>
      </c>
      <c r="L19" s="162" t="s">
        <v>46</v>
      </c>
      <c r="N19" s="82"/>
      <c r="U19" s="85"/>
      <c r="V19" s="85"/>
      <c r="W19" s="85"/>
    </row>
    <row r="20" spans="1:23" s="89" customFormat="1" x14ac:dyDescent="0.3">
      <c r="A20" s="88" t="s">
        <v>28</v>
      </c>
      <c r="B20" s="81"/>
      <c r="C20" s="81"/>
      <c r="D20" s="81">
        <v>7000</v>
      </c>
      <c r="E20" s="81">
        <v>7000</v>
      </c>
      <c r="F20" s="81">
        <v>0</v>
      </c>
      <c r="G20" s="81">
        <v>445</v>
      </c>
      <c r="H20" s="81">
        <v>0</v>
      </c>
      <c r="I20" s="81">
        <v>7</v>
      </c>
      <c r="J20" s="135">
        <v>7</v>
      </c>
      <c r="K20" s="135">
        <v>0</v>
      </c>
      <c r="L20" s="129">
        <f t="shared" ref="L20:L28" si="2">IF(J20&lt;&gt;0,(K20-J20)/J20,0)</f>
        <v>-1</v>
      </c>
      <c r="N20" s="82"/>
      <c r="U20" s="85"/>
      <c r="V20" s="85"/>
      <c r="W20" s="85"/>
    </row>
    <row r="21" spans="1:23" s="89" customFormat="1" x14ac:dyDescent="0.3">
      <c r="A21" s="88" t="s">
        <v>29</v>
      </c>
      <c r="B21" s="81">
        <v>37598</v>
      </c>
      <c r="C21" s="81">
        <v>60127</v>
      </c>
      <c r="D21" s="81">
        <v>62571</v>
      </c>
      <c r="E21" s="81">
        <v>71267</v>
      </c>
      <c r="F21" s="81">
        <v>111498</v>
      </c>
      <c r="G21" s="81">
        <v>70420</v>
      </c>
      <c r="H21" s="81">
        <v>59466</v>
      </c>
      <c r="I21" s="81">
        <v>65082</v>
      </c>
      <c r="J21" s="135">
        <v>65083</v>
      </c>
      <c r="K21" s="135">
        <v>70701</v>
      </c>
      <c r="L21" s="129">
        <f t="shared" si="2"/>
        <v>8.6320544535439359E-2</v>
      </c>
      <c r="N21" s="82"/>
      <c r="U21" s="85"/>
      <c r="V21" s="85"/>
      <c r="W21" s="85"/>
    </row>
    <row r="22" spans="1:23" s="85" customFormat="1" x14ac:dyDescent="0.3">
      <c r="A22" s="88" t="s">
        <v>30</v>
      </c>
      <c r="B22" s="81">
        <v>3128</v>
      </c>
      <c r="C22" s="81">
        <v>98</v>
      </c>
      <c r="D22" s="81">
        <v>645</v>
      </c>
      <c r="E22" s="81">
        <v>1762</v>
      </c>
      <c r="F22" s="81">
        <v>430</v>
      </c>
      <c r="G22" s="81">
        <v>604</v>
      </c>
      <c r="H22" s="81">
        <v>585</v>
      </c>
      <c r="I22" s="81">
        <v>657</v>
      </c>
      <c r="J22" s="135">
        <v>657</v>
      </c>
      <c r="K22" s="135">
        <v>2299</v>
      </c>
      <c r="L22" s="129">
        <f t="shared" si="2"/>
        <v>2.4992389649923896</v>
      </c>
      <c r="N22" s="82"/>
    </row>
    <row r="23" spans="1:23" s="85" customFormat="1" x14ac:dyDescent="0.3">
      <c r="A23" s="88" t="s">
        <v>31</v>
      </c>
      <c r="B23" s="81">
        <v>247</v>
      </c>
      <c r="C23" s="81">
        <v>501</v>
      </c>
      <c r="D23" s="81">
        <v>686</v>
      </c>
      <c r="E23" s="81">
        <v>940</v>
      </c>
      <c r="F23" s="81">
        <v>650</v>
      </c>
      <c r="G23" s="81">
        <v>947</v>
      </c>
      <c r="H23" s="81">
        <v>872</v>
      </c>
      <c r="I23" s="81">
        <v>481</v>
      </c>
      <c r="J23" s="135">
        <v>481</v>
      </c>
      <c r="K23" s="135">
        <v>932</v>
      </c>
      <c r="L23" s="129">
        <f t="shared" si="2"/>
        <v>0.93762993762993763</v>
      </c>
      <c r="N23" s="82"/>
    </row>
    <row r="24" spans="1:23" s="85" customFormat="1" x14ac:dyDescent="0.3">
      <c r="A24" s="88" t="s">
        <v>32</v>
      </c>
      <c r="B24" s="81"/>
      <c r="C24" s="81"/>
      <c r="D24" s="81"/>
      <c r="E24" s="81"/>
      <c r="F24" s="81"/>
      <c r="G24" s="81"/>
      <c r="H24" s="81">
        <v>0</v>
      </c>
      <c r="I24" s="81">
        <v>0</v>
      </c>
      <c r="J24" s="135">
        <v>0</v>
      </c>
      <c r="K24" s="135">
        <v>0</v>
      </c>
      <c r="L24" s="129">
        <f t="shared" si="2"/>
        <v>0</v>
      </c>
      <c r="N24" s="82"/>
    </row>
    <row r="25" spans="1:23" s="85" customFormat="1" x14ac:dyDescent="0.3">
      <c r="A25" s="88" t="s">
        <v>87</v>
      </c>
      <c r="B25" s="81">
        <v>2356</v>
      </c>
      <c r="C25" s="81">
        <v>2509</v>
      </c>
      <c r="D25" s="81">
        <v>2679</v>
      </c>
      <c r="E25" s="81">
        <v>2934</v>
      </c>
      <c r="F25" s="81">
        <v>3179</v>
      </c>
      <c r="G25" s="81">
        <v>7650</v>
      </c>
      <c r="H25" s="81">
        <v>8296</v>
      </c>
      <c r="I25" s="81">
        <v>8803</v>
      </c>
      <c r="J25" s="135">
        <v>8803</v>
      </c>
      <c r="K25" s="135">
        <v>9622</v>
      </c>
      <c r="L25" s="129">
        <f t="shared" si="2"/>
        <v>9.3036464841531302E-2</v>
      </c>
      <c r="N25" s="82"/>
    </row>
    <row r="26" spans="1:23" s="95" customFormat="1" x14ac:dyDescent="0.3">
      <c r="A26" s="93" t="s">
        <v>33</v>
      </c>
      <c r="B26" s="80">
        <f t="shared" ref="B26:G26" si="3">SUM(B20:B25)</f>
        <v>43329</v>
      </c>
      <c r="C26" s="80">
        <f t="shared" si="3"/>
        <v>63235</v>
      </c>
      <c r="D26" s="80">
        <f t="shared" si="3"/>
        <v>73581</v>
      </c>
      <c r="E26" s="80">
        <f t="shared" si="3"/>
        <v>83903</v>
      </c>
      <c r="F26" s="80">
        <f t="shared" si="3"/>
        <v>115757</v>
      </c>
      <c r="G26" s="80">
        <f t="shared" si="3"/>
        <v>80066</v>
      </c>
      <c r="H26" s="80">
        <f>SUM(H20:H25)</f>
        <v>69219</v>
      </c>
      <c r="I26" s="80">
        <f>SUM(I20:I25)</f>
        <v>75030</v>
      </c>
      <c r="J26" s="134">
        <f>SUM(J20:J25)</f>
        <v>75031</v>
      </c>
      <c r="K26" s="134">
        <f>SUM(K20:K25)</f>
        <v>83554</v>
      </c>
      <c r="L26" s="138">
        <f t="shared" si="2"/>
        <v>0.11359304820674121</v>
      </c>
      <c r="N26" s="82"/>
      <c r="U26" s="85"/>
      <c r="V26" s="85"/>
      <c r="W26" s="85"/>
    </row>
    <row r="27" spans="1:23" s="95" customFormat="1" x14ac:dyDescent="0.3">
      <c r="A27" s="96" t="s">
        <v>34</v>
      </c>
      <c r="B27" s="97">
        <v>3700773</v>
      </c>
      <c r="C27" s="97">
        <v>3965405</v>
      </c>
      <c r="D27" s="97">
        <v>4168159</v>
      </c>
      <c r="E27" s="97">
        <v>3873609</v>
      </c>
      <c r="F27" s="97">
        <v>5399203</v>
      </c>
      <c r="G27" s="97">
        <v>6323675</v>
      </c>
      <c r="H27" s="97">
        <v>6476240</v>
      </c>
      <c r="I27" s="97">
        <v>7422126</v>
      </c>
      <c r="J27" s="163">
        <v>7422125</v>
      </c>
      <c r="K27" s="163">
        <v>7423544</v>
      </c>
      <c r="L27" s="131">
        <f t="shared" si="2"/>
        <v>1.9118513902689595E-4</v>
      </c>
      <c r="N27" s="82"/>
      <c r="U27" s="85"/>
      <c r="V27" s="85"/>
      <c r="W27" s="85"/>
    </row>
    <row r="28" spans="1:23" s="95" customFormat="1" ht="15.75" thickBot="1" x14ac:dyDescent="0.35">
      <c r="A28" s="90" t="s">
        <v>35</v>
      </c>
      <c r="B28" s="91">
        <f t="shared" ref="B28:G28" si="4">+B26+B27</f>
        <v>3744102</v>
      </c>
      <c r="C28" s="91">
        <f t="shared" si="4"/>
        <v>4028640</v>
      </c>
      <c r="D28" s="91">
        <f t="shared" si="4"/>
        <v>4241740</v>
      </c>
      <c r="E28" s="91">
        <f t="shared" si="4"/>
        <v>3957512</v>
      </c>
      <c r="F28" s="91">
        <f t="shared" si="4"/>
        <v>5514960</v>
      </c>
      <c r="G28" s="91">
        <f t="shared" si="4"/>
        <v>6403741</v>
      </c>
      <c r="H28" s="91">
        <f>+H26+H27</f>
        <v>6545459</v>
      </c>
      <c r="I28" s="91">
        <f>+I26+I27</f>
        <v>7497156</v>
      </c>
      <c r="J28" s="137">
        <f>+J26+J27</f>
        <v>7497156</v>
      </c>
      <c r="K28" s="137">
        <f>+K26+K27</f>
        <v>7507098</v>
      </c>
      <c r="L28" s="130">
        <f t="shared" si="2"/>
        <v>1.3261028582038309E-3</v>
      </c>
      <c r="N28" s="82"/>
      <c r="U28" s="85"/>
      <c r="V28" s="85"/>
      <c r="W28" s="85"/>
    </row>
    <row r="29" spans="1:23" s="85" customFormat="1" x14ac:dyDescent="0.3">
      <c r="A29" s="88" t="s">
        <v>54</v>
      </c>
      <c r="B29" s="81">
        <v>435123458</v>
      </c>
      <c r="C29" s="81">
        <v>435123458</v>
      </c>
      <c r="D29" s="81">
        <v>435123458</v>
      </c>
      <c r="E29" s="81">
        <v>435123458</v>
      </c>
      <c r="F29" s="81">
        <v>435123458</v>
      </c>
      <c r="G29" s="81">
        <v>435123458</v>
      </c>
      <c r="H29" s="81">
        <f>435123458+25000000</f>
        <v>460123458</v>
      </c>
      <c r="I29" s="81">
        <f>435123458+25000000</f>
        <v>460123458</v>
      </c>
      <c r="J29" s="135">
        <f>435123458+25000000</f>
        <v>460123458</v>
      </c>
      <c r="K29" s="135">
        <f>435123458+25000000</f>
        <v>460123458</v>
      </c>
      <c r="L29" s="129"/>
      <c r="N29" s="82"/>
    </row>
    <row r="30" spans="1:23" s="85" customFormat="1" x14ac:dyDescent="0.3">
      <c r="A30" s="88" t="s">
        <v>71</v>
      </c>
      <c r="B30" s="100">
        <f t="shared" ref="B30:K30" si="5">+B27/+(B29/1000000)</f>
        <v>8505.1102898708796</v>
      </c>
      <c r="C30" s="100">
        <f t="shared" si="5"/>
        <v>9113.2871075868297</v>
      </c>
      <c r="D30" s="100">
        <f t="shared" si="5"/>
        <v>9579.2560096817397</v>
      </c>
      <c r="E30" s="100">
        <f t="shared" si="5"/>
        <v>8902.3216946395933</v>
      </c>
      <c r="F30" s="100">
        <f t="shared" si="5"/>
        <v>12408.439261851976</v>
      </c>
      <c r="G30" s="100">
        <f t="shared" si="5"/>
        <v>14533.059258781675</v>
      </c>
      <c r="H30" s="100">
        <f t="shared" si="5"/>
        <v>14075.005060924323</v>
      </c>
      <c r="I30" s="100">
        <f t="shared" si="5"/>
        <v>16130.727244947375</v>
      </c>
      <c r="J30" s="165">
        <f t="shared" si="5"/>
        <v>16130.725071617626</v>
      </c>
      <c r="K30" s="165">
        <f t="shared" si="5"/>
        <v>16133.809026533047</v>
      </c>
      <c r="L30" s="129"/>
      <c r="N30" s="82"/>
    </row>
    <row r="31" spans="1:23" s="85" customFormat="1" x14ac:dyDescent="0.3">
      <c r="A31" s="115"/>
      <c r="B31" s="115"/>
      <c r="C31" s="115"/>
      <c r="D31" s="115"/>
      <c r="E31" s="115"/>
      <c r="F31" s="81"/>
      <c r="G31" s="115"/>
      <c r="H31" s="100"/>
      <c r="I31" s="100"/>
      <c r="J31" s="100"/>
      <c r="K31" s="100"/>
      <c r="L31" s="82"/>
      <c r="R31" s="107"/>
    </row>
    <row r="32" spans="1:23" s="85" customFormat="1" x14ac:dyDescent="0.3">
      <c r="A32" s="115"/>
      <c r="B32" s="115"/>
      <c r="C32" s="115"/>
      <c r="D32" s="115"/>
      <c r="E32" s="115"/>
      <c r="F32" s="100"/>
      <c r="G32" s="115"/>
      <c r="H32" s="100"/>
      <c r="I32" s="100"/>
      <c r="J32" s="100"/>
      <c r="K32" s="100"/>
      <c r="L32" s="82"/>
      <c r="R32" s="107"/>
    </row>
    <row r="33" spans="1:23" ht="21" x14ac:dyDescent="0.35">
      <c r="A33" s="116" t="s">
        <v>92</v>
      </c>
      <c r="B33" s="116"/>
      <c r="C33" s="116"/>
      <c r="D33" s="116"/>
      <c r="E33" s="116"/>
      <c r="F33" s="116"/>
      <c r="G33" s="116"/>
      <c r="M33" s="75"/>
      <c r="N33" s="75"/>
      <c r="O33" s="75"/>
      <c r="P33" s="75"/>
      <c r="Q33" s="75"/>
      <c r="R33" s="109"/>
      <c r="S33" s="76"/>
    </row>
    <row r="34" spans="1:23" ht="15.75" x14ac:dyDescent="0.3">
      <c r="A34" s="78" t="s">
        <v>122</v>
      </c>
      <c r="B34" s="78"/>
      <c r="C34" s="78"/>
      <c r="D34" s="78"/>
      <c r="E34" s="78"/>
      <c r="F34" s="78"/>
      <c r="G34" s="78"/>
      <c r="M34" s="75"/>
      <c r="N34" s="75"/>
      <c r="O34" s="75"/>
      <c r="P34" s="75"/>
      <c r="Q34" s="75"/>
      <c r="R34" s="109"/>
      <c r="S34" s="76"/>
    </row>
    <row r="35" spans="1:23" x14ac:dyDescent="0.3">
      <c r="A35" s="79" t="s">
        <v>88</v>
      </c>
      <c r="B35" s="79"/>
      <c r="C35" s="79"/>
      <c r="D35" s="79"/>
      <c r="E35" s="79"/>
      <c r="F35" s="79"/>
      <c r="G35" s="79"/>
      <c r="M35" s="75"/>
      <c r="N35" s="75"/>
      <c r="O35" s="75"/>
      <c r="P35" s="75"/>
      <c r="Q35" s="75"/>
      <c r="R35" s="109"/>
      <c r="S35" s="76"/>
    </row>
    <row r="36" spans="1:23" s="85" customFormat="1" x14ac:dyDescent="0.3">
      <c r="H36" s="81"/>
      <c r="I36" s="81"/>
      <c r="J36" s="81"/>
      <c r="K36" s="81"/>
      <c r="L36" s="82"/>
      <c r="R36" s="107"/>
    </row>
    <row r="37" spans="1:23" s="85" customFormat="1" ht="15.75" thickBot="1" x14ac:dyDescent="0.35">
      <c r="B37" s="156">
        <v>2005</v>
      </c>
      <c r="C37" s="156">
        <v>2006</v>
      </c>
      <c r="D37" s="156">
        <v>2007</v>
      </c>
      <c r="E37" s="156">
        <v>2008</v>
      </c>
      <c r="F37" s="156">
        <v>2009</v>
      </c>
      <c r="G37" s="156">
        <v>2010</v>
      </c>
      <c r="H37" s="156">
        <v>2011</v>
      </c>
      <c r="I37" s="156">
        <v>2012</v>
      </c>
      <c r="J37" s="145" t="s">
        <v>96</v>
      </c>
      <c r="K37" s="145" t="s">
        <v>95</v>
      </c>
      <c r="L37" s="145" t="s">
        <v>99</v>
      </c>
      <c r="M37" s="145" t="s">
        <v>100</v>
      </c>
      <c r="N37" s="145" t="s">
        <v>111</v>
      </c>
      <c r="O37" s="145" t="s">
        <v>112</v>
      </c>
      <c r="P37" s="145" t="s">
        <v>121</v>
      </c>
      <c r="Q37" s="145" t="s">
        <v>120</v>
      </c>
      <c r="R37" s="167" t="s">
        <v>46</v>
      </c>
      <c r="S37" s="176" t="s">
        <v>106</v>
      </c>
      <c r="T37" s="176" t="s">
        <v>107</v>
      </c>
      <c r="U37" s="167" t="s">
        <v>46</v>
      </c>
    </row>
    <row r="38" spans="1:23" s="95" customFormat="1" x14ac:dyDescent="0.3">
      <c r="A38" s="85" t="s">
        <v>72</v>
      </c>
      <c r="B38" s="80">
        <v>158869</v>
      </c>
      <c r="C38" s="80">
        <v>163042</v>
      </c>
      <c r="D38" s="80">
        <v>231987</v>
      </c>
      <c r="E38" s="80">
        <v>268897</v>
      </c>
      <c r="F38" s="80">
        <v>212895</v>
      </c>
      <c r="G38" s="80">
        <v>239836</v>
      </c>
      <c r="H38" s="80">
        <v>223644</v>
      </c>
      <c r="I38" s="80">
        <v>312990</v>
      </c>
      <c r="J38" s="134">
        <v>55583</v>
      </c>
      <c r="K38" s="134">
        <v>77093</v>
      </c>
      <c r="L38" s="134">
        <f>130102-J38</f>
        <v>74519</v>
      </c>
      <c r="M38" s="134">
        <f>165449-K38</f>
        <v>88356</v>
      </c>
      <c r="N38" s="134">
        <v>88047</v>
      </c>
      <c r="O38" s="134">
        <v>91080</v>
      </c>
      <c r="P38" s="134">
        <f>312990-J38-L38-N38</f>
        <v>94841</v>
      </c>
      <c r="Q38" s="134">
        <f>344939-K38-M38-O38</f>
        <v>88410</v>
      </c>
      <c r="R38" s="129">
        <f>IF(P38&lt;&gt;0,(Q38-P38)/P38,0)</f>
        <v>-6.7808226399974691E-2</v>
      </c>
      <c r="S38" s="180">
        <v>312990</v>
      </c>
      <c r="T38" s="180">
        <v>344939</v>
      </c>
      <c r="U38" s="129">
        <f>IF(S38&lt;&gt;0,(T38-S38)/S38,0)</f>
        <v>0.10207674366593182</v>
      </c>
      <c r="W38" s="169"/>
    </row>
    <row r="39" spans="1:23" s="85" customFormat="1" x14ac:dyDescent="0.3">
      <c r="A39" s="85" t="s">
        <v>105</v>
      </c>
      <c r="B39" s="81">
        <v>17762</v>
      </c>
      <c r="C39" s="81">
        <v>56828</v>
      </c>
      <c r="D39" s="81">
        <v>2685</v>
      </c>
      <c r="E39" s="81">
        <v>2704</v>
      </c>
      <c r="F39" s="81">
        <v>0</v>
      </c>
      <c r="G39" s="81">
        <v>1579</v>
      </c>
      <c r="H39" s="81">
        <v>11024</v>
      </c>
      <c r="I39" s="81">
        <v>0</v>
      </c>
      <c r="J39" s="135">
        <v>0</v>
      </c>
      <c r="K39" s="135">
        <v>0</v>
      </c>
      <c r="L39" s="135">
        <v>0</v>
      </c>
      <c r="M39" s="135">
        <v>-176</v>
      </c>
      <c r="N39" s="134">
        <v>0</v>
      </c>
      <c r="O39" s="134">
        <v>0</v>
      </c>
      <c r="P39" s="134">
        <v>0</v>
      </c>
      <c r="Q39" s="134">
        <v>0</v>
      </c>
      <c r="R39" s="129">
        <f t="shared" ref="R39:R49" si="6">IF(P39&lt;&gt;0,(Q39-P39)/P39,0)</f>
        <v>0</v>
      </c>
      <c r="S39" s="177">
        <v>0</v>
      </c>
      <c r="T39" s="177">
        <v>-176</v>
      </c>
      <c r="U39" s="129">
        <f t="shared" ref="U39:U48" si="7">IF(S39&lt;&gt;0,(T39-S39)/S39,0)</f>
        <v>0</v>
      </c>
      <c r="W39" s="169"/>
    </row>
    <row r="40" spans="1:23" s="95" customFormat="1" x14ac:dyDescent="0.3">
      <c r="A40" s="85" t="s">
        <v>57</v>
      </c>
      <c r="B40" s="81">
        <v>11795</v>
      </c>
      <c r="C40" s="81">
        <v>16684</v>
      </c>
      <c r="D40" s="81">
        <v>11678</v>
      </c>
      <c r="E40" s="81">
        <v>14746</v>
      </c>
      <c r="F40" s="81">
        <v>12979</v>
      </c>
      <c r="G40" s="81">
        <v>30953</v>
      </c>
      <c r="H40" s="81">
        <v>33432</v>
      </c>
      <c r="I40" s="81">
        <v>35105</v>
      </c>
      <c r="J40" s="135">
        <v>8296</v>
      </c>
      <c r="K40" s="135">
        <v>8803</v>
      </c>
      <c r="L40" s="135">
        <f>17500-J40</f>
        <v>9204</v>
      </c>
      <c r="M40" s="135">
        <f>18664-K40</f>
        <v>9861</v>
      </c>
      <c r="N40" s="135">
        <v>8803</v>
      </c>
      <c r="O40" s="135">
        <v>11140</v>
      </c>
      <c r="P40" s="135">
        <f>35105-J40-L40-N40</f>
        <v>8802</v>
      </c>
      <c r="Q40" s="135">
        <f>39426-K40-M40-O40</f>
        <v>9622</v>
      </c>
      <c r="R40" s="129">
        <f t="shared" si="6"/>
        <v>9.3160645307884565E-2</v>
      </c>
      <c r="S40" s="177">
        <v>35105</v>
      </c>
      <c r="T40" s="177">
        <v>39426</v>
      </c>
      <c r="U40" s="129">
        <f t="shared" si="7"/>
        <v>0.1230878792194844</v>
      </c>
      <c r="W40" s="169"/>
    </row>
    <row r="41" spans="1:23" s="95" customFormat="1" x14ac:dyDescent="0.3">
      <c r="A41" s="85" t="s">
        <v>56</v>
      </c>
      <c r="B41" s="81">
        <v>2490</v>
      </c>
      <c r="C41" s="81">
        <v>7447</v>
      </c>
      <c r="D41" s="81">
        <v>5519</v>
      </c>
      <c r="E41" s="81">
        <v>13179</v>
      </c>
      <c r="F41" s="81">
        <v>10094</v>
      </c>
      <c r="G41" s="81">
        <v>13131</v>
      </c>
      <c r="H41" s="81">
        <v>7221</v>
      </c>
      <c r="I41" s="81">
        <v>8379</v>
      </c>
      <c r="J41" s="135">
        <v>2095</v>
      </c>
      <c r="K41" s="135">
        <v>2650</v>
      </c>
      <c r="L41" s="135">
        <f>4189-J41</f>
        <v>2094</v>
      </c>
      <c r="M41" s="135">
        <f>5570-K41</f>
        <v>2920</v>
      </c>
      <c r="N41" s="135">
        <v>2094</v>
      </c>
      <c r="O41" s="135">
        <v>3537</v>
      </c>
      <c r="P41" s="135">
        <f>8379-J41-L41-N41</f>
        <v>2096</v>
      </c>
      <c r="Q41" s="135">
        <f>14465-K41-M41-O41</f>
        <v>5358</v>
      </c>
      <c r="R41" s="129">
        <f t="shared" si="6"/>
        <v>1.5562977099236641</v>
      </c>
      <c r="S41" s="177">
        <v>8379</v>
      </c>
      <c r="T41" s="177">
        <v>14465</v>
      </c>
      <c r="U41" s="129">
        <f t="shared" si="7"/>
        <v>0.72633965867048578</v>
      </c>
      <c r="W41" s="169"/>
    </row>
    <row r="42" spans="1:23" s="95" customFormat="1" x14ac:dyDescent="0.3">
      <c r="A42" s="95" t="s">
        <v>4</v>
      </c>
      <c r="B42" s="80">
        <f t="shared" ref="B42:G42" si="8">SUM(B38:B41)</f>
        <v>190916</v>
      </c>
      <c r="C42" s="80">
        <f t="shared" si="8"/>
        <v>244001</v>
      </c>
      <c r="D42" s="80">
        <f t="shared" si="8"/>
        <v>251869</v>
      </c>
      <c r="E42" s="80">
        <f t="shared" si="8"/>
        <v>299526</v>
      </c>
      <c r="F42" s="80">
        <f t="shared" si="8"/>
        <v>235968</v>
      </c>
      <c r="G42" s="80">
        <f t="shared" si="8"/>
        <v>285499</v>
      </c>
      <c r="H42" s="80">
        <f t="shared" ref="H42:Q42" si="9">SUM(H38:H41)</f>
        <v>275321</v>
      </c>
      <c r="I42" s="80">
        <f t="shared" si="9"/>
        <v>356474</v>
      </c>
      <c r="J42" s="134">
        <f t="shared" si="9"/>
        <v>65974</v>
      </c>
      <c r="K42" s="134">
        <f t="shared" si="9"/>
        <v>88546</v>
      </c>
      <c r="L42" s="134">
        <f t="shared" si="9"/>
        <v>85817</v>
      </c>
      <c r="M42" s="134">
        <f t="shared" si="9"/>
        <v>100961</v>
      </c>
      <c r="N42" s="134">
        <f t="shared" si="9"/>
        <v>98944</v>
      </c>
      <c r="O42" s="134">
        <f t="shared" si="9"/>
        <v>105757</v>
      </c>
      <c r="P42" s="134">
        <f t="shared" si="9"/>
        <v>105739</v>
      </c>
      <c r="Q42" s="134">
        <f t="shared" si="9"/>
        <v>103390</v>
      </c>
      <c r="R42" s="129">
        <f t="shared" si="6"/>
        <v>-2.2215076745571643E-2</v>
      </c>
      <c r="S42" s="180">
        <f>SUM(S38:S41)</f>
        <v>356474</v>
      </c>
      <c r="T42" s="180">
        <f>SUM(T38:T41)</f>
        <v>398654</v>
      </c>
      <c r="U42" s="129">
        <f t="shared" si="7"/>
        <v>0.11832560018402465</v>
      </c>
      <c r="W42" s="169"/>
    </row>
    <row r="43" spans="1:23" s="85" customFormat="1" x14ac:dyDescent="0.3">
      <c r="A43" s="85" t="s">
        <v>58</v>
      </c>
      <c r="B43" s="81">
        <v>-22106</v>
      </c>
      <c r="C43" s="81">
        <v>-41421</v>
      </c>
      <c r="D43" s="81">
        <v>-7188</v>
      </c>
      <c r="E43" s="81">
        <v>-8773</v>
      </c>
      <c r="F43" s="81">
        <v>-8740</v>
      </c>
      <c r="G43" s="81">
        <v>-11563</v>
      </c>
      <c r="H43" s="81">
        <v>-9004</v>
      </c>
      <c r="I43" s="81">
        <v>-10090</v>
      </c>
      <c r="J43" s="135">
        <v>-8176</v>
      </c>
      <c r="K43" s="135">
        <f>-2393-5938</f>
        <v>-8331</v>
      </c>
      <c r="L43" s="135">
        <f>-4827.592907-J43</f>
        <v>3348.4070929999998</v>
      </c>
      <c r="M43" s="135">
        <f>-6685-K43</f>
        <v>1646</v>
      </c>
      <c r="N43" s="135">
        <v>-2647</v>
      </c>
      <c r="O43" s="135">
        <v>-3043</v>
      </c>
      <c r="P43" s="135">
        <f>-10090-J43-L43-N43</f>
        <v>-2615.4070929999998</v>
      </c>
      <c r="Q43" s="135">
        <f>-13551-K43-M43-O43</f>
        <v>-3823</v>
      </c>
      <c r="R43" s="129">
        <f t="shared" si="6"/>
        <v>0.46172273151359855</v>
      </c>
      <c r="S43" s="177">
        <v>-10090</v>
      </c>
      <c r="T43" s="177">
        <v>-13551</v>
      </c>
      <c r="U43" s="129">
        <f t="shared" si="7"/>
        <v>0.34301288404360752</v>
      </c>
      <c r="W43" s="169"/>
    </row>
    <row r="44" spans="1:23" s="95" customFormat="1" x14ac:dyDescent="0.3">
      <c r="A44" s="95" t="s">
        <v>42</v>
      </c>
      <c r="B44" s="80">
        <f t="shared" ref="B44:G44" si="10">SUM(B42:B43)</f>
        <v>168810</v>
      </c>
      <c r="C44" s="80">
        <f t="shared" si="10"/>
        <v>202580</v>
      </c>
      <c r="D44" s="80">
        <f t="shared" si="10"/>
        <v>244681</v>
      </c>
      <c r="E44" s="80">
        <f t="shared" si="10"/>
        <v>290753</v>
      </c>
      <c r="F44" s="80">
        <f t="shared" si="10"/>
        <v>227228</v>
      </c>
      <c r="G44" s="80">
        <f t="shared" si="10"/>
        <v>273936</v>
      </c>
      <c r="H44" s="80">
        <f t="shared" ref="H44:Q44" si="11">SUM(H42:H43)</f>
        <v>266317</v>
      </c>
      <c r="I44" s="80">
        <f t="shared" si="11"/>
        <v>346384</v>
      </c>
      <c r="J44" s="134">
        <f t="shared" si="11"/>
        <v>57798</v>
      </c>
      <c r="K44" s="134">
        <f t="shared" si="11"/>
        <v>80215</v>
      </c>
      <c r="L44" s="134">
        <f t="shared" si="11"/>
        <v>89165.407093000002</v>
      </c>
      <c r="M44" s="134">
        <f t="shared" si="11"/>
        <v>102607</v>
      </c>
      <c r="N44" s="134">
        <f t="shared" si="11"/>
        <v>96297</v>
      </c>
      <c r="O44" s="134">
        <f t="shared" si="11"/>
        <v>102714</v>
      </c>
      <c r="P44" s="134">
        <f t="shared" si="11"/>
        <v>103123.592907</v>
      </c>
      <c r="Q44" s="134">
        <f t="shared" si="11"/>
        <v>99567</v>
      </c>
      <c r="R44" s="129">
        <f t="shared" si="6"/>
        <v>-3.4488644225259317E-2</v>
      </c>
      <c r="S44" s="180">
        <f>SUM(S42:S43)</f>
        <v>346384</v>
      </c>
      <c r="T44" s="180">
        <f>SUM(T42:T43)</f>
        <v>385103</v>
      </c>
      <c r="U44" s="129">
        <f t="shared" si="7"/>
        <v>0.1117805672317428</v>
      </c>
      <c r="W44" s="169"/>
    </row>
    <row r="45" spans="1:23" s="95" customFormat="1" x14ac:dyDescent="0.3">
      <c r="A45" s="85" t="s">
        <v>10</v>
      </c>
      <c r="B45" s="81">
        <v>4490</v>
      </c>
      <c r="C45" s="81">
        <v>8391</v>
      </c>
      <c r="D45" s="81">
        <v>80</v>
      </c>
      <c r="E45" s="81">
        <v>960</v>
      </c>
      <c r="F45" s="81">
        <v>214</v>
      </c>
      <c r="G45" s="81">
        <v>7839</v>
      </c>
      <c r="H45" s="81">
        <v>814</v>
      </c>
      <c r="I45" s="81">
        <v>851</v>
      </c>
      <c r="J45" s="135">
        <v>652</v>
      </c>
      <c r="K45" s="135">
        <v>61</v>
      </c>
      <c r="L45" s="135">
        <f>743.423097-J45</f>
        <v>91.423096999999984</v>
      </c>
      <c r="M45" s="135">
        <f>112-K45</f>
        <v>51</v>
      </c>
      <c r="N45" s="135">
        <v>27.000000000000114</v>
      </c>
      <c r="O45" s="135">
        <v>130</v>
      </c>
      <c r="P45" s="135">
        <f>851-J45-L45-N45</f>
        <v>80.576902999999902</v>
      </c>
      <c r="Q45" s="135">
        <f>203-K45-M45-O45</f>
        <v>-39</v>
      </c>
      <c r="R45" s="129">
        <f t="shared" si="6"/>
        <v>-1.4840096671374929</v>
      </c>
      <c r="S45" s="177">
        <v>851</v>
      </c>
      <c r="T45" s="177">
        <v>203</v>
      </c>
      <c r="U45" s="129">
        <f t="shared" si="7"/>
        <v>-0.76145710928319621</v>
      </c>
      <c r="W45" s="169"/>
    </row>
    <row r="46" spans="1:23" s="85" customFormat="1" x14ac:dyDescent="0.3">
      <c r="A46" s="85" t="s">
        <v>13</v>
      </c>
      <c r="B46" s="81">
        <v>-388</v>
      </c>
      <c r="C46" s="81">
        <v>-60</v>
      </c>
      <c r="D46" s="81">
        <v>-279</v>
      </c>
      <c r="E46" s="81">
        <v>-633</v>
      </c>
      <c r="F46" s="81">
        <v>-1741</v>
      </c>
      <c r="G46" s="81">
        <v>-1496</v>
      </c>
      <c r="H46" s="81">
        <v>-11022</v>
      </c>
      <c r="I46" s="81">
        <v>-1390</v>
      </c>
      <c r="J46" s="135">
        <v>-25</v>
      </c>
      <c r="K46" s="135">
        <v>-127</v>
      </c>
      <c r="L46" s="135">
        <f>-599.521351-J46</f>
        <v>-574.52135099999998</v>
      </c>
      <c r="M46" s="135">
        <f>-2966-K46</f>
        <v>-2839</v>
      </c>
      <c r="N46" s="135">
        <v>-706.99999999999989</v>
      </c>
      <c r="O46" s="135">
        <v>-18</v>
      </c>
      <c r="P46" s="135">
        <f>-1390-J46-L46-N46</f>
        <v>-83.478649000000132</v>
      </c>
      <c r="Q46" s="135">
        <f>-2974-K46-M46-O46</f>
        <v>10</v>
      </c>
      <c r="R46" s="129">
        <f t="shared" si="6"/>
        <v>-1.1197911097003976</v>
      </c>
      <c r="S46" s="177">
        <v>-1390</v>
      </c>
      <c r="T46" s="177">
        <v>-2974</v>
      </c>
      <c r="U46" s="129">
        <f t="shared" si="7"/>
        <v>1.1395683453237411</v>
      </c>
      <c r="W46" s="169"/>
    </row>
    <row r="47" spans="1:23" s="95" customFormat="1" x14ac:dyDescent="0.3">
      <c r="A47" s="95" t="s">
        <v>43</v>
      </c>
      <c r="B47" s="80">
        <f t="shared" ref="B47:G47" si="12">SUM(B44:B46)</f>
        <v>172912</v>
      </c>
      <c r="C47" s="80">
        <f t="shared" si="12"/>
        <v>210911</v>
      </c>
      <c r="D47" s="80">
        <f t="shared" si="12"/>
        <v>244482</v>
      </c>
      <c r="E47" s="80">
        <f t="shared" si="12"/>
        <v>291080</v>
      </c>
      <c r="F47" s="80">
        <f t="shared" si="12"/>
        <v>225701</v>
      </c>
      <c r="G47" s="80">
        <f t="shared" si="12"/>
        <v>280279</v>
      </c>
      <c r="H47" s="80">
        <f t="shared" ref="H47:Q47" si="13">SUM(H44:H46)</f>
        <v>256109</v>
      </c>
      <c r="I47" s="80">
        <f t="shared" si="13"/>
        <v>345845</v>
      </c>
      <c r="J47" s="134">
        <f t="shared" si="13"/>
        <v>58425</v>
      </c>
      <c r="K47" s="134">
        <f t="shared" si="13"/>
        <v>80149</v>
      </c>
      <c r="L47" s="134">
        <f t="shared" si="13"/>
        <v>88682.308839000005</v>
      </c>
      <c r="M47" s="134">
        <f t="shared" si="13"/>
        <v>99819</v>
      </c>
      <c r="N47" s="134">
        <f t="shared" si="13"/>
        <v>95617</v>
      </c>
      <c r="O47" s="134">
        <f t="shared" si="13"/>
        <v>102826</v>
      </c>
      <c r="P47" s="134">
        <f t="shared" si="13"/>
        <v>103120.691161</v>
      </c>
      <c r="Q47" s="134">
        <f t="shared" si="13"/>
        <v>99538</v>
      </c>
      <c r="R47" s="129">
        <f t="shared" si="6"/>
        <v>-3.474269926494597E-2</v>
      </c>
      <c r="S47" s="180">
        <f>SUM(S44:S46)</f>
        <v>345845</v>
      </c>
      <c r="T47" s="180">
        <f>SUM(T44:T46)</f>
        <v>382332</v>
      </c>
      <c r="U47" s="129">
        <f t="shared" si="7"/>
        <v>0.10550101924272434</v>
      </c>
      <c r="W47" s="169"/>
    </row>
    <row r="48" spans="1:23" s="85" customFormat="1" x14ac:dyDescent="0.3">
      <c r="A48" s="85" t="s">
        <v>15</v>
      </c>
      <c r="B48" s="81">
        <v>-3501</v>
      </c>
      <c r="C48" s="81">
        <v>-214</v>
      </c>
      <c r="D48" s="81">
        <v>-190</v>
      </c>
      <c r="E48" s="81">
        <v>-74</v>
      </c>
      <c r="F48" s="81">
        <v>-205</v>
      </c>
      <c r="G48" s="81">
        <v>-1876</v>
      </c>
      <c r="H48" s="81">
        <v>-127</v>
      </c>
      <c r="I48" s="81">
        <v>-361</v>
      </c>
      <c r="J48" s="135">
        <v>-8</v>
      </c>
      <c r="K48" s="135">
        <v>-2289</v>
      </c>
      <c r="L48" s="135">
        <f>-18.162-J48</f>
        <v>-10.161999999999999</v>
      </c>
      <c r="M48" s="135">
        <f>-1378-K48</f>
        <v>911</v>
      </c>
      <c r="N48" s="135">
        <v>-261</v>
      </c>
      <c r="O48" s="135">
        <v>-496</v>
      </c>
      <c r="P48" s="135">
        <f>-361-J48-L48-N48</f>
        <v>-81.838000000000022</v>
      </c>
      <c r="Q48" s="135">
        <f>-2436-K48-M48-O48</f>
        <v>-562</v>
      </c>
      <c r="R48" s="129">
        <f t="shared" si="6"/>
        <v>5.8672254942691637</v>
      </c>
      <c r="S48" s="177">
        <v>-361</v>
      </c>
      <c r="T48" s="177">
        <v>-2436</v>
      </c>
      <c r="U48" s="129">
        <f t="shared" si="7"/>
        <v>5.7479224376731306</v>
      </c>
      <c r="W48" s="169"/>
    </row>
    <row r="49" spans="1:23" s="85" customFormat="1" ht="15.75" thickBot="1" x14ac:dyDescent="0.35">
      <c r="A49" s="102" t="s">
        <v>17</v>
      </c>
      <c r="B49" s="103">
        <f t="shared" ref="B49:G49" si="14">SUM(B47:B48)</f>
        <v>169411</v>
      </c>
      <c r="C49" s="103">
        <f t="shared" si="14"/>
        <v>210697</v>
      </c>
      <c r="D49" s="103">
        <f t="shared" si="14"/>
        <v>244292</v>
      </c>
      <c r="E49" s="103">
        <f t="shared" si="14"/>
        <v>291006</v>
      </c>
      <c r="F49" s="103">
        <f t="shared" si="14"/>
        <v>225496</v>
      </c>
      <c r="G49" s="103">
        <f t="shared" si="14"/>
        <v>278403</v>
      </c>
      <c r="H49" s="103">
        <f t="shared" ref="H49:Q49" si="15">SUM(H47:H48)</f>
        <v>255982</v>
      </c>
      <c r="I49" s="103">
        <f t="shared" si="15"/>
        <v>345484</v>
      </c>
      <c r="J49" s="166">
        <f t="shared" si="15"/>
        <v>58417</v>
      </c>
      <c r="K49" s="166">
        <f t="shared" si="15"/>
        <v>77860</v>
      </c>
      <c r="L49" s="166">
        <f t="shared" si="15"/>
        <v>88672.146839000008</v>
      </c>
      <c r="M49" s="166">
        <f t="shared" si="15"/>
        <v>100730</v>
      </c>
      <c r="N49" s="166">
        <f>SUM(N47:N48)</f>
        <v>95356</v>
      </c>
      <c r="O49" s="166">
        <f t="shared" si="15"/>
        <v>102330</v>
      </c>
      <c r="P49" s="166">
        <f t="shared" si="15"/>
        <v>103038.85316099999</v>
      </c>
      <c r="Q49" s="166">
        <f t="shared" si="15"/>
        <v>98976</v>
      </c>
      <c r="R49" s="130">
        <f t="shared" si="6"/>
        <v>-3.9430302612663143E-2</v>
      </c>
      <c r="S49" s="182">
        <f>SUM(S47:S48)</f>
        <v>345484</v>
      </c>
      <c r="T49" s="182">
        <f>SUM(T47:T48)</f>
        <v>379896</v>
      </c>
      <c r="U49" s="130">
        <f>IF(S49&lt;&gt;0,(T49-S49)/S49,0)</f>
        <v>9.9605191557351425E-2</v>
      </c>
      <c r="W49" s="169"/>
    </row>
    <row r="50" spans="1:23" s="85" customFormat="1" x14ac:dyDescent="0.3">
      <c r="C50" s="80"/>
      <c r="H50" s="81"/>
      <c r="I50" s="81"/>
      <c r="J50" s="81"/>
      <c r="K50" s="81"/>
      <c r="L50" s="82"/>
      <c r="W50" s="169"/>
    </row>
    <row r="51" spans="1:23" s="85" customFormat="1" x14ac:dyDescent="0.3">
      <c r="C51" s="81"/>
      <c r="H51" s="81"/>
      <c r="I51" s="81"/>
      <c r="J51" s="81"/>
      <c r="K51" s="81"/>
      <c r="L51" s="82"/>
    </row>
    <row r="52" spans="1:23" s="85" customFormat="1" x14ac:dyDescent="0.3">
      <c r="C52" s="81"/>
      <c r="E52" s="80"/>
      <c r="H52" s="81"/>
      <c r="I52" s="81"/>
      <c r="J52" s="81"/>
      <c r="K52" s="81"/>
      <c r="L52" s="82"/>
    </row>
    <row r="53" spans="1:23" s="85" customFormat="1" x14ac:dyDescent="0.3">
      <c r="C53" s="81"/>
      <c r="E53" s="81"/>
      <c r="H53" s="81"/>
      <c r="I53" s="81"/>
      <c r="J53" s="81"/>
      <c r="K53" s="81"/>
      <c r="L53" s="82"/>
    </row>
    <row r="54" spans="1:23" s="85" customFormat="1" x14ac:dyDescent="0.3">
      <c r="C54" s="80"/>
      <c r="E54" s="81"/>
      <c r="H54" s="81"/>
      <c r="I54" s="81"/>
      <c r="J54" s="81"/>
      <c r="K54" s="81"/>
      <c r="L54" s="82"/>
    </row>
    <row r="55" spans="1:23" s="85" customFormat="1" x14ac:dyDescent="0.3">
      <c r="C55" s="81"/>
      <c r="E55" s="81"/>
      <c r="H55" s="81"/>
      <c r="I55" s="81"/>
      <c r="J55" s="81"/>
      <c r="K55" s="81"/>
      <c r="L55" s="82"/>
    </row>
    <row r="56" spans="1:23" x14ac:dyDescent="0.3">
      <c r="C56" s="80"/>
      <c r="E56" s="80"/>
    </row>
    <row r="57" spans="1:23" x14ac:dyDescent="0.3">
      <c r="C57" s="81"/>
      <c r="E57" s="81"/>
    </row>
    <row r="58" spans="1:23" x14ac:dyDescent="0.3">
      <c r="C58" s="81"/>
      <c r="E58" s="80"/>
    </row>
  </sheetData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X82"/>
  <sheetViews>
    <sheetView workbookViewId="0">
      <pane xSplit="1" ySplit="10" topLeftCell="E11" activePane="bottomRight" state="frozen"/>
      <selection pane="topRight" activeCell="B1" sqref="B1"/>
      <selection pane="bottomLeft" activeCell="A11" sqref="A11"/>
      <selection pane="bottomRight" activeCell="E22" sqref="E22"/>
    </sheetView>
  </sheetViews>
  <sheetFormatPr baseColWidth="10" defaultColWidth="11.42578125" defaultRowHeight="15" x14ac:dyDescent="0.3"/>
  <cols>
    <col min="1" max="1" width="32.140625" style="73" customWidth="1"/>
    <col min="2" max="4" width="10.42578125" style="73" bestFit="1" customWidth="1"/>
    <col min="5" max="7" width="11.140625" style="73" bestFit="1" customWidth="1"/>
    <col min="8" max="10" width="11.140625" style="74" bestFit="1" customWidth="1"/>
    <col min="11" max="11" width="11.5703125" style="74" bestFit="1" customWidth="1"/>
    <col min="12" max="12" width="11.140625" style="75" bestFit="1" customWidth="1"/>
    <col min="13" max="13" width="10.28515625" style="75" bestFit="1" customWidth="1"/>
    <col min="14" max="15" width="10.28515625" style="75" customWidth="1"/>
    <col min="16" max="17" width="10.42578125" style="76" bestFit="1" customWidth="1"/>
    <col min="18" max="18" width="10.28515625" style="73" bestFit="1" customWidth="1"/>
    <col min="19" max="16384" width="11.42578125" style="73"/>
  </cols>
  <sheetData>
    <row r="6" spans="1:21" ht="21" x14ac:dyDescent="0.35">
      <c r="A6" s="116" t="s">
        <v>40</v>
      </c>
      <c r="B6" s="116"/>
      <c r="C6" s="116"/>
      <c r="D6" s="116"/>
      <c r="E6" s="116"/>
      <c r="F6" s="116"/>
      <c r="G6" s="116"/>
    </row>
    <row r="7" spans="1:21" ht="15.75" x14ac:dyDescent="0.3">
      <c r="A7" s="78" t="s">
        <v>118</v>
      </c>
      <c r="B7" s="78"/>
      <c r="C7" s="78"/>
      <c r="D7" s="78"/>
      <c r="E7" s="78"/>
      <c r="F7" s="78"/>
      <c r="G7" s="78"/>
    </row>
    <row r="8" spans="1:21" x14ac:dyDescent="0.3">
      <c r="A8" s="79" t="s">
        <v>88</v>
      </c>
      <c r="B8" s="79"/>
      <c r="C8" s="79"/>
      <c r="D8" s="79"/>
      <c r="E8" s="79"/>
      <c r="F8" s="79"/>
      <c r="G8" s="79"/>
    </row>
    <row r="9" spans="1:21" s="85" customFormat="1" x14ac:dyDescent="0.3">
      <c r="H9" s="81"/>
      <c r="I9" s="81"/>
      <c r="J9" s="81"/>
      <c r="K9" s="81"/>
      <c r="L9" s="82"/>
      <c r="M9" s="82"/>
      <c r="N9" s="82"/>
      <c r="O9" s="82"/>
      <c r="P9" s="83"/>
      <c r="Q9" s="83"/>
      <c r="R9" s="84"/>
      <c r="S9" s="84"/>
      <c r="T9" s="84"/>
      <c r="U9" s="84"/>
    </row>
    <row r="10" spans="1:21" s="85" customFormat="1" ht="15.75" thickBot="1" x14ac:dyDescent="0.35">
      <c r="A10" s="152" t="s">
        <v>20</v>
      </c>
      <c r="B10" s="144">
        <v>2005</v>
      </c>
      <c r="C10" s="144">
        <v>2006</v>
      </c>
      <c r="D10" s="144">
        <v>2007</v>
      </c>
      <c r="E10" s="144">
        <v>2008</v>
      </c>
      <c r="F10" s="144">
        <v>2009</v>
      </c>
      <c r="G10" s="144">
        <v>2010</v>
      </c>
      <c r="H10" s="144">
        <v>2011</v>
      </c>
      <c r="I10" s="144">
        <v>2012</v>
      </c>
      <c r="J10" s="176">
        <v>2012</v>
      </c>
      <c r="K10" s="145">
        <v>2013</v>
      </c>
      <c r="L10" s="146" t="s">
        <v>46</v>
      </c>
      <c r="P10" s="83"/>
      <c r="Q10" s="83"/>
      <c r="R10" s="106"/>
      <c r="S10" s="84"/>
      <c r="T10" s="84"/>
      <c r="U10" s="84"/>
    </row>
    <row r="11" spans="1:21" s="85" customFormat="1" x14ac:dyDescent="0.3">
      <c r="A11" s="153" t="s">
        <v>21</v>
      </c>
      <c r="B11" s="81">
        <v>121469</v>
      </c>
      <c r="C11" s="81">
        <v>147021</v>
      </c>
      <c r="D11" s="81">
        <v>141066</v>
      </c>
      <c r="E11" s="81">
        <v>200123</v>
      </c>
      <c r="F11" s="81">
        <v>152572</v>
      </c>
      <c r="G11" s="81">
        <v>133389</v>
      </c>
      <c r="H11" s="171">
        <v>193087</v>
      </c>
      <c r="I11" s="171">
        <v>291812</v>
      </c>
      <c r="J11" s="177">
        <v>291812</v>
      </c>
      <c r="K11" s="117">
        <v>415478</v>
      </c>
      <c r="L11" s="129">
        <f t="shared" ref="L11:L16" si="0">+(K11-J11)/J11</f>
        <v>0.42378654750318701</v>
      </c>
      <c r="P11" s="83"/>
      <c r="Q11" s="83"/>
      <c r="R11" s="108"/>
      <c r="S11" s="84"/>
      <c r="T11" s="84"/>
      <c r="U11" s="84"/>
    </row>
    <row r="12" spans="1:21" s="85" customFormat="1" x14ac:dyDescent="0.3">
      <c r="A12" s="153" t="s">
        <v>22</v>
      </c>
      <c r="B12" s="81">
        <v>328742</v>
      </c>
      <c r="C12" s="81">
        <v>323226</v>
      </c>
      <c r="D12" s="81">
        <v>322254</v>
      </c>
      <c r="E12" s="81">
        <v>299414</v>
      </c>
      <c r="F12" s="81">
        <v>335272</v>
      </c>
      <c r="G12" s="81">
        <v>330481</v>
      </c>
      <c r="H12" s="171">
        <v>329071</v>
      </c>
      <c r="I12" s="171">
        <v>330090</v>
      </c>
      <c r="J12" s="177">
        <v>330090</v>
      </c>
      <c r="K12" s="117">
        <v>357830</v>
      </c>
      <c r="L12" s="129">
        <f t="shared" si="0"/>
        <v>8.4037686691508379E-2</v>
      </c>
      <c r="P12" s="170"/>
      <c r="Q12" s="83"/>
      <c r="R12" s="106"/>
      <c r="S12" s="84"/>
      <c r="T12" s="84"/>
      <c r="U12" s="84"/>
    </row>
    <row r="13" spans="1:21" s="85" customFormat="1" x14ac:dyDescent="0.3">
      <c r="A13" s="153" t="s">
        <v>23</v>
      </c>
      <c r="B13" s="81">
        <v>292269</v>
      </c>
      <c r="C13" s="81">
        <v>381730</v>
      </c>
      <c r="D13" s="81">
        <v>426683</v>
      </c>
      <c r="E13" s="81">
        <v>656631</v>
      </c>
      <c r="F13" s="81">
        <v>523529</v>
      </c>
      <c r="G13" s="81">
        <v>586256</v>
      </c>
      <c r="H13" s="171">
        <v>650631</v>
      </c>
      <c r="I13" s="171">
        <v>681860</v>
      </c>
      <c r="J13" s="177">
        <v>681860</v>
      </c>
      <c r="K13" s="117">
        <v>857299</v>
      </c>
      <c r="L13" s="129">
        <f t="shared" si="0"/>
        <v>0.25729475258850792</v>
      </c>
      <c r="P13" s="83"/>
      <c r="Q13" s="83"/>
      <c r="R13" s="106"/>
      <c r="S13" s="84"/>
      <c r="T13" s="84"/>
      <c r="U13" s="84"/>
    </row>
    <row r="14" spans="1:21" s="85" customFormat="1" x14ac:dyDescent="0.3">
      <c r="A14" s="153" t="s">
        <v>36</v>
      </c>
      <c r="B14" s="81">
        <v>274553</v>
      </c>
      <c r="C14" s="81">
        <v>371699</v>
      </c>
      <c r="D14" s="81">
        <v>434839</v>
      </c>
      <c r="E14" s="81">
        <v>528465</v>
      </c>
      <c r="F14" s="81">
        <v>494120</v>
      </c>
      <c r="G14" s="81">
        <v>553016</v>
      </c>
      <c r="H14" s="171">
        <v>601866</v>
      </c>
      <c r="I14" s="171">
        <v>555796</v>
      </c>
      <c r="J14" s="177">
        <v>555795</v>
      </c>
      <c r="K14" s="117">
        <v>725323</v>
      </c>
      <c r="L14" s="129">
        <f t="shared" si="0"/>
        <v>0.30501893683822273</v>
      </c>
      <c r="P14" s="83"/>
      <c r="Q14" s="83"/>
      <c r="R14" s="106"/>
      <c r="S14" s="84"/>
      <c r="T14" s="84"/>
      <c r="U14" s="84"/>
    </row>
    <row r="15" spans="1:21" s="85" customFormat="1" x14ac:dyDescent="0.3">
      <c r="A15" s="153" t="s">
        <v>60</v>
      </c>
      <c r="B15" s="81">
        <v>456824</v>
      </c>
      <c r="C15" s="81">
        <v>561031</v>
      </c>
      <c r="D15" s="81">
        <v>653908</v>
      </c>
      <c r="E15" s="81">
        <v>767527</v>
      </c>
      <c r="F15" s="81">
        <v>977261</v>
      </c>
      <c r="G15" s="81">
        <v>988793</v>
      </c>
      <c r="H15" s="171">
        <v>1009855</v>
      </c>
      <c r="I15" s="171">
        <v>1135785</v>
      </c>
      <c r="J15" s="177">
        <v>1135785</v>
      </c>
      <c r="K15" s="117">
        <v>1456074</v>
      </c>
      <c r="L15" s="129">
        <f t="shared" si="0"/>
        <v>0.28199791333747143</v>
      </c>
      <c r="P15" s="83"/>
      <c r="Q15" s="83"/>
      <c r="R15" s="106"/>
      <c r="S15" s="84"/>
      <c r="T15" s="84"/>
      <c r="U15" s="84"/>
    </row>
    <row r="16" spans="1:21" s="85" customFormat="1" x14ac:dyDescent="0.3">
      <c r="A16" s="153" t="s">
        <v>47</v>
      </c>
      <c r="B16" s="81">
        <v>63266</v>
      </c>
      <c r="C16" s="81">
        <v>621440</v>
      </c>
      <c r="D16" s="81">
        <v>564218</v>
      </c>
      <c r="E16" s="81">
        <v>543336</v>
      </c>
      <c r="F16" s="81">
        <v>748013</v>
      </c>
      <c r="G16" s="81">
        <v>853564</v>
      </c>
      <c r="H16" s="171">
        <v>900384</v>
      </c>
      <c r="I16" s="171">
        <v>1025441</v>
      </c>
      <c r="J16" s="177">
        <v>1025441</v>
      </c>
      <c r="K16" s="117">
        <v>2038332</v>
      </c>
      <c r="L16" s="129">
        <f t="shared" si="0"/>
        <v>0.9877613631598503</v>
      </c>
      <c r="P16" s="83"/>
      <c r="Q16" s="83"/>
      <c r="R16" s="106"/>
      <c r="S16" s="84"/>
      <c r="T16" s="84"/>
      <c r="U16" s="84"/>
    </row>
    <row r="17" spans="1:21" s="85" customFormat="1" x14ac:dyDescent="0.3">
      <c r="A17" s="153" t="s">
        <v>24</v>
      </c>
      <c r="B17" s="81">
        <v>12635</v>
      </c>
      <c r="C17" s="81">
        <v>23420</v>
      </c>
      <c r="D17" s="81">
        <v>57260</v>
      </c>
      <c r="E17" s="81">
        <v>28175</v>
      </c>
      <c r="F17" s="81">
        <v>79348</v>
      </c>
      <c r="G17" s="81">
        <v>67002</v>
      </c>
      <c r="H17" s="171">
        <v>130401</v>
      </c>
      <c r="I17" s="171">
        <v>57452</v>
      </c>
      <c r="J17" s="177">
        <v>57452</v>
      </c>
      <c r="K17" s="117">
        <v>101223</v>
      </c>
      <c r="L17" s="129">
        <f>+(K17-J17)/J17</f>
        <v>0.76187077908514933</v>
      </c>
      <c r="P17" s="83"/>
      <c r="Q17" s="83"/>
      <c r="R17" s="106"/>
      <c r="S17" s="84"/>
      <c r="T17" s="84"/>
      <c r="U17" s="84"/>
    </row>
    <row r="18" spans="1:21" s="85" customFormat="1" x14ac:dyDescent="0.3">
      <c r="A18" s="153" t="s">
        <v>25</v>
      </c>
      <c r="B18" s="81">
        <v>3714</v>
      </c>
      <c r="C18" s="81">
        <v>11893</v>
      </c>
      <c r="D18" s="81">
        <v>12073</v>
      </c>
      <c r="E18" s="81">
        <v>44095</v>
      </c>
      <c r="F18" s="81">
        <v>19094</v>
      </c>
      <c r="G18" s="81">
        <v>16902</v>
      </c>
      <c r="H18" s="171">
        <v>18323</v>
      </c>
      <c r="I18" s="171">
        <v>6913</v>
      </c>
      <c r="J18" s="177">
        <v>6913</v>
      </c>
      <c r="K18" s="117">
        <v>16502</v>
      </c>
      <c r="L18" s="129">
        <f>+(K18-J18)/J18</f>
        <v>1.3870967741935485</v>
      </c>
      <c r="P18" s="83"/>
      <c r="Q18" s="83"/>
      <c r="R18" s="106"/>
      <c r="S18" s="84"/>
      <c r="T18" s="84"/>
      <c r="U18" s="84"/>
    </row>
    <row r="19" spans="1:21" s="85" customFormat="1" x14ac:dyDescent="0.3">
      <c r="A19" s="153" t="s">
        <v>26</v>
      </c>
      <c r="B19" s="81">
        <v>2468685</v>
      </c>
      <c r="C19" s="81">
        <v>2591441</v>
      </c>
      <c r="D19" s="81">
        <v>2736001</v>
      </c>
      <c r="E19" s="81">
        <v>2268787</v>
      </c>
      <c r="F19" s="81">
        <v>3599917</v>
      </c>
      <c r="G19" s="81">
        <v>4555288</v>
      </c>
      <c r="H19" s="171">
        <v>4097551</v>
      </c>
      <c r="I19" s="171">
        <v>4866415</v>
      </c>
      <c r="J19" s="177">
        <v>4866415</v>
      </c>
      <c r="K19" s="117">
        <v>4612437</v>
      </c>
      <c r="L19" s="129">
        <f>+(K19-J19)/J19</f>
        <v>-5.2189959138297902E-2</v>
      </c>
      <c r="P19" s="83"/>
      <c r="Q19" s="83"/>
      <c r="R19" s="106"/>
      <c r="S19" s="84"/>
      <c r="T19" s="84"/>
      <c r="U19" s="84"/>
    </row>
    <row r="20" spans="1:21" s="85" customFormat="1" ht="15.75" thickBot="1" x14ac:dyDescent="0.35">
      <c r="A20" s="154" t="s">
        <v>27</v>
      </c>
      <c r="B20" s="91">
        <v>4022157</v>
      </c>
      <c r="C20" s="91">
        <v>5032901</v>
      </c>
      <c r="D20" s="91">
        <v>5348302</v>
      </c>
      <c r="E20" s="91">
        <v>5336553</v>
      </c>
      <c r="F20" s="91">
        <v>6929126</v>
      </c>
      <c r="G20" s="91">
        <v>8084691</v>
      </c>
      <c r="H20" s="172">
        <f>SUM(H11:H19)</f>
        <v>7931169</v>
      </c>
      <c r="I20" s="172">
        <f>SUM(I11:I19)</f>
        <v>8951564</v>
      </c>
      <c r="J20" s="178">
        <f>SUM(J11:J19)</f>
        <v>8951563</v>
      </c>
      <c r="K20" s="118">
        <f>SUM(K11:K19)</f>
        <v>10580498</v>
      </c>
      <c r="L20" s="130">
        <f>+(K20-J20)/J20</f>
        <v>0.18197213157076592</v>
      </c>
      <c r="P20" s="83"/>
      <c r="Q20" s="83"/>
      <c r="R20" s="106"/>
      <c r="S20" s="84"/>
      <c r="T20" s="84"/>
      <c r="U20" s="84"/>
    </row>
    <row r="21" spans="1:21" s="85" customFormat="1" x14ac:dyDescent="0.3">
      <c r="A21" s="153"/>
      <c r="B21" s="81"/>
      <c r="C21" s="81"/>
      <c r="D21" s="81"/>
      <c r="E21" s="81"/>
      <c r="F21" s="81"/>
      <c r="G21" s="81"/>
      <c r="H21" s="171"/>
      <c r="I21" s="171"/>
      <c r="J21" s="177"/>
      <c r="K21" s="117"/>
      <c r="L21" s="129"/>
      <c r="P21" s="83"/>
      <c r="Q21" s="83"/>
      <c r="R21" s="106"/>
      <c r="S21" s="84"/>
      <c r="T21" s="84"/>
      <c r="U21" s="84"/>
    </row>
    <row r="22" spans="1:21" s="85" customFormat="1" x14ac:dyDescent="0.3">
      <c r="A22" s="152" t="s">
        <v>48</v>
      </c>
      <c r="B22" s="125">
        <v>2005</v>
      </c>
      <c r="C22" s="125">
        <v>2006</v>
      </c>
      <c r="D22" s="125">
        <v>2007</v>
      </c>
      <c r="E22" s="125">
        <v>2008</v>
      </c>
      <c r="F22" s="125">
        <v>2009</v>
      </c>
      <c r="G22" s="125">
        <v>2010</v>
      </c>
      <c r="H22" s="173">
        <v>2011</v>
      </c>
      <c r="I22" s="173">
        <v>2012</v>
      </c>
      <c r="J22" s="179">
        <v>2012</v>
      </c>
      <c r="K22" s="127">
        <v>2013</v>
      </c>
      <c r="L22" s="128" t="s">
        <v>46</v>
      </c>
      <c r="P22" s="83"/>
      <c r="Q22" s="83"/>
      <c r="R22" s="108"/>
      <c r="S22" s="84"/>
      <c r="T22" s="84"/>
      <c r="U22" s="84"/>
    </row>
    <row r="23" spans="1:21" s="85" customFormat="1" x14ac:dyDescent="0.3">
      <c r="A23" s="153" t="s">
        <v>28</v>
      </c>
      <c r="B23" s="81">
        <v>41040</v>
      </c>
      <c r="C23" s="81">
        <v>705877</v>
      </c>
      <c r="D23" s="81">
        <v>718503</v>
      </c>
      <c r="E23" s="81">
        <v>884817</v>
      </c>
      <c r="F23" s="81">
        <v>1015157</v>
      </c>
      <c r="G23" s="81">
        <v>1126326</v>
      </c>
      <c r="H23" s="171">
        <v>679598</v>
      </c>
      <c r="I23" s="171">
        <v>690354</v>
      </c>
      <c r="J23" s="177">
        <v>690354</v>
      </c>
      <c r="K23" s="117">
        <v>1996737</v>
      </c>
      <c r="L23" s="129">
        <f t="shared" ref="L23:L34" si="1">+(K23-J23)/J23</f>
        <v>1.8923378440626113</v>
      </c>
      <c r="P23" s="83"/>
      <c r="Q23" s="83"/>
      <c r="R23" s="106"/>
      <c r="S23" s="84"/>
      <c r="T23" s="84"/>
      <c r="U23" s="84"/>
    </row>
    <row r="24" spans="1:21" s="85" customFormat="1" x14ac:dyDescent="0.3">
      <c r="A24" s="153" t="s">
        <v>49</v>
      </c>
      <c r="B24" s="81">
        <v>111023</v>
      </c>
      <c r="C24" s="81">
        <v>146194</v>
      </c>
      <c r="D24" s="81">
        <v>146091</v>
      </c>
      <c r="E24" s="81">
        <v>163812</v>
      </c>
      <c r="F24" s="81">
        <v>124270</v>
      </c>
      <c r="G24" s="81">
        <v>165155</v>
      </c>
      <c r="H24" s="171">
        <v>163168</v>
      </c>
      <c r="I24" s="171">
        <v>170648</v>
      </c>
      <c r="J24" s="177">
        <v>170648</v>
      </c>
      <c r="K24" s="117">
        <v>299136</v>
      </c>
      <c r="L24" s="129">
        <f t="shared" si="1"/>
        <v>0.75294172800150017</v>
      </c>
      <c r="P24" s="83"/>
      <c r="Q24" s="83"/>
      <c r="R24" s="108"/>
      <c r="S24" s="84"/>
      <c r="T24" s="84"/>
      <c r="U24" s="84"/>
    </row>
    <row r="25" spans="1:21" s="85" customFormat="1" x14ac:dyDescent="0.3">
      <c r="A25" s="153" t="s">
        <v>38</v>
      </c>
      <c r="B25" s="81">
        <v>59396</v>
      </c>
      <c r="C25" s="81">
        <v>108992</v>
      </c>
      <c r="D25" s="81">
        <v>140644</v>
      </c>
      <c r="E25" s="81">
        <v>173147</v>
      </c>
      <c r="F25" s="81">
        <v>141613</v>
      </c>
      <c r="G25" s="81">
        <v>209038</v>
      </c>
      <c r="H25" s="171">
        <v>217244</v>
      </c>
      <c r="I25" s="171">
        <v>259622</v>
      </c>
      <c r="J25" s="177">
        <v>259623</v>
      </c>
      <c r="K25" s="117">
        <v>339737</v>
      </c>
      <c r="L25" s="129">
        <f t="shared" si="1"/>
        <v>0.30857820763183541</v>
      </c>
      <c r="P25" s="83"/>
      <c r="Q25" s="83"/>
      <c r="R25" s="106"/>
      <c r="S25" s="84"/>
      <c r="T25" s="84"/>
      <c r="U25" s="84"/>
    </row>
    <row r="26" spans="1:21" s="85" customFormat="1" x14ac:dyDescent="0.3">
      <c r="A26" s="153" t="s">
        <v>30</v>
      </c>
      <c r="B26" s="81">
        <v>55165</v>
      </c>
      <c r="C26" s="81">
        <v>54299</v>
      </c>
      <c r="D26" s="81">
        <v>55981</v>
      </c>
      <c r="E26" s="81">
        <v>61484</v>
      </c>
      <c r="F26" s="81">
        <v>52025</v>
      </c>
      <c r="G26" s="81">
        <v>68247</v>
      </c>
      <c r="H26" s="171">
        <v>132822</v>
      </c>
      <c r="I26" s="171">
        <v>138203</v>
      </c>
      <c r="J26" s="177">
        <v>138203</v>
      </c>
      <c r="K26" s="117">
        <v>159523</v>
      </c>
      <c r="L26" s="129">
        <f t="shared" si="1"/>
        <v>0.15426582635688083</v>
      </c>
      <c r="P26" s="83"/>
      <c r="Q26" s="83"/>
      <c r="R26" s="106"/>
      <c r="S26" s="84"/>
      <c r="T26" s="84"/>
      <c r="U26" s="84"/>
    </row>
    <row r="27" spans="1:21" s="85" customFormat="1" x14ac:dyDescent="0.3">
      <c r="A27" s="153" t="s">
        <v>31</v>
      </c>
      <c r="B27" s="81">
        <v>34448</v>
      </c>
      <c r="C27" s="81">
        <v>46282</v>
      </c>
      <c r="D27" s="81">
        <v>58521</v>
      </c>
      <c r="E27" s="81">
        <v>75362</v>
      </c>
      <c r="F27" s="81">
        <v>77811</v>
      </c>
      <c r="G27" s="81">
        <v>88387</v>
      </c>
      <c r="H27" s="171">
        <v>96429</v>
      </c>
      <c r="I27" s="171">
        <v>109969</v>
      </c>
      <c r="J27" s="177">
        <v>109969</v>
      </c>
      <c r="K27" s="117">
        <v>138378</v>
      </c>
      <c r="L27" s="129">
        <f t="shared" si="1"/>
        <v>0.25833644026953051</v>
      </c>
      <c r="P27" s="83"/>
      <c r="Q27" s="83"/>
      <c r="R27" s="106"/>
      <c r="S27" s="84"/>
      <c r="T27" s="84"/>
      <c r="U27" s="84"/>
    </row>
    <row r="28" spans="1:21" s="85" customFormat="1" x14ac:dyDescent="0.3">
      <c r="A28" s="153" t="s">
        <v>32</v>
      </c>
      <c r="B28" s="81">
        <v>33024</v>
      </c>
      <c r="C28" s="81">
        <v>38698</v>
      </c>
      <c r="D28" s="81">
        <v>57731</v>
      </c>
      <c r="E28" s="81">
        <v>63828</v>
      </c>
      <c r="F28" s="81">
        <v>65860</v>
      </c>
      <c r="G28" s="81">
        <v>31651</v>
      </c>
      <c r="H28" s="171">
        <v>33608</v>
      </c>
      <c r="I28" s="171">
        <v>28288</v>
      </c>
      <c r="J28" s="177">
        <v>28288</v>
      </c>
      <c r="K28" s="117">
        <v>54184</v>
      </c>
      <c r="L28" s="129">
        <f t="shared" si="1"/>
        <v>0.9154411764705882</v>
      </c>
      <c r="P28" s="83"/>
      <c r="Q28" s="83"/>
      <c r="R28" s="106"/>
      <c r="S28" s="84"/>
      <c r="T28" s="84"/>
      <c r="U28" s="84"/>
    </row>
    <row r="29" spans="1:21" s="85" customFormat="1" x14ac:dyDescent="0.3">
      <c r="A29" s="153" t="s">
        <v>24</v>
      </c>
      <c r="B29" s="81">
        <v>12261</v>
      </c>
      <c r="C29" s="81">
        <v>10307</v>
      </c>
      <c r="D29" s="81">
        <v>36889</v>
      </c>
      <c r="E29" s="81">
        <v>44153</v>
      </c>
      <c r="F29" s="81">
        <v>59601</v>
      </c>
      <c r="G29" s="81">
        <v>58990</v>
      </c>
      <c r="H29" s="171">
        <v>112430</v>
      </c>
      <c r="I29" s="171">
        <v>125466</v>
      </c>
      <c r="J29" s="177">
        <v>125466</v>
      </c>
      <c r="K29" s="117">
        <v>159573</v>
      </c>
      <c r="L29" s="129">
        <f t="shared" si="1"/>
        <v>0.27184257089570085</v>
      </c>
      <c r="P29" s="83"/>
      <c r="Q29" s="83"/>
      <c r="R29" s="106"/>
      <c r="S29" s="84"/>
      <c r="T29" s="84"/>
      <c r="U29" s="84"/>
    </row>
    <row r="30" spans="1:21" s="85" customFormat="1" x14ac:dyDescent="0.3">
      <c r="A30" s="153" t="s">
        <v>0</v>
      </c>
      <c r="B30" s="81">
        <v>938</v>
      </c>
      <c r="C30" s="81">
        <v>1750</v>
      </c>
      <c r="D30" s="81">
        <v>1583</v>
      </c>
      <c r="E30" s="81">
        <v>2766</v>
      </c>
      <c r="F30" s="81">
        <v>2549</v>
      </c>
      <c r="G30" s="81">
        <v>1983</v>
      </c>
      <c r="H30" s="171">
        <v>5031</v>
      </c>
      <c r="I30" s="171">
        <v>3762</v>
      </c>
      <c r="J30" s="177">
        <v>3761</v>
      </c>
      <c r="K30" s="117">
        <v>3159</v>
      </c>
      <c r="L30" s="129">
        <f t="shared" si="1"/>
        <v>-0.1600638128157405</v>
      </c>
      <c r="P30" s="83"/>
      <c r="Q30" s="83"/>
      <c r="R30" s="106"/>
      <c r="S30" s="84"/>
      <c r="T30" s="84"/>
      <c r="U30" s="84"/>
    </row>
    <row r="31" spans="1:21" s="85" customFormat="1" x14ac:dyDescent="0.3">
      <c r="A31" s="153" t="s">
        <v>33</v>
      </c>
      <c r="B31" s="80">
        <v>347295</v>
      </c>
      <c r="C31" s="80">
        <v>1112399</v>
      </c>
      <c r="D31" s="80">
        <v>1215943</v>
      </c>
      <c r="E31" s="80">
        <v>1469369</v>
      </c>
      <c r="F31" s="80">
        <v>1538886</v>
      </c>
      <c r="G31" s="80">
        <v>1749777</v>
      </c>
      <c r="H31" s="174">
        <f>SUM(H23:H30)</f>
        <v>1440330</v>
      </c>
      <c r="I31" s="174">
        <f>SUM(I23:I30)</f>
        <v>1526312</v>
      </c>
      <c r="J31" s="180">
        <f>SUM(J23:J30)</f>
        <v>1526312</v>
      </c>
      <c r="K31" s="119">
        <f>SUM(K23:K30)</f>
        <v>3150427</v>
      </c>
      <c r="L31" s="129">
        <f t="shared" si="1"/>
        <v>1.0640779866763808</v>
      </c>
      <c r="P31" s="83"/>
      <c r="Q31" s="83"/>
      <c r="R31" s="106"/>
      <c r="S31" s="84"/>
      <c r="T31" s="84"/>
      <c r="U31" s="84"/>
    </row>
    <row r="32" spans="1:21" s="85" customFormat="1" x14ac:dyDescent="0.3">
      <c r="A32" s="153" t="s">
        <v>39</v>
      </c>
      <c r="B32" s="81">
        <v>2519</v>
      </c>
      <c r="C32" s="81">
        <v>2618</v>
      </c>
      <c r="D32" s="81">
        <v>2964</v>
      </c>
      <c r="E32" s="81">
        <v>2751</v>
      </c>
      <c r="F32" s="81">
        <v>3611</v>
      </c>
      <c r="G32" s="81">
        <v>11268</v>
      </c>
      <c r="H32" s="171">
        <v>16209</v>
      </c>
      <c r="I32" s="171">
        <v>16294</v>
      </c>
      <c r="J32" s="177">
        <v>16294</v>
      </c>
      <c r="K32" s="117">
        <v>19208</v>
      </c>
      <c r="L32" s="129">
        <f t="shared" si="1"/>
        <v>0.17883883638149012</v>
      </c>
      <c r="P32" s="83"/>
      <c r="Q32" s="83"/>
      <c r="R32" s="106"/>
      <c r="S32" s="84"/>
      <c r="T32" s="84"/>
      <c r="U32" s="84"/>
    </row>
    <row r="33" spans="1:24" s="85" customFormat="1" x14ac:dyDescent="0.3">
      <c r="A33" s="155" t="s">
        <v>34</v>
      </c>
      <c r="B33" s="97">
        <v>3672343</v>
      </c>
      <c r="C33" s="97">
        <v>3917884</v>
      </c>
      <c r="D33" s="97">
        <v>4129395</v>
      </c>
      <c r="E33" s="97">
        <v>3864433</v>
      </c>
      <c r="F33" s="97">
        <v>5386629</v>
      </c>
      <c r="G33" s="97">
        <v>6323646</v>
      </c>
      <c r="H33" s="175">
        <v>6474630</v>
      </c>
      <c r="I33" s="175">
        <v>7408958</v>
      </c>
      <c r="J33" s="181">
        <v>7408957</v>
      </c>
      <c r="K33" s="120">
        <v>7410863</v>
      </c>
      <c r="L33" s="131">
        <f t="shared" si="1"/>
        <v>2.5725618329273606E-4</v>
      </c>
      <c r="P33" s="83"/>
      <c r="Q33" s="83"/>
      <c r="R33" s="108"/>
      <c r="S33" s="84"/>
      <c r="T33" s="84"/>
      <c r="U33" s="84"/>
    </row>
    <row r="34" spans="1:24" s="85" customFormat="1" ht="15.75" thickBot="1" x14ac:dyDescent="0.35">
      <c r="A34" s="151" t="s">
        <v>35</v>
      </c>
      <c r="B34" s="91">
        <v>4022157</v>
      </c>
      <c r="C34" s="91">
        <v>5032901</v>
      </c>
      <c r="D34" s="91">
        <v>5348302</v>
      </c>
      <c r="E34" s="91">
        <v>5336553</v>
      </c>
      <c r="F34" s="91">
        <v>6929126</v>
      </c>
      <c r="G34" s="91">
        <v>8084691</v>
      </c>
      <c r="H34" s="172">
        <f>+H31+H32+H33</f>
        <v>7931169</v>
      </c>
      <c r="I34" s="172">
        <f>+I31+I32+I33</f>
        <v>8951564</v>
      </c>
      <c r="J34" s="178">
        <f>+J31+J32+J33</f>
        <v>8951563</v>
      </c>
      <c r="K34" s="118">
        <f>+K31+K32+K33</f>
        <v>10580498</v>
      </c>
      <c r="L34" s="130">
        <f t="shared" si="1"/>
        <v>0.18197213157076592</v>
      </c>
      <c r="P34" s="83"/>
      <c r="Q34" s="83"/>
      <c r="R34" s="108"/>
      <c r="S34" s="84"/>
      <c r="T34" s="84"/>
      <c r="U34" s="84"/>
    </row>
    <row r="35" spans="1:24" s="85" customFormat="1" x14ac:dyDescent="0.3">
      <c r="H35" s="81"/>
      <c r="I35" s="81"/>
      <c r="J35" s="81"/>
      <c r="K35" s="81"/>
      <c r="L35" s="82"/>
      <c r="M35" s="107"/>
      <c r="N35" s="107"/>
      <c r="O35" s="107"/>
      <c r="P35" s="83"/>
      <c r="Q35" s="83"/>
      <c r="R35" s="108"/>
      <c r="S35" s="84"/>
      <c r="T35" s="84"/>
      <c r="U35" s="84"/>
    </row>
    <row r="36" spans="1:24" ht="21" x14ac:dyDescent="0.35">
      <c r="A36" s="116" t="s">
        <v>91</v>
      </c>
      <c r="B36" s="116"/>
      <c r="C36" s="116"/>
      <c r="D36" s="116"/>
      <c r="E36" s="116"/>
      <c r="F36" s="116"/>
      <c r="G36" s="116"/>
    </row>
    <row r="37" spans="1:24" ht="15.75" x14ac:dyDescent="0.3">
      <c r="A37" s="78" t="s">
        <v>119</v>
      </c>
      <c r="B37" s="78"/>
      <c r="C37" s="78"/>
      <c r="D37" s="78"/>
      <c r="E37" s="78"/>
      <c r="F37" s="78"/>
      <c r="G37" s="78"/>
    </row>
    <row r="38" spans="1:24" x14ac:dyDescent="0.3">
      <c r="A38" s="79" t="s">
        <v>88</v>
      </c>
      <c r="B38" s="79"/>
      <c r="C38" s="79"/>
      <c r="D38" s="79"/>
      <c r="E38" s="79"/>
      <c r="F38" s="79"/>
      <c r="G38" s="79"/>
    </row>
    <row r="39" spans="1:24" s="85" customFormat="1" ht="15.75" thickBot="1" x14ac:dyDescent="0.35">
      <c r="A39" s="86"/>
      <c r="B39" s="144">
        <v>2005</v>
      </c>
      <c r="C39" s="144">
        <v>2006</v>
      </c>
      <c r="D39" s="144">
        <v>2007</v>
      </c>
      <c r="E39" s="144">
        <v>2008</v>
      </c>
      <c r="F39" s="144">
        <v>2009</v>
      </c>
      <c r="G39" s="144">
        <v>2010</v>
      </c>
      <c r="H39" s="144">
        <v>2011</v>
      </c>
      <c r="I39" s="144">
        <v>2012</v>
      </c>
      <c r="J39" s="145" t="s">
        <v>96</v>
      </c>
      <c r="K39" s="145" t="s">
        <v>95</v>
      </c>
      <c r="L39" s="145" t="s">
        <v>99</v>
      </c>
      <c r="M39" s="145" t="s">
        <v>100</v>
      </c>
      <c r="N39" s="145" t="s">
        <v>111</v>
      </c>
      <c r="O39" s="145" t="s">
        <v>121</v>
      </c>
      <c r="P39" s="146" t="s">
        <v>55</v>
      </c>
      <c r="Q39" s="145" t="s">
        <v>120</v>
      </c>
      <c r="R39" s="146" t="s">
        <v>55</v>
      </c>
      <c r="S39" s="147" t="s">
        <v>46</v>
      </c>
      <c r="T39" s="176" t="s">
        <v>108</v>
      </c>
      <c r="U39" s="183" t="s">
        <v>55</v>
      </c>
      <c r="V39" s="176" t="s">
        <v>109</v>
      </c>
      <c r="W39" s="183" t="s">
        <v>55</v>
      </c>
      <c r="X39" s="184" t="s">
        <v>46</v>
      </c>
    </row>
    <row r="40" spans="1:24" s="95" customFormat="1" x14ac:dyDescent="0.3">
      <c r="A40" s="148" t="s">
        <v>4</v>
      </c>
      <c r="B40" s="110">
        <v>2297199</v>
      </c>
      <c r="C40" s="110">
        <v>2872015</v>
      </c>
      <c r="D40" s="110">
        <v>3449517</v>
      </c>
      <c r="E40" s="110">
        <v>4009727</v>
      </c>
      <c r="F40" s="110">
        <v>4588366</v>
      </c>
      <c r="G40" s="110">
        <v>4458858</v>
      </c>
      <c r="H40" s="110">
        <v>5057382.6182662696</v>
      </c>
      <c r="I40" s="110">
        <v>5305782</v>
      </c>
      <c r="J40" s="132">
        <v>1237546</v>
      </c>
      <c r="K40" s="132">
        <v>1242052</v>
      </c>
      <c r="L40" s="132">
        <v>1265469</v>
      </c>
      <c r="M40" s="132">
        <v>1370524</v>
      </c>
      <c r="N40" s="132">
        <v>1329904</v>
      </c>
      <c r="O40" s="132">
        <v>1472863</v>
      </c>
      <c r="P40" s="138">
        <v>1</v>
      </c>
      <c r="Q40" s="132">
        <v>1796994</v>
      </c>
      <c r="R40" s="138">
        <v>1</v>
      </c>
      <c r="S40" s="138">
        <f t="shared" ref="S40:S56" si="2">IF(O40&lt;&gt;0,(Q40-O40)/O40,0)</f>
        <v>0.22006866898007485</v>
      </c>
      <c r="T40" s="185">
        <v>5305782</v>
      </c>
      <c r="U40" s="186">
        <v>1</v>
      </c>
      <c r="V40" s="185">
        <v>5898466</v>
      </c>
      <c r="W40" s="186">
        <v>1</v>
      </c>
      <c r="X40" s="187">
        <f t="shared" ref="X40:X52" si="3">IF(T40&lt;&gt;0,(V40-T40)/T40,0)</f>
        <v>0.11170530564580301</v>
      </c>
    </row>
    <row r="41" spans="1:24" s="85" customFormat="1" x14ac:dyDescent="0.3">
      <c r="A41" s="149" t="s">
        <v>50</v>
      </c>
      <c r="B41" s="112">
        <v>-1428204</v>
      </c>
      <c r="C41" s="112">
        <v>-1760636</v>
      </c>
      <c r="D41" s="112">
        <v>-2035308</v>
      </c>
      <c r="E41" s="112">
        <v>-2384094</v>
      </c>
      <c r="F41" s="112">
        <v>-2818189</v>
      </c>
      <c r="G41" s="112">
        <v>-2587907.8744791602</v>
      </c>
      <c r="H41" s="112">
        <v>-3030201.8461819952</v>
      </c>
      <c r="I41" s="112">
        <v>-3064460</v>
      </c>
      <c r="J41" s="133">
        <v>-724520</v>
      </c>
      <c r="K41" s="133">
        <v>-682801</v>
      </c>
      <c r="L41" s="133">
        <v>-728867</v>
      </c>
      <c r="M41" s="133">
        <v>-750580</v>
      </c>
      <c r="N41" s="133">
        <v>-749719</v>
      </c>
      <c r="O41" s="133">
        <v>-861354</v>
      </c>
      <c r="P41" s="129">
        <f>+O41/$O$40</f>
        <v>-0.584816103059144</v>
      </c>
      <c r="Q41" s="133">
        <v>-1003718</v>
      </c>
      <c r="R41" s="129">
        <f t="shared" ref="R41:R59" si="4">+Q41/$Q$40</f>
        <v>-0.55855389611762751</v>
      </c>
      <c r="S41" s="129">
        <f t="shared" si="2"/>
        <v>0.16527931605356219</v>
      </c>
      <c r="T41" s="188">
        <v>-3064460</v>
      </c>
      <c r="U41" s="187">
        <f t="shared" ref="U41:U59" si="5">+T41/$T$40</f>
        <v>-0.57756990392745122</v>
      </c>
      <c r="V41" s="188">
        <v>-3260968</v>
      </c>
      <c r="W41" s="187">
        <f t="shared" ref="W41:W59" si="6">+V41/$V$40</f>
        <v>-0.55285018172521461</v>
      </c>
      <c r="X41" s="187">
        <f t="shared" si="3"/>
        <v>6.412483765492126E-2</v>
      </c>
    </row>
    <row r="42" spans="1:24" s="95" customFormat="1" x14ac:dyDescent="0.3">
      <c r="A42" s="148" t="s">
        <v>6</v>
      </c>
      <c r="B42" s="80">
        <v>868995</v>
      </c>
      <c r="C42" s="80">
        <v>1111379</v>
      </c>
      <c r="D42" s="80">
        <v>1414209</v>
      </c>
      <c r="E42" s="80">
        <v>1625633</v>
      </c>
      <c r="F42" s="80">
        <v>1770177</v>
      </c>
      <c r="G42" s="80">
        <v>1870950.1255208398</v>
      </c>
      <c r="H42" s="80">
        <f t="shared" ref="H42:N42" si="7">SUM(H40:H41)</f>
        <v>2027180.7720842743</v>
      </c>
      <c r="I42" s="80">
        <f t="shared" si="7"/>
        <v>2241322</v>
      </c>
      <c r="J42" s="134">
        <f t="shared" si="7"/>
        <v>513026</v>
      </c>
      <c r="K42" s="134">
        <f t="shared" si="7"/>
        <v>559251</v>
      </c>
      <c r="L42" s="134">
        <f t="shared" si="7"/>
        <v>536602</v>
      </c>
      <c r="M42" s="134">
        <f t="shared" si="7"/>
        <v>619944</v>
      </c>
      <c r="N42" s="134">
        <f t="shared" si="7"/>
        <v>580185</v>
      </c>
      <c r="O42" s="134">
        <f>SUM(O40:O41)</f>
        <v>611509</v>
      </c>
      <c r="P42" s="138">
        <f>+O42/$O$40</f>
        <v>0.415183896940856</v>
      </c>
      <c r="Q42" s="134">
        <f>SUM(Q40:Q41)</f>
        <v>793276</v>
      </c>
      <c r="R42" s="138">
        <f t="shared" si="4"/>
        <v>0.44144610388237243</v>
      </c>
      <c r="S42" s="138">
        <f t="shared" si="2"/>
        <v>0.29724337663059741</v>
      </c>
      <c r="T42" s="180">
        <f>SUM(T40:T41)</f>
        <v>2241322</v>
      </c>
      <c r="U42" s="187">
        <f t="shared" si="5"/>
        <v>0.42243009607254878</v>
      </c>
      <c r="V42" s="180">
        <f>SUM(V40:V41)</f>
        <v>2637498</v>
      </c>
      <c r="W42" s="187">
        <f t="shared" si="6"/>
        <v>0.44714981827478534</v>
      </c>
      <c r="X42" s="187">
        <f t="shared" si="3"/>
        <v>0.1767599657702017</v>
      </c>
    </row>
    <row r="43" spans="1:24" s="85" customFormat="1" x14ac:dyDescent="0.3">
      <c r="A43" s="149" t="s">
        <v>7</v>
      </c>
      <c r="B43" s="81">
        <v>-95853</v>
      </c>
      <c r="C43" s="81">
        <v>-127200</v>
      </c>
      <c r="D43" s="81">
        <v>-165507</v>
      </c>
      <c r="E43" s="81">
        <v>-183777</v>
      </c>
      <c r="F43" s="81">
        <v>-218875</v>
      </c>
      <c r="G43" s="81">
        <v>-212941</v>
      </c>
      <c r="H43" s="81">
        <v>-250061.17590559012</v>
      </c>
      <c r="I43" s="81">
        <v>-270303</v>
      </c>
      <c r="J43" s="135">
        <v>-59529</v>
      </c>
      <c r="K43" s="135">
        <v>-64873</v>
      </c>
      <c r="L43" s="135">
        <v>-62802</v>
      </c>
      <c r="M43" s="135">
        <v>-73939</v>
      </c>
      <c r="N43" s="135">
        <v>-70895</v>
      </c>
      <c r="O43" s="135">
        <v>-77077</v>
      </c>
      <c r="P43" s="129">
        <f>+O43/$O$40</f>
        <v>-5.233141167915821E-2</v>
      </c>
      <c r="Q43" s="135">
        <v>-105338</v>
      </c>
      <c r="R43" s="129">
        <f t="shared" si="4"/>
        <v>-5.8619004849209289E-2</v>
      </c>
      <c r="S43" s="129">
        <f t="shared" si="2"/>
        <v>0.36665931471126278</v>
      </c>
      <c r="T43" s="177">
        <v>-270303</v>
      </c>
      <c r="U43" s="187">
        <f t="shared" si="5"/>
        <v>-5.0944987939572341E-2</v>
      </c>
      <c r="V43" s="177">
        <v>-347578</v>
      </c>
      <c r="W43" s="187">
        <f t="shared" si="6"/>
        <v>-5.8926846403793802E-2</v>
      </c>
      <c r="X43" s="187">
        <f t="shared" si="3"/>
        <v>0.28588287958328246</v>
      </c>
    </row>
    <row r="44" spans="1:24" s="85" customFormat="1" x14ac:dyDescent="0.3">
      <c r="A44" s="149" t="s">
        <v>8</v>
      </c>
      <c r="B44" s="81">
        <v>-509961</v>
      </c>
      <c r="C44" s="81">
        <v>-684105</v>
      </c>
      <c r="D44" s="81">
        <v>-815817</v>
      </c>
      <c r="E44" s="81">
        <v>-975970</v>
      </c>
      <c r="F44" s="81">
        <v>-1102578</v>
      </c>
      <c r="G44" s="81">
        <v>-1103652</v>
      </c>
      <c r="H44" s="81">
        <v>-1221301.5797654777</v>
      </c>
      <c r="I44" s="81">
        <v>-1326976</v>
      </c>
      <c r="J44" s="135">
        <v>-305689</v>
      </c>
      <c r="K44" s="135">
        <v>-325559</v>
      </c>
      <c r="L44" s="135">
        <v>-310054</v>
      </c>
      <c r="M44" s="135">
        <v>-355546</v>
      </c>
      <c r="N44" s="135">
        <v>-335753</v>
      </c>
      <c r="O44" s="135">
        <v>-375480</v>
      </c>
      <c r="P44" s="129">
        <f>+O44/$O$40</f>
        <v>-0.25493206089093146</v>
      </c>
      <c r="Q44" s="135">
        <v>-448571</v>
      </c>
      <c r="R44" s="129">
        <f t="shared" si="4"/>
        <v>-0.24962298149019974</v>
      </c>
      <c r="S44" s="129">
        <f t="shared" si="2"/>
        <v>0.19466016831788643</v>
      </c>
      <c r="T44" s="177">
        <v>-1326976</v>
      </c>
      <c r="U44" s="187">
        <f t="shared" si="5"/>
        <v>-0.25009998526136201</v>
      </c>
      <c r="V44" s="177">
        <v>-1505166</v>
      </c>
      <c r="W44" s="187">
        <f t="shared" si="6"/>
        <v>-0.25517922795520054</v>
      </c>
      <c r="X44" s="187">
        <f t="shared" si="3"/>
        <v>0.13428276020063665</v>
      </c>
    </row>
    <row r="45" spans="1:24" s="85" customFormat="1" x14ac:dyDescent="0.3">
      <c r="A45" s="149" t="s">
        <v>84</v>
      </c>
      <c r="B45" s="81"/>
      <c r="C45" s="81"/>
      <c r="D45" s="81"/>
      <c r="E45" s="81"/>
      <c r="F45" s="81"/>
      <c r="G45" s="81">
        <v>-121613</v>
      </c>
      <c r="H45" s="81">
        <v>-123323</v>
      </c>
      <c r="I45" s="81">
        <v>-122931</v>
      </c>
      <c r="J45" s="135">
        <v>-33091</v>
      </c>
      <c r="K45" s="135">
        <v>-27738</v>
      </c>
      <c r="L45" s="135">
        <v>-37645</v>
      </c>
      <c r="M45" s="135">
        <v>-33697</v>
      </c>
      <c r="N45" s="135">
        <v>-33984</v>
      </c>
      <c r="O45" s="135">
        <v>-18211</v>
      </c>
      <c r="P45" s="129">
        <f>+O45/$O$40</f>
        <v>-1.236435432216031E-2</v>
      </c>
      <c r="Q45" s="135">
        <v>-41010</v>
      </c>
      <c r="R45" s="129">
        <f t="shared" si="4"/>
        <v>-2.2821445146728368E-2</v>
      </c>
      <c r="S45" s="129">
        <f t="shared" si="2"/>
        <v>1.2519356432925155</v>
      </c>
      <c r="T45" s="177">
        <v>-122931</v>
      </c>
      <c r="U45" s="187">
        <f t="shared" si="5"/>
        <v>-2.3169251959466106E-2</v>
      </c>
      <c r="V45" s="177">
        <v>-134527</v>
      </c>
      <c r="W45" s="187">
        <f t="shared" si="6"/>
        <v>-2.2807116290913605E-2</v>
      </c>
      <c r="X45" s="187">
        <f t="shared" si="3"/>
        <v>9.4329339222816055E-2</v>
      </c>
    </row>
    <row r="46" spans="1:24" s="95" customFormat="1" x14ac:dyDescent="0.3">
      <c r="A46" s="148" t="s">
        <v>9</v>
      </c>
      <c r="B46" s="80">
        <v>-605814</v>
      </c>
      <c r="C46" s="80">
        <v>-811305</v>
      </c>
      <c r="D46" s="80">
        <v>-981324</v>
      </c>
      <c r="E46" s="80">
        <v>-1159747</v>
      </c>
      <c r="F46" s="80">
        <v>-1321453</v>
      </c>
      <c r="G46" s="80">
        <v>-1438206</v>
      </c>
      <c r="H46" s="80">
        <f t="shared" ref="H46:N46" si="8">SUM(H43:H45)</f>
        <v>-1594685.7556710679</v>
      </c>
      <c r="I46" s="80">
        <f t="shared" si="8"/>
        <v>-1720210</v>
      </c>
      <c r="J46" s="134">
        <f t="shared" si="8"/>
        <v>-398309</v>
      </c>
      <c r="K46" s="134">
        <f t="shared" si="8"/>
        <v>-418170</v>
      </c>
      <c r="L46" s="134">
        <f t="shared" si="8"/>
        <v>-410501</v>
      </c>
      <c r="M46" s="134">
        <f t="shared" si="8"/>
        <v>-463182</v>
      </c>
      <c r="N46" s="134">
        <f t="shared" si="8"/>
        <v>-440632</v>
      </c>
      <c r="O46" s="134">
        <f>SUM(O43:O45)</f>
        <v>-470768</v>
      </c>
      <c r="P46" s="138">
        <f t="shared" ref="P46:P57" si="9">+O46/$O$40</f>
        <v>-0.31962782689225</v>
      </c>
      <c r="Q46" s="134">
        <f>SUM(Q43:Q45)</f>
        <v>-594919</v>
      </c>
      <c r="R46" s="138">
        <f t="shared" si="4"/>
        <v>-0.33106343148613743</v>
      </c>
      <c r="S46" s="138">
        <f t="shared" si="2"/>
        <v>0.2637201339088468</v>
      </c>
      <c r="T46" s="180">
        <f>SUM(T43:T45)</f>
        <v>-1720210</v>
      </c>
      <c r="U46" s="187">
        <f t="shared" si="5"/>
        <v>-0.32421422516040049</v>
      </c>
      <c r="V46" s="180">
        <f>SUM(V43:V45)</f>
        <v>-1987271</v>
      </c>
      <c r="W46" s="187">
        <f t="shared" si="6"/>
        <v>-0.33691319064990793</v>
      </c>
      <c r="X46" s="187">
        <f t="shared" si="3"/>
        <v>0.15524906842769196</v>
      </c>
    </row>
    <row r="47" spans="1:24" s="95" customFormat="1" x14ac:dyDescent="0.3">
      <c r="A47" s="148" t="s">
        <v>1</v>
      </c>
      <c r="B47" s="80">
        <v>263181</v>
      </c>
      <c r="C47" s="80">
        <v>300074</v>
      </c>
      <c r="D47" s="80">
        <v>432885</v>
      </c>
      <c r="E47" s="80">
        <v>465886</v>
      </c>
      <c r="F47" s="80">
        <v>448724</v>
      </c>
      <c r="G47" s="80">
        <v>432744.12552083982</v>
      </c>
      <c r="H47" s="80">
        <f t="shared" ref="H47:N47" si="10">+H42+H46</f>
        <v>432495.01641320647</v>
      </c>
      <c r="I47" s="80">
        <f t="shared" si="10"/>
        <v>521112</v>
      </c>
      <c r="J47" s="134">
        <f t="shared" si="10"/>
        <v>114717</v>
      </c>
      <c r="K47" s="134">
        <f t="shared" si="10"/>
        <v>141081</v>
      </c>
      <c r="L47" s="134">
        <f t="shared" si="10"/>
        <v>126101</v>
      </c>
      <c r="M47" s="134">
        <f t="shared" si="10"/>
        <v>156762</v>
      </c>
      <c r="N47" s="134">
        <f t="shared" si="10"/>
        <v>139553</v>
      </c>
      <c r="O47" s="134">
        <f>+O42+O46</f>
        <v>140741</v>
      </c>
      <c r="P47" s="138">
        <f t="shared" si="9"/>
        <v>9.5556070048606015E-2</v>
      </c>
      <c r="Q47" s="134">
        <f>+Q42+Q46</f>
        <v>198357</v>
      </c>
      <c r="R47" s="138">
        <f t="shared" si="4"/>
        <v>0.11038267239623505</v>
      </c>
      <c r="S47" s="138">
        <f t="shared" si="2"/>
        <v>0.40937608799141684</v>
      </c>
      <c r="T47" s="180">
        <f>+T42+T46</f>
        <v>521112</v>
      </c>
      <c r="U47" s="187">
        <f t="shared" si="5"/>
        <v>9.8215870912148298E-2</v>
      </c>
      <c r="V47" s="180">
        <f>+V42+V46</f>
        <v>650227</v>
      </c>
      <c r="W47" s="187">
        <f t="shared" si="6"/>
        <v>0.11023662762487739</v>
      </c>
      <c r="X47" s="187">
        <f t="shared" si="3"/>
        <v>0.24776823408403567</v>
      </c>
    </row>
    <row r="48" spans="1:24" s="85" customFormat="1" x14ac:dyDescent="0.3">
      <c r="A48" s="149" t="s">
        <v>51</v>
      </c>
      <c r="B48" s="81">
        <v>14213</v>
      </c>
      <c r="C48" s="81">
        <v>13821</v>
      </c>
      <c r="D48" s="81">
        <v>11386</v>
      </c>
      <c r="E48" s="81">
        <v>11580</v>
      </c>
      <c r="F48" s="81">
        <v>9537</v>
      </c>
      <c r="G48" s="81">
        <v>8084</v>
      </c>
      <c r="H48" s="81">
        <v>7592</v>
      </c>
      <c r="I48" s="81">
        <v>12296</v>
      </c>
      <c r="J48" s="135">
        <v>2281</v>
      </c>
      <c r="K48" s="135">
        <v>2375</v>
      </c>
      <c r="L48" s="135">
        <v>2318</v>
      </c>
      <c r="M48" s="135">
        <v>2770</v>
      </c>
      <c r="N48" s="135">
        <v>3549</v>
      </c>
      <c r="O48" s="135">
        <v>4148</v>
      </c>
      <c r="P48" s="129">
        <f t="shared" si="9"/>
        <v>2.8162836597837001E-3</v>
      </c>
      <c r="Q48" s="135">
        <v>3996</v>
      </c>
      <c r="R48" s="129">
        <f t="shared" si="4"/>
        <v>2.2237136017148637E-3</v>
      </c>
      <c r="S48" s="129">
        <f t="shared" si="2"/>
        <v>-3.6644165863066541E-2</v>
      </c>
      <c r="T48" s="177">
        <v>12296</v>
      </c>
      <c r="U48" s="187">
        <f t="shared" si="5"/>
        <v>2.3174717694771476E-3</v>
      </c>
      <c r="V48" s="177">
        <v>12207</v>
      </c>
      <c r="W48" s="187">
        <f t="shared" si="6"/>
        <v>2.0695211263403062E-3</v>
      </c>
      <c r="X48" s="187">
        <f t="shared" si="3"/>
        <v>-7.2381262199089132E-3</v>
      </c>
    </row>
    <row r="49" spans="1:24" s="85" customFormat="1" x14ac:dyDescent="0.3">
      <c r="A49" s="149" t="s">
        <v>11</v>
      </c>
      <c r="B49" s="81">
        <v>-25197</v>
      </c>
      <c r="C49" s="81">
        <v>-64413</v>
      </c>
      <c r="D49" s="81">
        <v>-84176</v>
      </c>
      <c r="E49" s="81">
        <v>-88738</v>
      </c>
      <c r="F49" s="81">
        <v>-103331</v>
      </c>
      <c r="G49" s="81">
        <v>-79867</v>
      </c>
      <c r="H49" s="81">
        <v>-84666</v>
      </c>
      <c r="I49" s="81">
        <v>-70722</v>
      </c>
      <c r="J49" s="135">
        <v>-18188</v>
      </c>
      <c r="K49" s="135">
        <v>-16818</v>
      </c>
      <c r="L49" s="135">
        <v>-17611</v>
      </c>
      <c r="M49" s="135">
        <v>-17303</v>
      </c>
      <c r="N49" s="135">
        <v>-17493</v>
      </c>
      <c r="O49" s="135">
        <v>-17430</v>
      </c>
      <c r="P49" s="129">
        <f t="shared" si="9"/>
        <v>-1.1834094549187536E-2</v>
      </c>
      <c r="Q49" s="135">
        <v>-39725</v>
      </c>
      <c r="R49" s="129">
        <f t="shared" si="4"/>
        <v>-2.2106362069099841E-2</v>
      </c>
      <c r="S49" s="129">
        <f t="shared" si="2"/>
        <v>1.2791164658634537</v>
      </c>
      <c r="T49" s="177">
        <v>-70722</v>
      </c>
      <c r="U49" s="187">
        <f t="shared" si="5"/>
        <v>-1.3329232147117993E-2</v>
      </c>
      <c r="V49" s="177">
        <v>-101111</v>
      </c>
      <c r="W49" s="187">
        <f t="shared" si="6"/>
        <v>-1.7141914524895118E-2</v>
      </c>
      <c r="X49" s="187">
        <f t="shared" si="3"/>
        <v>0.42969655835525011</v>
      </c>
    </row>
    <row r="50" spans="1:24" s="85" customFormat="1" x14ac:dyDescent="0.3">
      <c r="A50" s="149" t="s">
        <v>12</v>
      </c>
      <c r="B50" s="81">
        <v>-24458</v>
      </c>
      <c r="C50" s="81">
        <v>-32576</v>
      </c>
      <c r="D50" s="81">
        <v>-17533</v>
      </c>
      <c r="E50" s="81">
        <v>-27906</v>
      </c>
      <c r="F50" s="81">
        <v>-1787</v>
      </c>
      <c r="G50" s="81">
        <v>-28926</v>
      </c>
      <c r="H50" s="81">
        <v>-3636</v>
      </c>
      <c r="I50" s="81">
        <v>1782</v>
      </c>
      <c r="J50" s="135">
        <v>-1259</v>
      </c>
      <c r="K50" s="135">
        <v>-1758</v>
      </c>
      <c r="L50" s="135">
        <v>13430</v>
      </c>
      <c r="M50" s="135">
        <v>4040</v>
      </c>
      <c r="N50" s="135">
        <v>-3185</v>
      </c>
      <c r="O50" s="135">
        <v>-7204</v>
      </c>
      <c r="P50" s="129">
        <f t="shared" si="9"/>
        <v>-4.891154167088181E-3</v>
      </c>
      <c r="Q50" s="135">
        <v>-4104</v>
      </c>
      <c r="R50" s="129">
        <f t="shared" si="4"/>
        <v>-2.2838139693287791E-3</v>
      </c>
      <c r="S50" s="129">
        <f t="shared" si="2"/>
        <v>-0.4303164908384231</v>
      </c>
      <c r="T50" s="177">
        <v>1782</v>
      </c>
      <c r="U50" s="187">
        <f t="shared" si="5"/>
        <v>3.3586001083346433E-4</v>
      </c>
      <c r="V50" s="177">
        <v>8732</v>
      </c>
      <c r="W50" s="187">
        <f t="shared" si="6"/>
        <v>1.4803849000740192E-3</v>
      </c>
      <c r="X50" s="187">
        <f t="shared" si="3"/>
        <v>3.9001122334455669</v>
      </c>
    </row>
    <row r="51" spans="1:24" s="85" customFormat="1" x14ac:dyDescent="0.3">
      <c r="A51" s="149" t="s">
        <v>52</v>
      </c>
      <c r="B51" s="81">
        <v>-1493</v>
      </c>
      <c r="C51" s="81">
        <v>-70809</v>
      </c>
      <c r="D51" s="81">
        <v>-27554</v>
      </c>
      <c r="E51" s="81">
        <v>-96678</v>
      </c>
      <c r="F51" s="81">
        <v>-89202</v>
      </c>
      <c r="G51" s="81">
        <v>-23551</v>
      </c>
      <c r="H51" s="81">
        <v>-26933</v>
      </c>
      <c r="I51" s="81">
        <v>-13536</v>
      </c>
      <c r="J51" s="135">
        <v>-5552</v>
      </c>
      <c r="K51" s="135">
        <v>-7981</v>
      </c>
      <c r="L51" s="135">
        <v>-7455</v>
      </c>
      <c r="M51" s="135">
        <v>-15076</v>
      </c>
      <c r="N51" s="135">
        <v>2332</v>
      </c>
      <c r="O51" s="135">
        <v>-2858</v>
      </c>
      <c r="P51" s="129">
        <f t="shared" si="9"/>
        <v>-1.9404384521846227E-3</v>
      </c>
      <c r="Q51" s="135">
        <v>-28914</v>
      </c>
      <c r="R51" s="129">
        <f t="shared" si="4"/>
        <v>-1.6090203973969864E-2</v>
      </c>
      <c r="S51" s="129">
        <f t="shared" si="2"/>
        <v>9.1168649405178446</v>
      </c>
      <c r="T51" s="177">
        <v>-13533</v>
      </c>
      <c r="U51" s="187">
        <f t="shared" si="5"/>
        <v>-2.5506136512958881E-3</v>
      </c>
      <c r="V51" s="177">
        <v>-54534</v>
      </c>
      <c r="W51" s="187">
        <f t="shared" si="6"/>
        <v>-9.245454665670701E-3</v>
      </c>
      <c r="X51" s="187">
        <f t="shared" si="3"/>
        <v>3.0297051651518512</v>
      </c>
    </row>
    <row r="52" spans="1:24" s="85" customFormat="1" x14ac:dyDescent="0.3">
      <c r="A52" s="149" t="s">
        <v>14</v>
      </c>
      <c r="B52" s="81">
        <v>22218</v>
      </c>
      <c r="C52" s="81">
        <v>29348</v>
      </c>
      <c r="D52" s="81">
        <v>25763</v>
      </c>
      <c r="E52" s="81">
        <v>27907</v>
      </c>
      <c r="F52" s="81">
        <v>28975</v>
      </c>
      <c r="G52" s="81">
        <v>30996</v>
      </c>
      <c r="H52" s="81">
        <v>33531</v>
      </c>
      <c r="I52" s="81">
        <v>35188</v>
      </c>
      <c r="J52" s="135">
        <v>8296</v>
      </c>
      <c r="K52" s="135">
        <v>8803</v>
      </c>
      <c r="L52" s="135">
        <v>9263</v>
      </c>
      <c r="M52" s="135">
        <v>9924</v>
      </c>
      <c r="N52" s="135">
        <v>8787</v>
      </c>
      <c r="O52" s="135">
        <v>8842</v>
      </c>
      <c r="P52" s="129">
        <f t="shared" si="9"/>
        <v>6.0032738958070101E-3</v>
      </c>
      <c r="Q52" s="135">
        <v>9643</v>
      </c>
      <c r="R52" s="129">
        <f t="shared" si="4"/>
        <v>5.3661837490831914E-3</v>
      </c>
      <c r="S52" s="129">
        <f t="shared" si="2"/>
        <v>9.0590364171002039E-2</v>
      </c>
      <c r="T52" s="177">
        <v>35188</v>
      </c>
      <c r="U52" s="187">
        <f t="shared" si="5"/>
        <v>6.6320101353579929E-3</v>
      </c>
      <c r="V52" s="177">
        <v>39510</v>
      </c>
      <c r="W52" s="187">
        <f t="shared" si="6"/>
        <v>6.6983517409441706E-3</v>
      </c>
      <c r="X52" s="187">
        <f t="shared" si="3"/>
        <v>0.12282596339661248</v>
      </c>
    </row>
    <row r="53" spans="1:24" s="85" customFormat="1" x14ac:dyDescent="0.3">
      <c r="A53" s="149" t="s">
        <v>16</v>
      </c>
      <c r="B53" s="81">
        <v>18955</v>
      </c>
      <c r="C53" s="81">
        <v>71319</v>
      </c>
      <c r="D53" s="81">
        <v>6759</v>
      </c>
      <c r="E53" s="81">
        <v>80511</v>
      </c>
      <c r="F53" s="81">
        <v>2124</v>
      </c>
      <c r="G53" s="81">
        <v>1513.7364279999999</v>
      </c>
      <c r="H53" s="81">
        <v>11185</v>
      </c>
      <c r="I53" s="81">
        <v>0</v>
      </c>
      <c r="J53" s="135">
        <v>-1</v>
      </c>
      <c r="K53" s="135">
        <v>0</v>
      </c>
      <c r="L53" s="135">
        <v>36</v>
      </c>
      <c r="M53" s="135">
        <v>107</v>
      </c>
      <c r="N53" s="135">
        <v>0</v>
      </c>
      <c r="O53" s="135">
        <v>-37</v>
      </c>
      <c r="P53" s="129">
        <f t="shared" si="9"/>
        <v>-2.5121141613306872E-5</v>
      </c>
      <c r="Q53" s="135">
        <v>0</v>
      </c>
      <c r="R53" s="129">
        <f t="shared" si="4"/>
        <v>0</v>
      </c>
      <c r="S53" s="129">
        <f t="shared" si="2"/>
        <v>-1</v>
      </c>
      <c r="T53" s="177">
        <v>-2</v>
      </c>
      <c r="U53" s="187">
        <f t="shared" si="5"/>
        <v>-3.7694726243935389E-7</v>
      </c>
      <c r="V53" s="177">
        <v>107</v>
      </c>
      <c r="W53" s="187">
        <f t="shared" si="6"/>
        <v>1.8140309700861208E-5</v>
      </c>
      <c r="X53" s="195" t="s">
        <v>116</v>
      </c>
    </row>
    <row r="54" spans="1:24" s="95" customFormat="1" x14ac:dyDescent="0.3">
      <c r="A54" s="148" t="s">
        <v>2</v>
      </c>
      <c r="B54" s="80">
        <v>4238</v>
      </c>
      <c r="C54" s="80">
        <v>-53310</v>
      </c>
      <c r="D54" s="80">
        <v>-85355</v>
      </c>
      <c r="E54" s="80">
        <v>-93324</v>
      </c>
      <c r="F54" s="80">
        <v>-153684</v>
      </c>
      <c r="G54" s="80">
        <v>-91750.263571999996</v>
      </c>
      <c r="H54" s="80">
        <f t="shared" ref="H54:N54" si="11">SUM(H48:H53)</f>
        <v>-62927</v>
      </c>
      <c r="I54" s="80">
        <f t="shared" si="11"/>
        <v>-34992</v>
      </c>
      <c r="J54" s="134">
        <f t="shared" si="11"/>
        <v>-14423</v>
      </c>
      <c r="K54" s="134">
        <f t="shared" si="11"/>
        <v>-15379</v>
      </c>
      <c r="L54" s="134">
        <f t="shared" si="11"/>
        <v>-19</v>
      </c>
      <c r="M54" s="134">
        <f t="shared" si="11"/>
        <v>-15538</v>
      </c>
      <c r="N54" s="134">
        <f t="shared" si="11"/>
        <v>-6010</v>
      </c>
      <c r="O54" s="134">
        <f>SUM(O48:O53)</f>
        <v>-14539</v>
      </c>
      <c r="P54" s="138">
        <f t="shared" si="9"/>
        <v>-9.871250754482936E-3</v>
      </c>
      <c r="Q54" s="134">
        <f>SUM(Q48:Q53)</f>
        <v>-59104</v>
      </c>
      <c r="R54" s="138">
        <f t="shared" si="4"/>
        <v>-3.2890482661600426E-2</v>
      </c>
      <c r="S54" s="138">
        <f t="shared" si="2"/>
        <v>3.0652039342458215</v>
      </c>
      <c r="T54" s="180">
        <f>SUM(T48:T53)</f>
        <v>-34991</v>
      </c>
      <c r="U54" s="187">
        <f t="shared" si="5"/>
        <v>-6.5948808300077162E-3</v>
      </c>
      <c r="V54" s="180">
        <f>SUM(V48:V53)</f>
        <v>-95089</v>
      </c>
      <c r="W54" s="187">
        <f t="shared" si="6"/>
        <v>-1.6120971113506462E-2</v>
      </c>
      <c r="X54" s="187">
        <f>IF(T54&lt;&gt;0,(V54-T54)/T54,0)</f>
        <v>1.7175273641793605</v>
      </c>
    </row>
    <row r="55" spans="1:24" s="95" customFormat="1" x14ac:dyDescent="0.3">
      <c r="A55" s="148" t="s">
        <v>41</v>
      </c>
      <c r="B55" s="80">
        <v>267419</v>
      </c>
      <c r="C55" s="80">
        <v>246764</v>
      </c>
      <c r="D55" s="80">
        <v>347530</v>
      </c>
      <c r="E55" s="80">
        <v>372562</v>
      </c>
      <c r="F55" s="80">
        <v>295040</v>
      </c>
      <c r="G55" s="80">
        <v>340993.86194883985</v>
      </c>
      <c r="H55" s="80">
        <f t="shared" ref="H55:N55" si="12">+H47+H54</f>
        <v>369568.01641320647</v>
      </c>
      <c r="I55" s="80">
        <f t="shared" si="12"/>
        <v>486120</v>
      </c>
      <c r="J55" s="134">
        <f t="shared" si="12"/>
        <v>100294</v>
      </c>
      <c r="K55" s="134">
        <f t="shared" si="12"/>
        <v>125702</v>
      </c>
      <c r="L55" s="134">
        <f t="shared" si="12"/>
        <v>126082</v>
      </c>
      <c r="M55" s="134">
        <f t="shared" si="12"/>
        <v>141224</v>
      </c>
      <c r="N55" s="134">
        <f t="shared" si="12"/>
        <v>133543</v>
      </c>
      <c r="O55" s="134">
        <f>+O47+O54</f>
        <v>126202</v>
      </c>
      <c r="P55" s="138">
        <f t="shared" si="9"/>
        <v>8.5684819294123082E-2</v>
      </c>
      <c r="Q55" s="134">
        <f>+Q47+Q54</f>
        <v>139253</v>
      </c>
      <c r="R55" s="138">
        <f t="shared" si="4"/>
        <v>7.749218973463462E-2</v>
      </c>
      <c r="S55" s="138">
        <f t="shared" si="2"/>
        <v>0.10341357506220186</v>
      </c>
      <c r="T55" s="180">
        <f>+T47+T54</f>
        <v>486121</v>
      </c>
      <c r="U55" s="187">
        <f t="shared" si="5"/>
        <v>9.1620990082140571E-2</v>
      </c>
      <c r="V55" s="180">
        <f>+V47+V54</f>
        <v>555138</v>
      </c>
      <c r="W55" s="187">
        <f t="shared" si="6"/>
        <v>9.4115656511370924E-2</v>
      </c>
      <c r="X55" s="187">
        <f>IF(T55&lt;&gt;0,(V55-T55)/T55,0)</f>
        <v>0.14197494039549824</v>
      </c>
    </row>
    <row r="56" spans="1:24" s="85" customFormat="1" x14ac:dyDescent="0.3">
      <c r="A56" s="149" t="s">
        <v>15</v>
      </c>
      <c r="B56" s="81">
        <v>-84076</v>
      </c>
      <c r="C56" s="81">
        <v>-70246</v>
      </c>
      <c r="D56" s="81">
        <v>-99987</v>
      </c>
      <c r="E56" s="81">
        <v>-73232</v>
      </c>
      <c r="F56" s="81">
        <v>-81309</v>
      </c>
      <c r="G56" s="81">
        <v>-76992.534036829995</v>
      </c>
      <c r="H56" s="81">
        <v>-113919.04882074999</v>
      </c>
      <c r="I56" s="81">
        <v>-138457</v>
      </c>
      <c r="J56" s="135">
        <v>-39773</v>
      </c>
      <c r="K56" s="135">
        <v>-46692</v>
      </c>
      <c r="L56" s="135">
        <v>-37735</v>
      </c>
      <c r="M56" s="135">
        <v>-44055</v>
      </c>
      <c r="N56" s="135">
        <v>-39317</v>
      </c>
      <c r="O56" s="135">
        <v>-21632</v>
      </c>
      <c r="P56" s="129">
        <f t="shared" si="9"/>
        <v>-1.4687041496731196E-2</v>
      </c>
      <c r="Q56" s="135">
        <v>-38830</v>
      </c>
      <c r="R56" s="129">
        <f t="shared" si="4"/>
        <v>-2.1608308096743783E-2</v>
      </c>
      <c r="S56" s="129">
        <f t="shared" si="2"/>
        <v>0.79502588757396453</v>
      </c>
      <c r="T56" s="177">
        <v>-138457</v>
      </c>
      <c r="U56" s="187">
        <f t="shared" si="5"/>
        <v>-2.609549355778281E-2</v>
      </c>
      <c r="V56" s="177">
        <v>-174487</v>
      </c>
      <c r="W56" s="187">
        <f t="shared" si="6"/>
        <v>-2.95817590539642E-2</v>
      </c>
      <c r="X56" s="187">
        <f>IF(T56&lt;&gt;0,(V56-T56)/T56,0)</f>
        <v>0.2602251962703222</v>
      </c>
    </row>
    <row r="57" spans="1:24" s="85" customFormat="1" x14ac:dyDescent="0.3">
      <c r="A57" s="149" t="s">
        <v>18</v>
      </c>
      <c r="B57" s="81">
        <v>-23</v>
      </c>
      <c r="C57" s="81">
        <v>17</v>
      </c>
      <c r="D57" s="81">
        <v>-230</v>
      </c>
      <c r="E57" s="81">
        <v>-279</v>
      </c>
      <c r="F57" s="81">
        <v>-457</v>
      </c>
      <c r="G57" s="81">
        <v>-762.45166136</v>
      </c>
      <c r="H57" s="81">
        <v>-2137.6216936399992</v>
      </c>
      <c r="I57" s="81">
        <v>-2156</v>
      </c>
      <c r="J57" s="135">
        <v>-917</v>
      </c>
      <c r="K57" s="135">
        <v>276</v>
      </c>
      <c r="L57" s="135">
        <v>-863</v>
      </c>
      <c r="M57" s="135">
        <v>-50</v>
      </c>
      <c r="N57" s="135">
        <v>-209</v>
      </c>
      <c r="O57" s="135">
        <v>-168</v>
      </c>
      <c r="P57" s="129">
        <f t="shared" si="9"/>
        <v>-1.1406356191987986E-4</v>
      </c>
      <c r="Q57" s="135">
        <v>-343</v>
      </c>
      <c r="R57" s="129">
        <f t="shared" si="4"/>
        <v>-1.9087431566271228E-4</v>
      </c>
      <c r="S57" s="129">
        <f>IF(O57&lt;&gt;0,(Q57-O57)/O57,0)</f>
        <v>1.0416666666666667</v>
      </c>
      <c r="T57" s="177">
        <v>-2157</v>
      </c>
      <c r="U57" s="189">
        <f t="shared" si="5"/>
        <v>-4.065376225408432E-4</v>
      </c>
      <c r="V57" s="177">
        <v>-416</v>
      </c>
      <c r="W57" s="189">
        <f t="shared" si="6"/>
        <v>-7.0526811547273483E-5</v>
      </c>
      <c r="X57" s="187">
        <f>IF(T57&lt;&gt;0,(V57-T57)/T57,0)</f>
        <v>-0.80713954566527579</v>
      </c>
    </row>
    <row r="58" spans="1:24" s="95" customFormat="1" x14ac:dyDescent="0.3">
      <c r="A58" s="150" t="s">
        <v>17</v>
      </c>
      <c r="B58" s="113">
        <v>183320</v>
      </c>
      <c r="C58" s="113">
        <v>176535</v>
      </c>
      <c r="D58" s="113">
        <v>247313</v>
      </c>
      <c r="E58" s="113">
        <v>299051</v>
      </c>
      <c r="F58" s="113">
        <v>213274</v>
      </c>
      <c r="G58" s="113">
        <v>263238.87625064986</v>
      </c>
      <c r="H58" s="113">
        <f t="shared" ref="H58:M58" si="13">+H55+H56+H57</f>
        <v>253511.34589881651</v>
      </c>
      <c r="I58" s="113">
        <f t="shared" si="13"/>
        <v>345507</v>
      </c>
      <c r="J58" s="136">
        <f t="shared" si="13"/>
        <v>59604</v>
      </c>
      <c r="K58" s="136">
        <f t="shared" si="13"/>
        <v>79286</v>
      </c>
      <c r="L58" s="136">
        <f t="shared" si="13"/>
        <v>87484</v>
      </c>
      <c r="M58" s="136">
        <f t="shared" si="13"/>
        <v>97119</v>
      </c>
      <c r="N58" s="136">
        <v>94017</v>
      </c>
      <c r="O58" s="136">
        <f>+O55+O56+O57</f>
        <v>104402</v>
      </c>
      <c r="P58" s="139">
        <f>+O58/$O$40</f>
        <v>7.0883714235472003E-2</v>
      </c>
      <c r="Q58" s="136">
        <f>+Q55+Q56+Q57</f>
        <v>100080</v>
      </c>
      <c r="R58" s="139">
        <f t="shared" si="4"/>
        <v>5.5693007322228122E-2</v>
      </c>
      <c r="S58" s="139">
        <f>IF(O58&lt;&gt;0,(Q58-O58)/O58,0)</f>
        <v>-4.1397674374054137E-2</v>
      </c>
      <c r="T58" s="190">
        <f>+T55+T56+T57</f>
        <v>345507</v>
      </c>
      <c r="U58" s="189">
        <f t="shared" si="5"/>
        <v>6.5118958901816917E-2</v>
      </c>
      <c r="V58" s="190">
        <f>+V55+V56+V57</f>
        <v>380235</v>
      </c>
      <c r="W58" s="189">
        <f t="shared" si="6"/>
        <v>6.4463370645859455E-2</v>
      </c>
      <c r="X58" s="191">
        <f>+(V58-T58)/T58</f>
        <v>0.10051315892297406</v>
      </c>
    </row>
    <row r="59" spans="1:24" s="95" customFormat="1" ht="15.75" thickBot="1" x14ac:dyDescent="0.35">
      <c r="A59" s="151" t="s">
        <v>19</v>
      </c>
      <c r="B59" s="91">
        <v>317502</v>
      </c>
      <c r="C59" s="91">
        <v>382594</v>
      </c>
      <c r="D59" s="91">
        <v>528754</v>
      </c>
      <c r="E59" s="91">
        <v>569823</v>
      </c>
      <c r="F59" s="91">
        <v>551034</v>
      </c>
      <c r="G59" s="91">
        <v>538165</v>
      </c>
      <c r="H59" s="91">
        <v>568131.17041880696</v>
      </c>
      <c r="I59" s="91">
        <v>671095</v>
      </c>
      <c r="J59" s="137">
        <v>150246</v>
      </c>
      <c r="K59" s="137">
        <v>179705</v>
      </c>
      <c r="L59" s="137">
        <v>161808</v>
      </c>
      <c r="M59" s="137">
        <v>196119</v>
      </c>
      <c r="N59" s="137">
        <v>176006</v>
      </c>
      <c r="O59" s="137">
        <v>183035</v>
      </c>
      <c r="P59" s="140">
        <f>+O59/$O$40</f>
        <v>0.12427157176193576</v>
      </c>
      <c r="Q59" s="137">
        <v>257673</v>
      </c>
      <c r="R59" s="140">
        <f t="shared" si="4"/>
        <v>0.14339112985352204</v>
      </c>
      <c r="S59" s="140">
        <f>IF(O59&lt;&gt;0,(Q59-O59)/O59,0)</f>
        <v>0.40777993279973773</v>
      </c>
      <c r="T59" s="178">
        <v>671095</v>
      </c>
      <c r="U59" s="192">
        <f t="shared" si="5"/>
        <v>0.1264837115433691</v>
      </c>
      <c r="V59" s="178">
        <v>832827</v>
      </c>
      <c r="W59" s="192">
        <f t="shared" si="6"/>
        <v>0.14119382903961811</v>
      </c>
      <c r="X59" s="193">
        <f>+(V59-T59)/T59</f>
        <v>0.24099717625671477</v>
      </c>
    </row>
    <row r="60" spans="1:24" s="85" customFormat="1" x14ac:dyDescent="0.3">
      <c r="A60" s="81"/>
      <c r="B60" s="81"/>
      <c r="C60" s="81"/>
      <c r="D60" s="81"/>
      <c r="E60" s="81"/>
      <c r="F60" s="81"/>
      <c r="G60" s="81"/>
      <c r="H60" s="81"/>
      <c r="I60" s="82"/>
      <c r="J60" s="82"/>
      <c r="K60" s="82"/>
      <c r="L60" s="112"/>
      <c r="M60" s="82"/>
      <c r="N60" s="82"/>
      <c r="O60" s="82"/>
      <c r="P60" s="101"/>
      <c r="Q60" s="101"/>
    </row>
    <row r="61" spans="1:24" s="85" customFormat="1" x14ac:dyDescent="0.3">
      <c r="A61" s="196" t="s">
        <v>53</v>
      </c>
      <c r="H61" s="112"/>
      <c r="I61" s="112"/>
      <c r="J61" s="112"/>
      <c r="K61" s="112"/>
      <c r="L61" s="112"/>
      <c r="M61" s="82"/>
      <c r="N61" s="82"/>
      <c r="O61" s="82"/>
      <c r="P61" s="101"/>
      <c r="Q61" s="101"/>
    </row>
    <row r="62" spans="1:24" s="85" customFormat="1" x14ac:dyDescent="0.3">
      <c r="H62" s="81"/>
      <c r="I62" s="81"/>
      <c r="J62" s="81"/>
      <c r="K62" s="81"/>
      <c r="L62" s="112"/>
      <c r="M62" s="82"/>
      <c r="N62" s="82"/>
      <c r="O62" s="82"/>
      <c r="P62" s="101"/>
      <c r="Q62" s="101"/>
    </row>
    <row r="63" spans="1:24" s="85" customFormat="1" x14ac:dyDescent="0.3">
      <c r="H63" s="81"/>
      <c r="I63" s="81"/>
      <c r="J63" s="81"/>
      <c r="K63" s="81"/>
      <c r="L63" s="82"/>
      <c r="M63" s="82"/>
      <c r="N63" s="82"/>
      <c r="O63" s="82"/>
      <c r="P63" s="101"/>
      <c r="Q63" s="101"/>
    </row>
    <row r="64" spans="1:24" s="85" customFormat="1" x14ac:dyDescent="0.3">
      <c r="H64" s="81"/>
      <c r="I64" s="81"/>
      <c r="J64" s="81"/>
      <c r="K64" s="81"/>
      <c r="L64" s="89"/>
      <c r="M64" s="82"/>
      <c r="N64" s="82"/>
      <c r="O64" s="82"/>
      <c r="P64" s="101"/>
      <c r="Q64" s="101"/>
      <c r="R64" s="194"/>
    </row>
    <row r="65" spans="13:15" x14ac:dyDescent="0.3">
      <c r="M65" s="77"/>
      <c r="N65" s="77"/>
      <c r="O65" s="77"/>
    </row>
    <row r="82" spans="13:15" x14ac:dyDescent="0.3">
      <c r="M82" s="77"/>
      <c r="N82" s="77"/>
      <c r="O82" s="77"/>
    </row>
  </sheetData>
  <pageMargins left="0.7" right="0.7" top="0.75" bottom="0.75" header="0.3" footer="0.3"/>
  <customProperties>
    <customPr name="_pios_id" r:id="rId1"/>
  </customPropertie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8"/>
  <sheetViews>
    <sheetView topLeftCell="A7" workbookViewId="0">
      <pane xSplit="1" ySplit="4" topLeftCell="E32" activePane="bottomRight" state="frozen"/>
      <selection activeCell="A7" sqref="A7"/>
      <selection pane="topRight" activeCell="B7" sqref="B7"/>
      <selection pane="bottomLeft" activeCell="A11" sqref="A11"/>
      <selection pane="bottomRight" activeCell="O22" sqref="O22"/>
    </sheetView>
  </sheetViews>
  <sheetFormatPr baseColWidth="10" defaultColWidth="11.42578125" defaultRowHeight="15" x14ac:dyDescent="0.3"/>
  <cols>
    <col min="1" max="1" width="43.7109375" style="73" customWidth="1"/>
    <col min="2" max="2" width="14.42578125" style="73" customWidth="1"/>
    <col min="3" max="7" width="11.42578125" style="73" bestFit="1" customWidth="1"/>
    <col min="8" max="8" width="13" style="74" bestFit="1" customWidth="1"/>
    <col min="9" max="9" width="12.7109375" style="74" bestFit="1" customWidth="1"/>
    <col min="10" max="11" width="12.7109375" style="74" customWidth="1"/>
    <col min="12" max="12" width="13.42578125" style="75" bestFit="1" customWidth="1"/>
    <col min="13" max="16384" width="11.42578125" style="73"/>
  </cols>
  <sheetData>
    <row r="1" spans="1:20" x14ac:dyDescent="0.3">
      <c r="M1" s="75"/>
      <c r="N1" s="76"/>
      <c r="O1" s="76"/>
    </row>
    <row r="2" spans="1:20" x14ac:dyDescent="0.3">
      <c r="M2" s="75"/>
      <c r="N2" s="76"/>
      <c r="O2" s="76"/>
    </row>
    <row r="3" spans="1:20" x14ac:dyDescent="0.3">
      <c r="M3" s="75"/>
      <c r="N3" s="76"/>
      <c r="O3" s="76"/>
    </row>
    <row r="4" spans="1:20" x14ac:dyDescent="0.3">
      <c r="M4" s="75"/>
      <c r="N4" s="76"/>
      <c r="O4" s="76"/>
    </row>
    <row r="5" spans="1:20" x14ac:dyDescent="0.3">
      <c r="M5" s="75"/>
      <c r="N5" s="76"/>
      <c r="O5" s="76"/>
    </row>
    <row r="6" spans="1:20" ht="21" x14ac:dyDescent="0.35">
      <c r="A6" s="116" t="s">
        <v>90</v>
      </c>
      <c r="B6" s="116"/>
      <c r="C6" s="116"/>
      <c r="D6" s="116"/>
      <c r="E6" s="116"/>
      <c r="F6" s="116"/>
      <c r="G6" s="116"/>
      <c r="M6" s="75"/>
      <c r="N6" s="76"/>
      <c r="O6" s="76"/>
    </row>
    <row r="7" spans="1:20" ht="15.75" x14ac:dyDescent="0.3">
      <c r="A7" s="78" t="s">
        <v>65</v>
      </c>
      <c r="B7" s="78"/>
      <c r="C7" s="78"/>
      <c r="D7" s="78"/>
      <c r="E7" s="78"/>
      <c r="F7" s="78"/>
      <c r="G7" s="78"/>
      <c r="M7" s="75"/>
      <c r="N7" s="76"/>
      <c r="O7" s="76"/>
    </row>
    <row r="8" spans="1:20" x14ac:dyDescent="0.3">
      <c r="A8" s="79" t="s">
        <v>88</v>
      </c>
      <c r="B8" s="79"/>
      <c r="C8" s="79"/>
      <c r="D8" s="79"/>
      <c r="E8" s="79"/>
      <c r="F8" s="79"/>
      <c r="G8" s="79"/>
      <c r="M8" s="75"/>
      <c r="N8" s="76"/>
      <c r="O8" s="76"/>
    </row>
    <row r="9" spans="1:20" s="85" customFormat="1" x14ac:dyDescent="0.3">
      <c r="A9" s="80"/>
      <c r="B9" s="80"/>
      <c r="C9" s="80"/>
      <c r="D9" s="80"/>
      <c r="E9" s="80"/>
      <c r="F9" s="80"/>
      <c r="G9" s="80"/>
      <c r="H9" s="81"/>
      <c r="I9" s="81"/>
      <c r="J9" s="81"/>
      <c r="K9" s="81"/>
      <c r="L9" s="82"/>
      <c r="M9" s="82"/>
      <c r="N9" s="83"/>
      <c r="O9" s="83"/>
      <c r="P9" s="84"/>
      <c r="Q9" s="84"/>
      <c r="R9" s="84"/>
      <c r="S9" s="84"/>
    </row>
    <row r="10" spans="1:20" s="85" customFormat="1" ht="15.75" thickBot="1" x14ac:dyDescent="0.35">
      <c r="A10" s="104" t="s">
        <v>20</v>
      </c>
      <c r="B10" s="156">
        <v>2005</v>
      </c>
      <c r="C10" s="156">
        <v>2006</v>
      </c>
      <c r="D10" s="156">
        <v>2007</v>
      </c>
      <c r="E10" s="156">
        <v>2008</v>
      </c>
      <c r="F10" s="156">
        <v>2009</v>
      </c>
      <c r="G10" s="156">
        <v>2010</v>
      </c>
      <c r="H10" s="198">
        <v>2011</v>
      </c>
      <c r="I10" s="157">
        <v>2012</v>
      </c>
      <c r="J10" s="145">
        <v>2013</v>
      </c>
      <c r="K10" s="158" t="s">
        <v>46</v>
      </c>
      <c r="L10" s="145">
        <v>2013</v>
      </c>
      <c r="M10" s="145">
        <v>2014</v>
      </c>
      <c r="N10" s="158" t="s">
        <v>46</v>
      </c>
    </row>
    <row r="11" spans="1:20" s="85" customFormat="1" x14ac:dyDescent="0.3">
      <c r="A11" s="88" t="s">
        <v>21</v>
      </c>
      <c r="B11" s="81">
        <v>5989</v>
      </c>
      <c r="C11" s="81">
        <v>915</v>
      </c>
      <c r="D11" s="81">
        <v>1835</v>
      </c>
      <c r="E11" s="81">
        <v>382</v>
      </c>
      <c r="F11" s="81">
        <v>191</v>
      </c>
      <c r="G11" s="81">
        <v>225</v>
      </c>
      <c r="H11" s="199">
        <v>94</v>
      </c>
      <c r="I11" s="135">
        <v>74</v>
      </c>
      <c r="J11" s="135">
        <v>58</v>
      </c>
      <c r="K11" s="129">
        <f>(J11-I11)/I11</f>
        <v>-0.21621621621621623</v>
      </c>
      <c r="L11" s="135">
        <v>183</v>
      </c>
      <c r="M11" s="135">
        <v>48</v>
      </c>
      <c r="N11" s="129">
        <f>IF(L11&lt;&gt;0,(M11-L11)/L11,0)</f>
        <v>-0.73770491803278693</v>
      </c>
      <c r="O11" s="82"/>
    </row>
    <row r="12" spans="1:20" s="85" customFormat="1" x14ac:dyDescent="0.3">
      <c r="A12" s="88" t="s">
        <v>22</v>
      </c>
      <c r="B12" s="81">
        <v>2353634</v>
      </c>
      <c r="C12" s="81">
        <v>2658218</v>
      </c>
      <c r="D12" s="81">
        <v>2904738</v>
      </c>
      <c r="E12" s="81">
        <v>3041332</v>
      </c>
      <c r="F12" s="81">
        <v>3601952</v>
      </c>
      <c r="G12" s="81">
        <v>2716228</v>
      </c>
      <c r="H12" s="199">
        <v>3554895</v>
      </c>
      <c r="I12" s="135">
        <v>3748346</v>
      </c>
      <c r="J12" s="135">
        <v>4126523</v>
      </c>
      <c r="K12" s="129">
        <f>(J12-I12)/I12</f>
        <v>0.10089169996579825</v>
      </c>
      <c r="L12" s="135">
        <v>3787717</v>
      </c>
      <c r="M12" s="135">
        <v>4152714</v>
      </c>
      <c r="N12" s="129">
        <f t="shared" ref="N12:N17" si="0">IF(L12&lt;&gt;0,(M12-L12)/L12,0)</f>
        <v>9.6363323870289147E-2</v>
      </c>
      <c r="O12" s="82"/>
    </row>
    <row r="13" spans="1:20" s="89" customFormat="1" ht="14.25" customHeight="1" x14ac:dyDescent="0.3">
      <c r="A13" s="88" t="s">
        <v>23</v>
      </c>
      <c r="B13" s="81">
        <v>5093</v>
      </c>
      <c r="C13" s="81">
        <v>21107</v>
      </c>
      <c r="D13" s="81">
        <v>10187</v>
      </c>
      <c r="E13" s="81">
        <v>24218</v>
      </c>
      <c r="F13" s="81">
        <v>43410</v>
      </c>
      <c r="G13" s="81">
        <v>90361</v>
      </c>
      <c r="H13" s="199">
        <v>10662</v>
      </c>
      <c r="I13" s="135">
        <v>14922</v>
      </c>
      <c r="J13" s="135">
        <v>18191</v>
      </c>
      <c r="K13" s="129">
        <f>(J13-I13)/I13</f>
        <v>0.21907251038734754</v>
      </c>
      <c r="L13" s="135">
        <v>53661</v>
      </c>
      <c r="M13" s="135">
        <v>52249</v>
      </c>
      <c r="N13" s="129">
        <f t="shared" si="0"/>
        <v>-2.6313337433145116E-2</v>
      </c>
      <c r="O13" s="82"/>
      <c r="P13" s="85"/>
      <c r="R13" s="85"/>
      <c r="S13" s="85"/>
      <c r="T13" s="85"/>
    </row>
    <row r="14" spans="1:20" s="89" customFormat="1" x14ac:dyDescent="0.3">
      <c r="A14" s="88" t="s">
        <v>37</v>
      </c>
      <c r="B14" s="81"/>
      <c r="C14" s="81"/>
      <c r="D14" s="81">
        <v>0</v>
      </c>
      <c r="E14" s="81">
        <v>50</v>
      </c>
      <c r="F14" s="81"/>
      <c r="G14" s="81"/>
      <c r="H14" s="199">
        <v>0</v>
      </c>
      <c r="I14" s="135">
        <v>0</v>
      </c>
      <c r="J14" s="135">
        <v>0</v>
      </c>
      <c r="K14" s="129">
        <v>0</v>
      </c>
      <c r="L14" s="135">
        <v>0</v>
      </c>
      <c r="M14" s="135">
        <v>0</v>
      </c>
      <c r="N14" s="129">
        <f t="shared" si="0"/>
        <v>0</v>
      </c>
      <c r="O14" s="82"/>
      <c r="P14" s="85"/>
      <c r="R14" s="85"/>
      <c r="S14" s="85"/>
      <c r="T14" s="85"/>
    </row>
    <row r="15" spans="1:20" s="89" customFormat="1" x14ac:dyDescent="0.3">
      <c r="A15" s="88" t="s">
        <v>83</v>
      </c>
      <c r="B15" s="81">
        <v>23371</v>
      </c>
      <c r="C15" s="81">
        <v>1095</v>
      </c>
      <c r="D15" s="81">
        <v>209</v>
      </c>
      <c r="E15" s="81">
        <v>209</v>
      </c>
      <c r="F15" s="81">
        <v>209</v>
      </c>
      <c r="G15" s="81">
        <v>155</v>
      </c>
      <c r="H15" s="199">
        <f>503+155</f>
        <v>658</v>
      </c>
      <c r="I15" s="135">
        <v>118</v>
      </c>
      <c r="J15" s="135">
        <v>4612</v>
      </c>
      <c r="K15" s="197" t="s">
        <v>116</v>
      </c>
      <c r="L15" s="135">
        <v>5049</v>
      </c>
      <c r="M15" s="135">
        <v>13085</v>
      </c>
      <c r="N15" s="129">
        <f t="shared" si="0"/>
        <v>1.5916022974846504</v>
      </c>
      <c r="O15" s="82"/>
      <c r="P15" s="85"/>
      <c r="R15" s="85"/>
      <c r="S15" s="85"/>
      <c r="T15" s="85"/>
    </row>
    <row r="16" spans="1:20" s="89" customFormat="1" x14ac:dyDescent="0.3">
      <c r="A16" s="88" t="s">
        <v>26</v>
      </c>
      <c r="B16" s="81">
        <v>1356015</v>
      </c>
      <c r="C16" s="81">
        <v>1347305</v>
      </c>
      <c r="D16" s="81">
        <v>1324771</v>
      </c>
      <c r="E16" s="81">
        <v>891321</v>
      </c>
      <c r="F16" s="81">
        <v>1869198</v>
      </c>
      <c r="G16" s="81">
        <v>3596772</v>
      </c>
      <c r="H16" s="199">
        <v>2979150</v>
      </c>
      <c r="I16" s="135">
        <v>3733696</v>
      </c>
      <c r="J16" s="135">
        <v>3357714</v>
      </c>
      <c r="K16" s="129">
        <f>(J16-I16)/I16</f>
        <v>-0.10069968203088843</v>
      </c>
      <c r="L16" s="135">
        <v>3775560</v>
      </c>
      <c r="M16" s="135">
        <v>3617096</v>
      </c>
      <c r="N16" s="129">
        <f t="shared" si="0"/>
        <v>-4.1970992382586954E-2</v>
      </c>
      <c r="O16" s="82"/>
      <c r="P16" s="85"/>
      <c r="R16" s="85"/>
      <c r="S16" s="85"/>
      <c r="T16" s="85"/>
    </row>
    <row r="17" spans="1:20" s="89" customFormat="1" ht="15.75" thickBot="1" x14ac:dyDescent="0.35">
      <c r="A17" s="90" t="s">
        <v>27</v>
      </c>
      <c r="B17" s="91">
        <f t="shared" ref="B17:J17" si="1">SUM(B11:B16)</f>
        <v>3744102</v>
      </c>
      <c r="C17" s="91">
        <f t="shared" si="1"/>
        <v>4028640</v>
      </c>
      <c r="D17" s="91">
        <f t="shared" si="1"/>
        <v>4241740</v>
      </c>
      <c r="E17" s="91">
        <f t="shared" si="1"/>
        <v>3957512</v>
      </c>
      <c r="F17" s="91">
        <f t="shared" si="1"/>
        <v>5514960</v>
      </c>
      <c r="G17" s="91">
        <f t="shared" si="1"/>
        <v>6403741</v>
      </c>
      <c r="H17" s="200">
        <f t="shared" si="1"/>
        <v>6545459</v>
      </c>
      <c r="I17" s="137">
        <f t="shared" si="1"/>
        <v>7497156</v>
      </c>
      <c r="J17" s="137">
        <f t="shared" si="1"/>
        <v>7507098</v>
      </c>
      <c r="K17" s="159">
        <f>(J17-I17)/I17</f>
        <v>1.3261028582038309E-3</v>
      </c>
      <c r="L17" s="137">
        <f>SUM(L11:L16)</f>
        <v>7622170</v>
      </c>
      <c r="M17" s="137">
        <f>SUM(M11:M16)</f>
        <v>7835192</v>
      </c>
      <c r="N17" s="159">
        <f t="shared" si="0"/>
        <v>2.7947684189673021E-2</v>
      </c>
      <c r="O17" s="82"/>
      <c r="P17" s="85"/>
      <c r="R17" s="85"/>
      <c r="S17" s="85"/>
      <c r="T17" s="85"/>
    </row>
    <row r="18" spans="1:20" s="85" customFormat="1" x14ac:dyDescent="0.3">
      <c r="B18" s="81"/>
      <c r="C18" s="81"/>
      <c r="D18" s="81"/>
      <c r="E18" s="81"/>
      <c r="F18" s="81"/>
      <c r="G18" s="81"/>
      <c r="H18" s="199"/>
      <c r="I18" s="135"/>
      <c r="J18" s="135"/>
      <c r="K18" s="129"/>
      <c r="L18" s="135"/>
      <c r="M18" s="135"/>
      <c r="N18" s="129"/>
      <c r="O18" s="107"/>
    </row>
    <row r="19" spans="1:20" s="89" customFormat="1" x14ac:dyDescent="0.3">
      <c r="A19" s="104" t="s">
        <v>48</v>
      </c>
      <c r="B19" s="86"/>
      <c r="C19" s="86"/>
      <c r="D19" s="86"/>
      <c r="E19" s="86"/>
      <c r="F19" s="86"/>
      <c r="G19" s="86"/>
      <c r="H19" s="207">
        <v>2011</v>
      </c>
      <c r="I19" s="161">
        <v>2012</v>
      </c>
      <c r="J19" s="161">
        <v>2013</v>
      </c>
      <c r="K19" s="162" t="s">
        <v>46</v>
      </c>
      <c r="L19" s="161">
        <v>2013</v>
      </c>
      <c r="M19" s="161">
        <v>2014</v>
      </c>
      <c r="N19" s="162" t="s">
        <v>46</v>
      </c>
      <c r="O19" s="107"/>
      <c r="P19" s="85"/>
      <c r="R19" s="85"/>
      <c r="S19" s="85"/>
      <c r="T19" s="85"/>
    </row>
    <row r="20" spans="1:20" s="89" customFormat="1" x14ac:dyDescent="0.3">
      <c r="A20" s="88" t="s">
        <v>28</v>
      </c>
      <c r="B20" s="81"/>
      <c r="C20" s="81"/>
      <c r="D20" s="81">
        <v>7000</v>
      </c>
      <c r="E20" s="81">
        <v>7000</v>
      </c>
      <c r="F20" s="81">
        <v>0</v>
      </c>
      <c r="G20" s="81">
        <v>445</v>
      </c>
      <c r="H20" s="199">
        <v>0</v>
      </c>
      <c r="I20" s="135">
        <v>7</v>
      </c>
      <c r="J20" s="135">
        <v>0</v>
      </c>
      <c r="K20" s="129">
        <f>(J20-I20)/I20</f>
        <v>-1</v>
      </c>
      <c r="L20" s="135">
        <v>0</v>
      </c>
      <c r="M20" s="135">
        <v>0</v>
      </c>
      <c r="N20" s="129">
        <f t="shared" ref="N20:N28" si="2">IF(L20&lt;&gt;0,(M20-L20)/L20,0)</f>
        <v>0</v>
      </c>
      <c r="O20" s="82"/>
      <c r="P20" s="85"/>
      <c r="R20" s="85"/>
      <c r="S20" s="85"/>
      <c r="T20" s="85"/>
    </row>
    <row r="21" spans="1:20" s="89" customFormat="1" x14ac:dyDescent="0.3">
      <c r="A21" s="88" t="s">
        <v>29</v>
      </c>
      <c r="B21" s="81">
        <v>37598</v>
      </c>
      <c r="C21" s="81">
        <v>60127</v>
      </c>
      <c r="D21" s="81">
        <v>62571</v>
      </c>
      <c r="E21" s="81">
        <v>71267</v>
      </c>
      <c r="F21" s="81">
        <v>111498</v>
      </c>
      <c r="G21" s="81">
        <v>70420</v>
      </c>
      <c r="H21" s="199">
        <v>59466</v>
      </c>
      <c r="I21" s="135">
        <v>65083</v>
      </c>
      <c r="J21" s="135">
        <v>70701</v>
      </c>
      <c r="K21" s="129">
        <f>(J21-I21)/I21</f>
        <v>8.6320544535439359E-2</v>
      </c>
      <c r="L21" s="135">
        <v>221819</v>
      </c>
      <c r="M21" s="135">
        <v>231256</v>
      </c>
      <c r="N21" s="129">
        <f t="shared" si="2"/>
        <v>4.2543695535549257E-2</v>
      </c>
      <c r="O21" s="82"/>
      <c r="P21" s="85"/>
      <c r="R21" s="85"/>
      <c r="S21" s="85"/>
      <c r="T21" s="85"/>
    </row>
    <row r="22" spans="1:20" s="85" customFormat="1" x14ac:dyDescent="0.3">
      <c r="A22" s="88" t="s">
        <v>30</v>
      </c>
      <c r="B22" s="81">
        <v>3128</v>
      </c>
      <c r="C22" s="81">
        <v>98</v>
      </c>
      <c r="D22" s="81">
        <v>645</v>
      </c>
      <c r="E22" s="81">
        <v>1762</v>
      </c>
      <c r="F22" s="81">
        <v>430</v>
      </c>
      <c r="G22" s="81">
        <v>604</v>
      </c>
      <c r="H22" s="199">
        <v>585</v>
      </c>
      <c r="I22" s="135">
        <v>657</v>
      </c>
      <c r="J22" s="135">
        <v>2299</v>
      </c>
      <c r="K22" s="129">
        <f>(J22-I22)/I22</f>
        <v>2.4992389649923896</v>
      </c>
      <c r="L22" s="135">
        <v>1015</v>
      </c>
      <c r="M22" s="135">
        <v>1234</v>
      </c>
      <c r="N22" s="129">
        <f t="shared" si="2"/>
        <v>0.21576354679802956</v>
      </c>
      <c r="O22" s="82"/>
    </row>
    <row r="23" spans="1:20" s="85" customFormat="1" x14ac:dyDescent="0.3">
      <c r="A23" s="88" t="s">
        <v>31</v>
      </c>
      <c r="B23" s="81">
        <v>247</v>
      </c>
      <c r="C23" s="81">
        <v>501</v>
      </c>
      <c r="D23" s="81">
        <v>686</v>
      </c>
      <c r="E23" s="81">
        <v>940</v>
      </c>
      <c r="F23" s="81">
        <v>650</v>
      </c>
      <c r="G23" s="81">
        <v>947</v>
      </c>
      <c r="H23" s="199">
        <v>872</v>
      </c>
      <c r="I23" s="135">
        <v>481</v>
      </c>
      <c r="J23" s="135">
        <v>932</v>
      </c>
      <c r="K23" s="129">
        <f>(J23-I23)/I23</f>
        <v>0.93762993762993763</v>
      </c>
      <c r="L23" s="135">
        <v>482</v>
      </c>
      <c r="M23" s="135">
        <v>22</v>
      </c>
      <c r="N23" s="129">
        <f t="shared" si="2"/>
        <v>-0.9543568464730291</v>
      </c>
      <c r="O23" s="82"/>
    </row>
    <row r="24" spans="1:20" s="85" customFormat="1" x14ac:dyDescent="0.3">
      <c r="A24" s="88" t="s">
        <v>32</v>
      </c>
      <c r="B24" s="81"/>
      <c r="C24" s="81"/>
      <c r="D24" s="81"/>
      <c r="E24" s="81"/>
      <c r="F24" s="81"/>
      <c r="G24" s="81"/>
      <c r="H24" s="199">
        <v>0</v>
      </c>
      <c r="I24" s="135">
        <v>0</v>
      </c>
      <c r="J24" s="135">
        <v>0</v>
      </c>
      <c r="K24" s="129">
        <v>0</v>
      </c>
      <c r="L24" s="135">
        <v>2432</v>
      </c>
      <c r="M24" s="135">
        <v>131</v>
      </c>
      <c r="N24" s="129">
        <f t="shared" si="2"/>
        <v>-0.94613486842105265</v>
      </c>
      <c r="O24" s="82"/>
    </row>
    <row r="25" spans="1:20" s="85" customFormat="1" x14ac:dyDescent="0.3">
      <c r="A25" s="88" t="s">
        <v>87</v>
      </c>
      <c r="B25" s="81">
        <v>2356</v>
      </c>
      <c r="C25" s="81">
        <v>2509</v>
      </c>
      <c r="D25" s="81">
        <v>2679</v>
      </c>
      <c r="E25" s="81">
        <v>2934</v>
      </c>
      <c r="F25" s="81">
        <v>3179</v>
      </c>
      <c r="G25" s="81">
        <v>7650</v>
      </c>
      <c r="H25" s="199">
        <v>8296</v>
      </c>
      <c r="I25" s="135">
        <v>8803</v>
      </c>
      <c r="J25" s="135">
        <v>9622</v>
      </c>
      <c r="K25" s="129">
        <f>(J25-I25)/I25</f>
        <v>9.3036464841531302E-2</v>
      </c>
      <c r="L25" s="135">
        <v>38966</v>
      </c>
      <c r="M25" s="135">
        <v>43328</v>
      </c>
      <c r="N25" s="129">
        <f t="shared" si="2"/>
        <v>0.11194374582969768</v>
      </c>
      <c r="O25" s="82"/>
    </row>
    <row r="26" spans="1:20" s="95" customFormat="1" x14ac:dyDescent="0.3">
      <c r="A26" s="93" t="s">
        <v>33</v>
      </c>
      <c r="B26" s="80">
        <f t="shared" ref="B26:G26" si="3">SUM(B20:B25)</f>
        <v>43329</v>
      </c>
      <c r="C26" s="80">
        <f t="shared" si="3"/>
        <v>63235</v>
      </c>
      <c r="D26" s="80">
        <f t="shared" si="3"/>
        <v>73581</v>
      </c>
      <c r="E26" s="80">
        <f t="shared" si="3"/>
        <v>83903</v>
      </c>
      <c r="F26" s="80">
        <f t="shared" si="3"/>
        <v>115757</v>
      </c>
      <c r="G26" s="80">
        <f t="shared" si="3"/>
        <v>80066</v>
      </c>
      <c r="H26" s="202">
        <f>SUM(H20:H25)</f>
        <v>69219</v>
      </c>
      <c r="I26" s="134">
        <f>SUM(I20:I25)</f>
        <v>75031</v>
      </c>
      <c r="J26" s="134">
        <f>SUM(J20:J25)</f>
        <v>83554</v>
      </c>
      <c r="K26" s="129">
        <f>(J26-I26)/I26</f>
        <v>0.11359304820674121</v>
      </c>
      <c r="L26" s="134">
        <f>SUM(L20:L25)</f>
        <v>264714</v>
      </c>
      <c r="M26" s="134">
        <f>SUM(M20:M25)</f>
        <v>275971</v>
      </c>
      <c r="N26" s="138">
        <f t="shared" si="2"/>
        <v>4.2525140340140682E-2</v>
      </c>
      <c r="O26" s="82"/>
      <c r="P26" s="85"/>
      <c r="R26" s="85"/>
      <c r="S26" s="85"/>
      <c r="T26" s="85"/>
    </row>
    <row r="27" spans="1:20" s="95" customFormat="1" x14ac:dyDescent="0.3">
      <c r="A27" s="96" t="s">
        <v>34</v>
      </c>
      <c r="B27" s="97">
        <v>3700773</v>
      </c>
      <c r="C27" s="97">
        <v>3965405</v>
      </c>
      <c r="D27" s="97">
        <v>4168159</v>
      </c>
      <c r="E27" s="97">
        <v>3873609</v>
      </c>
      <c r="F27" s="97">
        <v>5399203</v>
      </c>
      <c r="G27" s="97">
        <v>6323675</v>
      </c>
      <c r="H27" s="203">
        <v>6476240</v>
      </c>
      <c r="I27" s="163">
        <f>+I17-I26</f>
        <v>7422125</v>
      </c>
      <c r="J27" s="163">
        <f>+J17-J26</f>
        <v>7423544</v>
      </c>
      <c r="K27" s="131">
        <f>(J27-I27)/I27</f>
        <v>1.9118513902689595E-4</v>
      </c>
      <c r="L27" s="163">
        <f>+L17-L26</f>
        <v>7357456</v>
      </c>
      <c r="M27" s="163">
        <f>+M17-M26</f>
        <v>7559221</v>
      </c>
      <c r="N27" s="131">
        <f t="shared" si="2"/>
        <v>2.7423201715375531E-2</v>
      </c>
      <c r="O27" s="82"/>
      <c r="P27" s="85"/>
      <c r="R27" s="85"/>
      <c r="S27" s="85"/>
      <c r="T27" s="85"/>
    </row>
    <row r="28" spans="1:20" s="95" customFormat="1" ht="15.75" thickBot="1" x14ac:dyDescent="0.35">
      <c r="A28" s="90" t="s">
        <v>35</v>
      </c>
      <c r="B28" s="91">
        <f t="shared" ref="B28:G28" si="4">+B26+B27</f>
        <v>3744102</v>
      </c>
      <c r="C28" s="91">
        <f t="shared" si="4"/>
        <v>4028640</v>
      </c>
      <c r="D28" s="91">
        <f t="shared" si="4"/>
        <v>4241740</v>
      </c>
      <c r="E28" s="91">
        <f t="shared" si="4"/>
        <v>3957512</v>
      </c>
      <c r="F28" s="91">
        <f t="shared" si="4"/>
        <v>5514960</v>
      </c>
      <c r="G28" s="91">
        <f t="shared" si="4"/>
        <v>6403741</v>
      </c>
      <c r="H28" s="200">
        <f>+H26+H27</f>
        <v>6545459</v>
      </c>
      <c r="I28" s="137">
        <f>+I26+I27</f>
        <v>7497156</v>
      </c>
      <c r="J28" s="137">
        <f>+J26+J27</f>
        <v>7507098</v>
      </c>
      <c r="K28" s="130">
        <f>(J28-I28)/I28</f>
        <v>1.3261028582038309E-3</v>
      </c>
      <c r="L28" s="137">
        <f>+L26+L27</f>
        <v>7622170</v>
      </c>
      <c r="M28" s="137">
        <f>+M26+M27</f>
        <v>7835192</v>
      </c>
      <c r="N28" s="130">
        <f t="shared" si="2"/>
        <v>2.7947684189673021E-2</v>
      </c>
      <c r="O28" s="82"/>
      <c r="P28" s="85"/>
      <c r="R28" s="85"/>
      <c r="S28" s="85"/>
      <c r="T28" s="85"/>
    </row>
    <row r="29" spans="1:20" s="85" customFormat="1" x14ac:dyDescent="0.3">
      <c r="A29" s="88" t="s">
        <v>54</v>
      </c>
      <c r="B29" s="81">
        <v>435123458</v>
      </c>
      <c r="C29" s="81">
        <v>435123458</v>
      </c>
      <c r="D29" s="81">
        <v>435123458</v>
      </c>
      <c r="E29" s="81">
        <v>435123458</v>
      </c>
      <c r="F29" s="81">
        <v>435123458</v>
      </c>
      <c r="G29" s="81">
        <v>435123458</v>
      </c>
      <c r="H29" s="199">
        <f>435123458+25000000</f>
        <v>460123458</v>
      </c>
      <c r="I29" s="135">
        <f>435123458+25000000</f>
        <v>460123458</v>
      </c>
      <c r="J29" s="135">
        <f>435123458+25000000</f>
        <v>460123458</v>
      </c>
      <c r="K29" s="129"/>
      <c r="L29" s="135">
        <f>435123458+25000000</f>
        <v>460123458</v>
      </c>
      <c r="M29" s="135">
        <f>435123458+25000000</f>
        <v>460123458</v>
      </c>
      <c r="N29" s="129"/>
      <c r="O29" s="107"/>
    </row>
    <row r="30" spans="1:20" s="85" customFormat="1" x14ac:dyDescent="0.3">
      <c r="A30" s="88" t="s">
        <v>71</v>
      </c>
      <c r="B30" s="100">
        <f t="shared" ref="B30:J30" si="5">+B27/+(B29/1000000)</f>
        <v>8505.1102898708796</v>
      </c>
      <c r="C30" s="100">
        <f t="shared" si="5"/>
        <v>9113.2871075868297</v>
      </c>
      <c r="D30" s="100">
        <f t="shared" si="5"/>
        <v>9579.2560096817397</v>
      </c>
      <c r="E30" s="100">
        <f t="shared" si="5"/>
        <v>8902.3216946395933</v>
      </c>
      <c r="F30" s="100">
        <f t="shared" si="5"/>
        <v>12408.439261851976</v>
      </c>
      <c r="G30" s="100">
        <f t="shared" si="5"/>
        <v>14533.059258781675</v>
      </c>
      <c r="H30" s="208">
        <f t="shared" si="5"/>
        <v>14075.005060924323</v>
      </c>
      <c r="I30" s="165">
        <f t="shared" si="5"/>
        <v>16130.725071617626</v>
      </c>
      <c r="J30" s="165">
        <f t="shared" si="5"/>
        <v>16133.809026533047</v>
      </c>
      <c r="K30" s="129"/>
      <c r="L30" s="165">
        <f>+L27/+(L29/1000000)</f>
        <v>15990.178010007045</v>
      </c>
      <c r="M30" s="165">
        <f>+M27/+(M29/1000000)</f>
        <v>16428.679887040227</v>
      </c>
      <c r="N30" s="129"/>
      <c r="O30" s="107"/>
    </row>
    <row r="31" spans="1:20" s="85" customFormat="1" x14ac:dyDescent="0.3">
      <c r="A31" s="115"/>
      <c r="B31" s="115"/>
      <c r="C31" s="115"/>
      <c r="D31" s="115"/>
      <c r="E31" s="115"/>
      <c r="F31" s="81"/>
      <c r="G31" s="115"/>
      <c r="H31" s="100"/>
      <c r="I31" s="100"/>
      <c r="J31" s="100"/>
      <c r="K31" s="100"/>
      <c r="L31" s="82"/>
      <c r="N31" s="107"/>
    </row>
    <row r="32" spans="1:20" s="85" customFormat="1" x14ac:dyDescent="0.3">
      <c r="A32" s="115"/>
      <c r="B32" s="115"/>
      <c r="C32" s="115"/>
      <c r="D32" s="115"/>
      <c r="E32" s="115"/>
      <c r="F32" s="100"/>
      <c r="G32" s="115"/>
      <c r="H32" s="100"/>
      <c r="I32" s="100"/>
      <c r="J32" s="100"/>
      <c r="K32" s="100"/>
      <c r="L32" s="82"/>
      <c r="N32" s="107"/>
    </row>
    <row r="33" spans="1:18" ht="21" x14ac:dyDescent="0.35">
      <c r="A33" s="116" t="s">
        <v>92</v>
      </c>
      <c r="B33" s="116"/>
      <c r="C33" s="116"/>
      <c r="D33" s="116"/>
      <c r="E33" s="116"/>
      <c r="F33" s="116"/>
      <c r="G33" s="116"/>
      <c r="M33" s="75"/>
      <c r="N33" s="109"/>
      <c r="O33" s="76"/>
    </row>
    <row r="34" spans="1:18" ht="15.75" x14ac:dyDescent="0.3">
      <c r="A34" s="78" t="s">
        <v>126</v>
      </c>
      <c r="B34" s="78"/>
      <c r="C34" s="78"/>
      <c r="D34" s="78"/>
      <c r="E34" s="78"/>
      <c r="F34" s="78"/>
      <c r="G34" s="78"/>
      <c r="M34" s="75"/>
      <c r="N34" s="109"/>
      <c r="O34" s="76"/>
    </row>
    <row r="35" spans="1:18" x14ac:dyDescent="0.3">
      <c r="A35" s="79" t="s">
        <v>88</v>
      </c>
      <c r="B35" s="79"/>
      <c r="C35" s="79"/>
      <c r="D35" s="79"/>
      <c r="E35" s="79"/>
      <c r="F35" s="79"/>
      <c r="G35" s="79"/>
      <c r="M35" s="75"/>
      <c r="N35" s="109"/>
      <c r="O35" s="76"/>
    </row>
    <row r="36" spans="1:18" s="85" customFormat="1" x14ac:dyDescent="0.3">
      <c r="H36" s="81"/>
      <c r="I36" s="81"/>
      <c r="J36" s="81"/>
      <c r="K36" s="81"/>
      <c r="L36" s="82"/>
      <c r="N36" s="107"/>
    </row>
    <row r="37" spans="1:18" s="85" customFormat="1" ht="15.75" thickBot="1" x14ac:dyDescent="0.35">
      <c r="B37" s="156">
        <v>2005</v>
      </c>
      <c r="C37" s="156">
        <v>2006</v>
      </c>
      <c r="D37" s="156">
        <v>2007</v>
      </c>
      <c r="E37" s="156">
        <v>2008</v>
      </c>
      <c r="F37" s="156">
        <v>2009</v>
      </c>
      <c r="G37" s="156">
        <v>2010</v>
      </c>
      <c r="H37" s="198">
        <v>2011</v>
      </c>
      <c r="I37" s="157">
        <v>2012</v>
      </c>
      <c r="J37" s="210">
        <v>2013</v>
      </c>
      <c r="K37" s="167" t="s">
        <v>46</v>
      </c>
      <c r="L37" s="145" t="s">
        <v>95</v>
      </c>
      <c r="M37" s="145" t="s">
        <v>124</v>
      </c>
      <c r="N37" s="167" t="s">
        <v>46</v>
      </c>
      <c r="P37" s="107"/>
    </row>
    <row r="38" spans="1:18" s="95" customFormat="1" x14ac:dyDescent="0.3">
      <c r="A38" s="85" t="s">
        <v>72</v>
      </c>
      <c r="B38" s="80">
        <v>158869</v>
      </c>
      <c r="C38" s="80">
        <v>163042</v>
      </c>
      <c r="D38" s="80">
        <v>231987</v>
      </c>
      <c r="E38" s="80">
        <v>268897</v>
      </c>
      <c r="F38" s="80">
        <v>212895</v>
      </c>
      <c r="G38" s="80">
        <v>239836</v>
      </c>
      <c r="H38" s="202">
        <v>223644</v>
      </c>
      <c r="I38" s="134">
        <v>312990</v>
      </c>
      <c r="J38" s="211">
        <v>344939</v>
      </c>
      <c r="K38" s="129">
        <f>(J38-I38)/I38</f>
        <v>0.10207674366593182</v>
      </c>
      <c r="L38" s="134">
        <v>77093</v>
      </c>
      <c r="M38" s="134">
        <v>78232</v>
      </c>
      <c r="N38" s="129">
        <f>IF(L38&lt;&gt;0,(M38-L38)/L38,0)</f>
        <v>1.4774363431180522E-2</v>
      </c>
      <c r="O38" s="169"/>
      <c r="P38" s="85"/>
      <c r="Q38" s="85"/>
      <c r="R38" s="85"/>
    </row>
    <row r="39" spans="1:18" s="85" customFormat="1" x14ac:dyDescent="0.3">
      <c r="A39" s="85" t="s">
        <v>5</v>
      </c>
      <c r="B39" s="81">
        <v>17762</v>
      </c>
      <c r="C39" s="81">
        <v>56828</v>
      </c>
      <c r="D39" s="81">
        <v>2685</v>
      </c>
      <c r="E39" s="81">
        <v>2704</v>
      </c>
      <c r="F39" s="81">
        <v>0</v>
      </c>
      <c r="G39" s="81">
        <v>1579</v>
      </c>
      <c r="H39" s="199">
        <v>11024</v>
      </c>
      <c r="I39" s="135">
        <v>0</v>
      </c>
      <c r="J39" s="212">
        <v>-176</v>
      </c>
      <c r="K39" s="197">
        <v>0</v>
      </c>
      <c r="L39" s="135">
        <v>0</v>
      </c>
      <c r="M39" s="135">
        <v>640</v>
      </c>
      <c r="N39" s="129">
        <f t="shared" ref="N39:N49" si="6">IF(L39&lt;&gt;0,(M39-L39)/L39,0)</f>
        <v>0</v>
      </c>
      <c r="O39" s="169"/>
    </row>
    <row r="40" spans="1:18" s="95" customFormat="1" x14ac:dyDescent="0.3">
      <c r="A40" s="85" t="s">
        <v>57</v>
      </c>
      <c r="B40" s="81">
        <v>11795</v>
      </c>
      <c r="C40" s="81">
        <v>16684</v>
      </c>
      <c r="D40" s="81">
        <v>11678</v>
      </c>
      <c r="E40" s="81">
        <v>14746</v>
      </c>
      <c r="F40" s="81">
        <v>12979</v>
      </c>
      <c r="G40" s="81">
        <v>30953</v>
      </c>
      <c r="H40" s="199">
        <v>33432</v>
      </c>
      <c r="I40" s="135">
        <v>35105</v>
      </c>
      <c r="J40" s="212">
        <v>39426</v>
      </c>
      <c r="K40" s="129">
        <f t="shared" ref="K40:K48" si="7">(J40-I40)/I40</f>
        <v>0.1230878792194844</v>
      </c>
      <c r="L40" s="135">
        <v>8803</v>
      </c>
      <c r="M40" s="135">
        <v>9622</v>
      </c>
      <c r="N40" s="129">
        <f t="shared" si="6"/>
        <v>9.3036464841531302E-2</v>
      </c>
      <c r="O40" s="169"/>
      <c r="P40" s="85"/>
      <c r="Q40" s="85"/>
      <c r="R40" s="85"/>
    </row>
    <row r="41" spans="1:18" s="95" customFormat="1" x14ac:dyDescent="0.3">
      <c r="A41" s="85" t="s">
        <v>56</v>
      </c>
      <c r="B41" s="81">
        <v>2490</v>
      </c>
      <c r="C41" s="81">
        <v>7447</v>
      </c>
      <c r="D41" s="81">
        <v>5519</v>
      </c>
      <c r="E41" s="81">
        <v>13179</v>
      </c>
      <c r="F41" s="81">
        <v>10094</v>
      </c>
      <c r="G41" s="81">
        <v>13131</v>
      </c>
      <c r="H41" s="199">
        <v>7221</v>
      </c>
      <c r="I41" s="135">
        <v>8379</v>
      </c>
      <c r="J41" s="212">
        <v>14465</v>
      </c>
      <c r="K41" s="129">
        <f t="shared" si="7"/>
        <v>0.72633965867048578</v>
      </c>
      <c r="L41" s="135">
        <v>2650</v>
      </c>
      <c r="M41" s="135">
        <v>3254</v>
      </c>
      <c r="N41" s="129">
        <f t="shared" si="6"/>
        <v>0.22792452830188678</v>
      </c>
      <c r="O41" s="169"/>
      <c r="P41" s="85"/>
      <c r="Q41" s="85"/>
      <c r="R41" s="85"/>
    </row>
    <row r="42" spans="1:18" s="95" customFormat="1" x14ac:dyDescent="0.3">
      <c r="A42" s="95" t="s">
        <v>4</v>
      </c>
      <c r="B42" s="80">
        <f t="shared" ref="B42:G42" si="8">SUM(B38:B41)</f>
        <v>190916</v>
      </c>
      <c r="C42" s="80">
        <f t="shared" si="8"/>
        <v>244001</v>
      </c>
      <c r="D42" s="80">
        <f t="shared" si="8"/>
        <v>251869</v>
      </c>
      <c r="E42" s="80">
        <f t="shared" si="8"/>
        <v>299526</v>
      </c>
      <c r="F42" s="80">
        <f t="shared" si="8"/>
        <v>235968</v>
      </c>
      <c r="G42" s="80">
        <f t="shared" si="8"/>
        <v>285499</v>
      </c>
      <c r="H42" s="202">
        <f>SUM(H38:H41)</f>
        <v>275321</v>
      </c>
      <c r="I42" s="134">
        <f>SUM(I38:I41)</f>
        <v>356474</v>
      </c>
      <c r="J42" s="211">
        <f>SUM(J38:J41)</f>
        <v>398654</v>
      </c>
      <c r="K42" s="129">
        <f t="shared" si="7"/>
        <v>0.11832560018402465</v>
      </c>
      <c r="L42" s="134">
        <f>SUM(L38:L41)</f>
        <v>88546</v>
      </c>
      <c r="M42" s="134">
        <f>SUM(M38:M41)</f>
        <v>91748</v>
      </c>
      <c r="N42" s="129">
        <f t="shared" si="6"/>
        <v>3.6161994895308656E-2</v>
      </c>
      <c r="O42" s="169"/>
      <c r="P42" s="85"/>
      <c r="Q42" s="85"/>
      <c r="R42" s="85"/>
    </row>
    <row r="43" spans="1:18" s="85" customFormat="1" x14ac:dyDescent="0.3">
      <c r="A43" s="85" t="s">
        <v>58</v>
      </c>
      <c r="B43" s="81">
        <v>-22106</v>
      </c>
      <c r="C43" s="81">
        <v>-41421</v>
      </c>
      <c r="D43" s="81">
        <v>-7188</v>
      </c>
      <c r="E43" s="81">
        <v>-8773</v>
      </c>
      <c r="F43" s="81">
        <v>-8740</v>
      </c>
      <c r="G43" s="81">
        <v>-11563</v>
      </c>
      <c r="H43" s="199">
        <v>-9004</v>
      </c>
      <c r="I43" s="135">
        <v>-10090</v>
      </c>
      <c r="J43" s="212">
        <v>-13551</v>
      </c>
      <c r="K43" s="129">
        <f t="shared" si="7"/>
        <v>0.34301288404360752</v>
      </c>
      <c r="L43" s="135">
        <f>-2393-5938</f>
        <v>-8331</v>
      </c>
      <c r="M43" s="135">
        <v>-6805</v>
      </c>
      <c r="N43" s="129">
        <f t="shared" si="6"/>
        <v>-0.18317128796062898</v>
      </c>
      <c r="O43" s="169"/>
    </row>
    <row r="44" spans="1:18" s="95" customFormat="1" x14ac:dyDescent="0.3">
      <c r="A44" s="95" t="s">
        <v>42</v>
      </c>
      <c r="B44" s="80">
        <f t="shared" ref="B44:G44" si="9">SUM(B42:B43)</f>
        <v>168810</v>
      </c>
      <c r="C44" s="80">
        <f t="shared" si="9"/>
        <v>202580</v>
      </c>
      <c r="D44" s="80">
        <f t="shared" si="9"/>
        <v>244681</v>
      </c>
      <c r="E44" s="80">
        <f t="shared" si="9"/>
        <v>290753</v>
      </c>
      <c r="F44" s="80">
        <f t="shared" si="9"/>
        <v>227228</v>
      </c>
      <c r="G44" s="80">
        <f t="shared" si="9"/>
        <v>273936</v>
      </c>
      <c r="H44" s="202">
        <f>SUM(H42:H43)</f>
        <v>266317</v>
      </c>
      <c r="I44" s="134">
        <f>SUM(I42:I43)</f>
        <v>346384</v>
      </c>
      <c r="J44" s="211">
        <f>SUM(J42:J43)</f>
        <v>385103</v>
      </c>
      <c r="K44" s="129">
        <f t="shared" si="7"/>
        <v>0.1117805672317428</v>
      </c>
      <c r="L44" s="134">
        <f>SUM(L42:L43)</f>
        <v>80215</v>
      </c>
      <c r="M44" s="134">
        <f>SUM(M42:M43)</f>
        <v>84943</v>
      </c>
      <c r="N44" s="129">
        <f t="shared" si="6"/>
        <v>5.8941594464875645E-2</v>
      </c>
      <c r="O44" s="169"/>
      <c r="P44" s="85"/>
      <c r="Q44" s="85"/>
      <c r="R44" s="85"/>
    </row>
    <row r="45" spans="1:18" s="95" customFormat="1" x14ac:dyDescent="0.3">
      <c r="A45" s="85" t="s">
        <v>10</v>
      </c>
      <c r="B45" s="81">
        <v>4490</v>
      </c>
      <c r="C45" s="81">
        <v>8391</v>
      </c>
      <c r="D45" s="81">
        <v>80</v>
      </c>
      <c r="E45" s="81">
        <v>960</v>
      </c>
      <c r="F45" s="81">
        <v>214</v>
      </c>
      <c r="G45" s="81">
        <v>7839</v>
      </c>
      <c r="H45" s="199">
        <v>814</v>
      </c>
      <c r="I45" s="135">
        <v>851</v>
      </c>
      <c r="J45" s="212">
        <v>203</v>
      </c>
      <c r="K45" s="129">
        <f t="shared" si="7"/>
        <v>-0.76145710928319621</v>
      </c>
      <c r="L45" s="135">
        <v>61</v>
      </c>
      <c r="M45" s="135">
        <v>7</v>
      </c>
      <c r="N45" s="129">
        <f t="shared" si="6"/>
        <v>-0.88524590163934425</v>
      </c>
      <c r="O45" s="169"/>
      <c r="P45" s="85"/>
      <c r="Q45" s="85"/>
      <c r="R45" s="85"/>
    </row>
    <row r="46" spans="1:18" s="85" customFormat="1" x14ac:dyDescent="0.3">
      <c r="A46" s="85" t="s">
        <v>13</v>
      </c>
      <c r="B46" s="81">
        <v>-388</v>
      </c>
      <c r="C46" s="81">
        <v>-60</v>
      </c>
      <c r="D46" s="81">
        <v>-279</v>
      </c>
      <c r="E46" s="81">
        <v>-633</v>
      </c>
      <c r="F46" s="81">
        <v>-1741</v>
      </c>
      <c r="G46" s="81">
        <v>-1496</v>
      </c>
      <c r="H46" s="199">
        <v>-11022</v>
      </c>
      <c r="I46" s="135">
        <v>-1390</v>
      </c>
      <c r="J46" s="212">
        <v>-2974</v>
      </c>
      <c r="K46" s="129">
        <f t="shared" si="7"/>
        <v>1.1395683453237411</v>
      </c>
      <c r="L46" s="135">
        <v>-127</v>
      </c>
      <c r="M46" s="135">
        <v>-10</v>
      </c>
      <c r="N46" s="129">
        <f t="shared" si="6"/>
        <v>-0.92125984251968507</v>
      </c>
      <c r="O46" s="169"/>
    </row>
    <row r="47" spans="1:18" s="95" customFormat="1" x14ac:dyDescent="0.3">
      <c r="A47" s="95" t="s">
        <v>43</v>
      </c>
      <c r="B47" s="80">
        <f t="shared" ref="B47:G47" si="10">SUM(B44:B46)</f>
        <v>172912</v>
      </c>
      <c r="C47" s="80">
        <f t="shared" si="10"/>
        <v>210911</v>
      </c>
      <c r="D47" s="80">
        <f t="shared" si="10"/>
        <v>244482</v>
      </c>
      <c r="E47" s="80">
        <f t="shared" si="10"/>
        <v>291080</v>
      </c>
      <c r="F47" s="80">
        <f t="shared" si="10"/>
        <v>225701</v>
      </c>
      <c r="G47" s="80">
        <f t="shared" si="10"/>
        <v>280279</v>
      </c>
      <c r="H47" s="202">
        <f>SUM(H44:H46)</f>
        <v>256109</v>
      </c>
      <c r="I47" s="134">
        <f>SUM(I44:I46)</f>
        <v>345845</v>
      </c>
      <c r="J47" s="211">
        <f>SUM(J44:J46)</f>
        <v>382332</v>
      </c>
      <c r="K47" s="129">
        <f t="shared" si="7"/>
        <v>0.10550101924272434</v>
      </c>
      <c r="L47" s="134">
        <f>SUM(L44:L46)</f>
        <v>80149</v>
      </c>
      <c r="M47" s="134">
        <f>SUM(M44:M46)</f>
        <v>84940</v>
      </c>
      <c r="N47" s="129">
        <f t="shared" si="6"/>
        <v>5.9776166889168925E-2</v>
      </c>
      <c r="O47" s="169"/>
      <c r="P47" s="85"/>
      <c r="Q47" s="85"/>
      <c r="R47" s="85"/>
    </row>
    <row r="48" spans="1:18" s="85" customFormat="1" x14ac:dyDescent="0.3">
      <c r="A48" s="85" t="s">
        <v>15</v>
      </c>
      <c r="B48" s="81">
        <v>-3501</v>
      </c>
      <c r="C48" s="81">
        <v>-214</v>
      </c>
      <c r="D48" s="81">
        <v>-190</v>
      </c>
      <c r="E48" s="81">
        <v>-74</v>
      </c>
      <c r="F48" s="81">
        <v>-205</v>
      </c>
      <c r="G48" s="81">
        <v>-1876</v>
      </c>
      <c r="H48" s="199">
        <v>-127</v>
      </c>
      <c r="I48" s="135">
        <v>-361</v>
      </c>
      <c r="J48" s="212">
        <v>-2436</v>
      </c>
      <c r="K48" s="129">
        <f t="shared" si="7"/>
        <v>5.7479224376731306</v>
      </c>
      <c r="L48" s="135">
        <v>-2289</v>
      </c>
      <c r="M48" s="135">
        <v>-54</v>
      </c>
      <c r="N48" s="129">
        <f t="shared" si="6"/>
        <v>-0.97640891218872872</v>
      </c>
      <c r="O48" s="169"/>
    </row>
    <row r="49" spans="1:15" s="85" customFormat="1" ht="15.75" thickBot="1" x14ac:dyDescent="0.35">
      <c r="A49" s="102" t="s">
        <v>17</v>
      </c>
      <c r="B49" s="103">
        <f t="shared" ref="B49:G49" si="11">SUM(B47:B48)</f>
        <v>169411</v>
      </c>
      <c r="C49" s="103">
        <f t="shared" si="11"/>
        <v>210697</v>
      </c>
      <c r="D49" s="103">
        <f t="shared" si="11"/>
        <v>244292</v>
      </c>
      <c r="E49" s="103">
        <f t="shared" si="11"/>
        <v>291006</v>
      </c>
      <c r="F49" s="103">
        <f t="shared" si="11"/>
        <v>225496</v>
      </c>
      <c r="G49" s="103">
        <f t="shared" si="11"/>
        <v>278403</v>
      </c>
      <c r="H49" s="209">
        <f>SUM(H47:H48)</f>
        <v>255982</v>
      </c>
      <c r="I49" s="166">
        <f>SUM(I47:I48)</f>
        <v>345484</v>
      </c>
      <c r="J49" s="213">
        <f>SUM(J47:J48)</f>
        <v>379896</v>
      </c>
      <c r="K49" s="130">
        <f>(J49-I49)/I49</f>
        <v>9.9605191557351425E-2</v>
      </c>
      <c r="L49" s="166">
        <f>SUM(L47:L48)</f>
        <v>77860</v>
      </c>
      <c r="M49" s="166">
        <f>SUM(M47:M48)</f>
        <v>84886</v>
      </c>
      <c r="N49" s="130">
        <f t="shared" si="6"/>
        <v>9.0238890315951711E-2</v>
      </c>
      <c r="O49" s="169"/>
    </row>
    <row r="50" spans="1:15" s="85" customFormat="1" x14ac:dyDescent="0.3">
      <c r="C50" s="80"/>
      <c r="H50" s="81"/>
      <c r="I50" s="81"/>
      <c r="J50" s="81"/>
      <c r="K50" s="81"/>
      <c r="L50" s="82"/>
    </row>
    <row r="51" spans="1:15" s="85" customFormat="1" x14ac:dyDescent="0.3">
      <c r="C51" s="81"/>
      <c r="H51" s="81"/>
      <c r="I51" s="81"/>
      <c r="J51" s="81"/>
      <c r="K51" s="81"/>
      <c r="L51" s="82"/>
    </row>
    <row r="52" spans="1:15" s="85" customFormat="1" x14ac:dyDescent="0.3">
      <c r="C52" s="81"/>
      <c r="E52" s="80"/>
      <c r="H52" s="81"/>
      <c r="I52" s="81"/>
      <c r="J52" s="81"/>
      <c r="K52" s="81"/>
      <c r="L52" s="82"/>
    </row>
    <row r="53" spans="1:15" s="85" customFormat="1" x14ac:dyDescent="0.3">
      <c r="C53" s="81"/>
      <c r="E53" s="81"/>
      <c r="H53" s="81"/>
      <c r="I53" s="81"/>
      <c r="J53" s="81"/>
      <c r="K53" s="81"/>
      <c r="L53" s="82"/>
    </row>
    <row r="54" spans="1:15" s="85" customFormat="1" x14ac:dyDescent="0.3">
      <c r="C54" s="80"/>
      <c r="E54" s="81"/>
      <c r="H54" s="81"/>
      <c r="I54" s="81"/>
      <c r="J54" s="81"/>
      <c r="K54" s="81"/>
      <c r="L54" s="82"/>
    </row>
    <row r="55" spans="1:15" s="85" customFormat="1" x14ac:dyDescent="0.3">
      <c r="C55" s="81"/>
      <c r="E55" s="81"/>
      <c r="H55" s="81"/>
      <c r="I55" s="81"/>
      <c r="J55" s="81"/>
      <c r="K55" s="81"/>
      <c r="L55" s="82"/>
    </row>
    <row r="56" spans="1:15" x14ac:dyDescent="0.3">
      <c r="C56" s="80"/>
      <c r="E56" s="80"/>
    </row>
    <row r="57" spans="1:15" x14ac:dyDescent="0.3">
      <c r="C57" s="81"/>
      <c r="E57" s="81"/>
    </row>
    <row r="58" spans="1:15" x14ac:dyDescent="0.3">
      <c r="C58" s="81"/>
      <c r="E58" s="80"/>
    </row>
  </sheetData>
  <pageMargins left="0.7" right="0.7" top="0.75" bottom="0.75" header="0.3" footer="0.3"/>
  <customProperties>
    <customPr name="_pios_id" r:id="rId1"/>
  </customPropertie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58"/>
  <sheetViews>
    <sheetView workbookViewId="0"/>
  </sheetViews>
  <sheetFormatPr baseColWidth="10" defaultColWidth="11.42578125" defaultRowHeight="15" x14ac:dyDescent="0.3"/>
  <cols>
    <col min="1" max="1" width="35.5703125" style="5" bestFit="1" customWidth="1"/>
    <col min="2" max="3" width="11.7109375" style="2" bestFit="1" customWidth="1"/>
    <col min="4" max="4" width="13.28515625" style="3" bestFit="1" customWidth="1"/>
    <col min="5" max="5" width="11.42578125" style="3"/>
    <col min="6" max="6" width="9.28515625" style="4" bestFit="1" customWidth="1"/>
    <col min="7" max="7" width="3.42578125" style="4" customWidth="1"/>
    <col min="8" max="16384" width="11.42578125" style="5"/>
  </cols>
  <sheetData>
    <row r="1" spans="1:5" x14ac:dyDescent="0.3">
      <c r="A1" s="38" t="s">
        <v>40</v>
      </c>
    </row>
    <row r="2" spans="1:5" x14ac:dyDescent="0.3">
      <c r="A2" s="24" t="s">
        <v>63</v>
      </c>
    </row>
    <row r="3" spans="1:5" x14ac:dyDescent="0.3">
      <c r="A3" s="24" t="s">
        <v>44</v>
      </c>
    </row>
    <row r="4" spans="1:5" x14ac:dyDescent="0.3">
      <c r="A4" s="24" t="s">
        <v>45</v>
      </c>
    </row>
    <row r="6" spans="1:5" x14ac:dyDescent="0.3">
      <c r="A6" s="6" t="s">
        <v>20</v>
      </c>
      <c r="B6" s="6">
        <v>2006</v>
      </c>
      <c r="C6" s="6">
        <v>2007</v>
      </c>
      <c r="D6" s="7" t="s">
        <v>46</v>
      </c>
      <c r="E6" s="16"/>
    </row>
    <row r="7" spans="1:5" x14ac:dyDescent="0.3">
      <c r="A7" s="18" t="s">
        <v>21</v>
      </c>
      <c r="B7" s="14">
        <v>480504</v>
      </c>
      <c r="C7" s="14">
        <v>144117</v>
      </c>
      <c r="D7" s="17">
        <f t="shared" ref="D7:D16" si="0">+(C7-B7)/B7</f>
        <v>-0.70007117526597074</v>
      </c>
      <c r="E7" s="17"/>
    </row>
    <row r="8" spans="1:5" x14ac:dyDescent="0.3">
      <c r="A8" s="18" t="s">
        <v>22</v>
      </c>
      <c r="B8" s="14">
        <v>344040</v>
      </c>
      <c r="C8" s="14">
        <v>346162</v>
      </c>
      <c r="D8" s="17">
        <f t="shared" si="0"/>
        <v>6.1678874549470995E-3</v>
      </c>
      <c r="E8" s="17"/>
    </row>
    <row r="9" spans="1:5" x14ac:dyDescent="0.3">
      <c r="A9" s="18" t="s">
        <v>23</v>
      </c>
      <c r="B9" s="14">
        <v>366696</v>
      </c>
      <c r="C9" s="14">
        <v>390751</v>
      </c>
      <c r="D9" s="17">
        <f t="shared" si="0"/>
        <v>6.55992975107446E-2</v>
      </c>
      <c r="E9" s="17"/>
    </row>
    <row r="10" spans="1:5" x14ac:dyDescent="0.3">
      <c r="A10" s="18" t="s">
        <v>36</v>
      </c>
      <c r="B10" s="14">
        <v>313880</v>
      </c>
      <c r="C10" s="14">
        <v>426868</v>
      </c>
      <c r="D10" s="17">
        <f t="shared" si="0"/>
        <v>0.35997196380782465</v>
      </c>
      <c r="E10" s="17"/>
    </row>
    <row r="11" spans="1:5" x14ac:dyDescent="0.3">
      <c r="A11" s="18" t="s">
        <v>60</v>
      </c>
      <c r="B11" s="14">
        <v>526318</v>
      </c>
      <c r="C11" s="14">
        <v>591538</v>
      </c>
      <c r="D11" s="17">
        <f t="shared" si="0"/>
        <v>0.1239174795465859</v>
      </c>
      <c r="E11" s="17"/>
    </row>
    <row r="12" spans="1:5" x14ac:dyDescent="0.3">
      <c r="A12" s="18" t="s">
        <v>47</v>
      </c>
      <c r="B12" s="14">
        <v>559865</v>
      </c>
      <c r="C12" s="14">
        <v>560066</v>
      </c>
      <c r="D12" s="17">
        <f t="shared" si="0"/>
        <v>3.5901511971636022E-4</v>
      </c>
      <c r="E12" s="17"/>
    </row>
    <row r="13" spans="1:5" x14ac:dyDescent="0.3">
      <c r="A13" s="18" t="s">
        <v>24</v>
      </c>
      <c r="B13" s="14">
        <v>17082</v>
      </c>
      <c r="C13" s="14">
        <v>45191</v>
      </c>
      <c r="D13" s="17">
        <f t="shared" si="0"/>
        <v>1.6455333099168716</v>
      </c>
      <c r="E13" s="17"/>
    </row>
    <row r="14" spans="1:5" x14ac:dyDescent="0.3">
      <c r="A14" s="18" t="s">
        <v>25</v>
      </c>
      <c r="B14" s="14">
        <v>11959</v>
      </c>
      <c r="C14" s="14">
        <v>11023</v>
      </c>
      <c r="D14" s="17">
        <f t="shared" si="0"/>
        <v>-7.8267413663349772E-2</v>
      </c>
      <c r="E14" s="17"/>
    </row>
    <row r="15" spans="1:5" x14ac:dyDescent="0.3">
      <c r="A15" s="18" t="s">
        <v>26</v>
      </c>
      <c r="B15" s="14">
        <v>1749382</v>
      </c>
      <c r="C15" s="14">
        <v>2467655</v>
      </c>
      <c r="D15" s="17">
        <f t="shared" si="0"/>
        <v>0.41058671004960606</v>
      </c>
      <c r="E15" s="17"/>
    </row>
    <row r="16" spans="1:5" ht="15.75" thickBot="1" x14ac:dyDescent="0.35">
      <c r="A16" s="26" t="s">
        <v>27</v>
      </c>
      <c r="B16" s="27">
        <f>SUM(B7:B15)</f>
        <v>4369726</v>
      </c>
      <c r="C16" s="27">
        <f>SUM(C7:C15)</f>
        <v>4983371</v>
      </c>
      <c r="D16" s="45">
        <f t="shared" si="0"/>
        <v>0.14043100185229004</v>
      </c>
      <c r="E16" s="17"/>
    </row>
    <row r="17" spans="1:6" x14ac:dyDescent="0.3">
      <c r="A17" s="1"/>
      <c r="E17" s="17"/>
    </row>
    <row r="18" spans="1:6" x14ac:dyDescent="0.3">
      <c r="A18" s="6" t="s">
        <v>48</v>
      </c>
      <c r="B18" s="6">
        <v>2006</v>
      </c>
      <c r="C18" s="6">
        <v>2007</v>
      </c>
      <c r="D18" s="7" t="s">
        <v>46</v>
      </c>
      <c r="E18" s="17"/>
    </row>
    <row r="19" spans="1:6" x14ac:dyDescent="0.3">
      <c r="A19" s="18" t="s">
        <v>28</v>
      </c>
      <c r="B19" s="14">
        <v>804882</v>
      </c>
      <c r="C19" s="14">
        <v>713125</v>
      </c>
      <c r="D19" s="17">
        <f t="shared" ref="D19:D30" si="1">+(C19-B19)/B19</f>
        <v>-0.11400056157300076</v>
      </c>
      <c r="E19" s="17"/>
    </row>
    <row r="20" spans="1:6" x14ac:dyDescent="0.3">
      <c r="A20" s="18" t="s">
        <v>49</v>
      </c>
      <c r="B20" s="14">
        <v>124952</v>
      </c>
      <c r="C20" s="14">
        <v>131752</v>
      </c>
      <c r="D20" s="17">
        <f t="shared" si="1"/>
        <v>5.4420897624687881E-2</v>
      </c>
      <c r="E20" s="17"/>
    </row>
    <row r="21" spans="1:6" x14ac:dyDescent="0.3">
      <c r="A21" s="18" t="s">
        <v>38</v>
      </c>
      <c r="B21" s="14">
        <v>137587</v>
      </c>
      <c r="C21" s="14">
        <v>156446</v>
      </c>
      <c r="D21" s="17">
        <f t="shared" si="1"/>
        <v>0.13706963593944196</v>
      </c>
      <c r="E21" s="17"/>
    </row>
    <row r="22" spans="1:6" x14ac:dyDescent="0.3">
      <c r="A22" s="18" t="s">
        <v>30</v>
      </c>
      <c r="B22" s="14">
        <v>45569</v>
      </c>
      <c r="C22" s="14">
        <v>39925</v>
      </c>
      <c r="D22" s="17">
        <f t="shared" si="1"/>
        <v>-0.12385613026399526</v>
      </c>
      <c r="E22" s="17"/>
    </row>
    <row r="23" spans="1:6" x14ac:dyDescent="0.3">
      <c r="A23" s="18" t="s">
        <v>31</v>
      </c>
      <c r="B23" s="14">
        <v>26279</v>
      </c>
      <c r="C23" s="14">
        <v>29862</v>
      </c>
      <c r="D23" s="17">
        <f t="shared" si="1"/>
        <v>0.1363446097644507</v>
      </c>
      <c r="E23" s="17"/>
    </row>
    <row r="24" spans="1:6" x14ac:dyDescent="0.3">
      <c r="A24" s="18" t="s">
        <v>32</v>
      </c>
      <c r="B24" s="14">
        <v>126207</v>
      </c>
      <c r="C24" s="14">
        <v>119727</v>
      </c>
      <c r="D24" s="17">
        <f t="shared" si="1"/>
        <v>-5.1344220209655567E-2</v>
      </c>
      <c r="E24" s="17"/>
    </row>
    <row r="25" spans="1:6" x14ac:dyDescent="0.3">
      <c r="A25" s="18" t="s">
        <v>24</v>
      </c>
      <c r="B25" s="14">
        <v>10647</v>
      </c>
      <c r="C25" s="14">
        <v>10961</v>
      </c>
      <c r="D25" s="17">
        <f t="shared" si="1"/>
        <v>2.94918756457218E-2</v>
      </c>
      <c r="E25" s="17"/>
      <c r="F25" s="15"/>
    </row>
    <row r="26" spans="1:6" x14ac:dyDescent="0.3">
      <c r="A26" s="18" t="s">
        <v>0</v>
      </c>
      <c r="B26" s="14">
        <v>2319</v>
      </c>
      <c r="C26" s="14">
        <v>2018</v>
      </c>
      <c r="D26" s="17">
        <f t="shared" si="1"/>
        <v>-0.12979732643380767</v>
      </c>
      <c r="E26" s="17"/>
    </row>
    <row r="27" spans="1:6" x14ac:dyDescent="0.3">
      <c r="A27" s="18" t="s">
        <v>33</v>
      </c>
      <c r="B27" s="14">
        <f>SUM(B19:B26)</f>
        <v>1278442</v>
      </c>
      <c r="C27" s="14">
        <f>SUM(C19:C26)</f>
        <v>1203816</v>
      </c>
      <c r="D27" s="17">
        <f t="shared" si="1"/>
        <v>-5.8372612914782213E-2</v>
      </c>
      <c r="E27" s="17"/>
    </row>
    <row r="28" spans="1:6" x14ac:dyDescent="0.3">
      <c r="A28" s="18" t="s">
        <v>39</v>
      </c>
      <c r="B28" s="14">
        <v>1695</v>
      </c>
      <c r="C28" s="14">
        <v>2848</v>
      </c>
      <c r="D28" s="17">
        <f t="shared" si="1"/>
        <v>0.68023598820058995</v>
      </c>
      <c r="E28" s="17"/>
    </row>
    <row r="29" spans="1:6" x14ac:dyDescent="0.3">
      <c r="A29" s="31" t="s">
        <v>34</v>
      </c>
      <c r="B29" s="32">
        <v>3089589</v>
      </c>
      <c r="C29" s="32">
        <v>3776707</v>
      </c>
      <c r="D29" s="47">
        <f t="shared" si="1"/>
        <v>0.22239786586500665</v>
      </c>
      <c r="E29" s="17"/>
    </row>
    <row r="30" spans="1:6" ht="15.75" thickBot="1" x14ac:dyDescent="0.35">
      <c r="A30" s="39" t="s">
        <v>35</v>
      </c>
      <c r="B30" s="40">
        <f>+B27+B28+B29</f>
        <v>4369726</v>
      </c>
      <c r="C30" s="40">
        <f>+C27+C28+C29</f>
        <v>4983371</v>
      </c>
      <c r="D30" s="49">
        <f t="shared" si="1"/>
        <v>0.14043100185229004</v>
      </c>
      <c r="E30" s="17"/>
    </row>
    <row r="31" spans="1:6" x14ac:dyDescent="0.3">
      <c r="A31" s="19"/>
      <c r="B31" s="14"/>
      <c r="C31" s="14"/>
      <c r="D31" s="17"/>
      <c r="E31" s="17"/>
    </row>
    <row r="32" spans="1:6" x14ac:dyDescent="0.3">
      <c r="A32" s="41" t="s">
        <v>3</v>
      </c>
      <c r="B32" s="14"/>
      <c r="C32" s="14"/>
      <c r="D32" s="17"/>
    </row>
    <row r="33" spans="1:7" x14ac:dyDescent="0.3">
      <c r="A33" s="41" t="s">
        <v>64</v>
      </c>
      <c r="B33" s="14"/>
      <c r="C33" s="14"/>
      <c r="D33" s="17"/>
    </row>
    <row r="34" spans="1:7" x14ac:dyDescent="0.3">
      <c r="A34" s="41" t="s">
        <v>44</v>
      </c>
      <c r="B34" s="14"/>
      <c r="C34" s="14"/>
      <c r="D34" s="17"/>
    </row>
    <row r="35" spans="1:7" x14ac:dyDescent="0.3">
      <c r="A35" s="41" t="s">
        <v>45</v>
      </c>
      <c r="B35" s="14"/>
      <c r="C35" s="14"/>
      <c r="D35" s="17"/>
    </row>
    <row r="36" spans="1:7" x14ac:dyDescent="0.3">
      <c r="A36" s="6"/>
      <c r="B36" s="6">
        <v>2006</v>
      </c>
      <c r="C36" s="7" t="s">
        <v>55</v>
      </c>
      <c r="D36" s="6">
        <v>2007</v>
      </c>
      <c r="E36" s="7" t="s">
        <v>55</v>
      </c>
      <c r="F36" s="7" t="s">
        <v>46</v>
      </c>
    </row>
    <row r="37" spans="1:7" s="9" customFormat="1" x14ac:dyDescent="0.3">
      <c r="A37" s="30" t="s">
        <v>4</v>
      </c>
      <c r="B37" s="30">
        <v>1272106</v>
      </c>
      <c r="C37" s="42">
        <v>1</v>
      </c>
      <c r="D37" s="50">
        <v>1582226</v>
      </c>
      <c r="E37" s="42">
        <v>1</v>
      </c>
      <c r="F37" s="42">
        <f t="shared" ref="F37:F55" si="2">+(D37-B37)/B37</f>
        <v>0.24378471605353641</v>
      </c>
      <c r="G37" s="8"/>
    </row>
    <row r="38" spans="1:7" x14ac:dyDescent="0.3">
      <c r="A38" s="14" t="s">
        <v>50</v>
      </c>
      <c r="B38" s="14">
        <v>-780471</v>
      </c>
      <c r="C38" s="17">
        <f t="shared" ref="C38:C55" si="3">+B38/$B$37</f>
        <v>-0.61352670296343226</v>
      </c>
      <c r="D38" s="51">
        <v>-947458</v>
      </c>
      <c r="E38" s="17">
        <f>+D38/$D$37</f>
        <v>-0.5988133174401129</v>
      </c>
      <c r="F38" s="17">
        <f t="shared" si="2"/>
        <v>0.21395670050520776</v>
      </c>
    </row>
    <row r="39" spans="1:7" s="9" customFormat="1" x14ac:dyDescent="0.3">
      <c r="A39" s="30" t="s">
        <v>6</v>
      </c>
      <c r="B39" s="30">
        <f>SUM(B37:B38)</f>
        <v>491635</v>
      </c>
      <c r="C39" s="42">
        <f t="shared" si="3"/>
        <v>0.38647329703656769</v>
      </c>
      <c r="D39" s="30">
        <f>SUM(D37:D38)</f>
        <v>634768</v>
      </c>
      <c r="E39" s="42">
        <f t="shared" ref="E39:E55" si="4">+D39/$D$37</f>
        <v>0.40118668255988715</v>
      </c>
      <c r="F39" s="42">
        <f t="shared" si="2"/>
        <v>0.29113671728009599</v>
      </c>
      <c r="G39" s="8"/>
    </row>
    <row r="40" spans="1:7" x14ac:dyDescent="0.3">
      <c r="A40" s="14" t="s">
        <v>7</v>
      </c>
      <c r="B40" s="14">
        <v>-51431</v>
      </c>
      <c r="C40" s="17">
        <f t="shared" si="3"/>
        <v>-4.042980695004976E-2</v>
      </c>
      <c r="D40" s="14">
        <v>-75735</v>
      </c>
      <c r="E40" s="17">
        <f t="shared" si="4"/>
        <v>-4.7866107623057638E-2</v>
      </c>
      <c r="F40" s="17">
        <f t="shared" si="2"/>
        <v>0.47255546265870779</v>
      </c>
    </row>
    <row r="41" spans="1:7" x14ac:dyDescent="0.3">
      <c r="A41" s="14" t="s">
        <v>8</v>
      </c>
      <c r="B41" s="14">
        <v>-306736</v>
      </c>
      <c r="C41" s="17">
        <f t="shared" si="3"/>
        <v>-0.24112456037468577</v>
      </c>
      <c r="D41" s="14">
        <v>-386109</v>
      </c>
      <c r="E41" s="17">
        <f t="shared" si="4"/>
        <v>-0.24402898195327344</v>
      </c>
      <c r="F41" s="17">
        <f t="shared" si="2"/>
        <v>0.25876649627040843</v>
      </c>
    </row>
    <row r="42" spans="1:7" s="9" customFormat="1" x14ac:dyDescent="0.3">
      <c r="A42" s="30" t="s">
        <v>9</v>
      </c>
      <c r="B42" s="30">
        <f>SUM(B40:B41)</f>
        <v>-358167</v>
      </c>
      <c r="C42" s="42">
        <f t="shared" si="3"/>
        <v>-0.28155436732473554</v>
      </c>
      <c r="D42" s="30">
        <f>SUM(D40:D41)</f>
        <v>-461844</v>
      </c>
      <c r="E42" s="42">
        <f t="shared" si="4"/>
        <v>-0.29189508957633109</v>
      </c>
      <c r="F42" s="42">
        <f t="shared" si="2"/>
        <v>0.28946552865004316</v>
      </c>
      <c r="G42" s="8"/>
    </row>
    <row r="43" spans="1:7" s="9" customFormat="1" x14ac:dyDescent="0.3">
      <c r="A43" s="30" t="s">
        <v>1</v>
      </c>
      <c r="B43" s="30">
        <f>+B39+B42</f>
        <v>133468</v>
      </c>
      <c r="C43" s="42">
        <f t="shared" si="3"/>
        <v>0.10491892971183218</v>
      </c>
      <c r="D43" s="30">
        <f>+D39+D42</f>
        <v>172924</v>
      </c>
      <c r="E43" s="42">
        <f t="shared" si="4"/>
        <v>0.10929159298355608</v>
      </c>
      <c r="F43" s="42">
        <f t="shared" si="2"/>
        <v>0.29562142236341293</v>
      </c>
      <c r="G43" s="8"/>
    </row>
    <row r="44" spans="1:7" x14ac:dyDescent="0.3">
      <c r="A44" s="14" t="s">
        <v>51</v>
      </c>
      <c r="B44" s="14">
        <v>6561</v>
      </c>
      <c r="C44" s="17">
        <f t="shared" si="3"/>
        <v>5.1575890688354588E-3</v>
      </c>
      <c r="D44" s="14">
        <v>5502</v>
      </c>
      <c r="E44" s="17">
        <f t="shared" si="4"/>
        <v>3.4773793377178733E-3</v>
      </c>
      <c r="F44" s="17">
        <f t="shared" si="2"/>
        <v>-0.16140832190214907</v>
      </c>
    </row>
    <row r="45" spans="1:7" x14ac:dyDescent="0.3">
      <c r="A45" s="14" t="s">
        <v>11</v>
      </c>
      <c r="B45" s="14">
        <v>-10134</v>
      </c>
      <c r="C45" s="17">
        <f t="shared" si="3"/>
        <v>-7.9663172723027798E-3</v>
      </c>
      <c r="D45" s="14">
        <v>-26835</v>
      </c>
      <c r="E45" s="17">
        <f t="shared" si="4"/>
        <v>-1.6960282538651242E-2</v>
      </c>
      <c r="F45" s="17">
        <f t="shared" si="2"/>
        <v>1.64801657785672</v>
      </c>
    </row>
    <row r="46" spans="1:7" x14ac:dyDescent="0.3">
      <c r="A46" s="14" t="s">
        <v>12</v>
      </c>
      <c r="B46" s="14">
        <v>24819</v>
      </c>
      <c r="C46" s="17">
        <f t="shared" si="3"/>
        <v>1.9510166605613055E-2</v>
      </c>
      <c r="D46" s="14">
        <v>-43764</v>
      </c>
      <c r="E46" s="17">
        <f t="shared" si="4"/>
        <v>-2.7659765419099421E-2</v>
      </c>
      <c r="F46" s="17">
        <f t="shared" si="2"/>
        <v>-2.7633264837422944</v>
      </c>
    </row>
    <row r="47" spans="1:7" x14ac:dyDescent="0.3">
      <c r="A47" s="14" t="s">
        <v>52</v>
      </c>
      <c r="B47" s="14">
        <f>-43827-3100</f>
        <v>-46927</v>
      </c>
      <c r="C47" s="17">
        <f t="shared" si="3"/>
        <v>-3.6889221495692966E-2</v>
      </c>
      <c r="D47" s="14">
        <v>-45093</v>
      </c>
      <c r="E47" s="17">
        <f t="shared" si="4"/>
        <v>-2.8499721278755375E-2</v>
      </c>
      <c r="F47" s="17">
        <f t="shared" si="2"/>
        <v>-3.9081978391970508E-2</v>
      </c>
    </row>
    <row r="48" spans="1:7" x14ac:dyDescent="0.3">
      <c r="A48" s="14" t="s">
        <v>14</v>
      </c>
      <c r="B48" s="14">
        <v>17937</v>
      </c>
      <c r="C48" s="17">
        <f t="shared" si="3"/>
        <v>1.4100240074333428E-2</v>
      </c>
      <c r="D48" s="14">
        <v>13054</v>
      </c>
      <c r="E48" s="17">
        <f t="shared" si="4"/>
        <v>8.2504016493219045E-3</v>
      </c>
      <c r="F48" s="17">
        <f t="shared" si="2"/>
        <v>-0.27223058482466411</v>
      </c>
    </row>
    <row r="49" spans="1:7" x14ac:dyDescent="0.3">
      <c r="A49" s="14" t="s">
        <v>16</v>
      </c>
      <c r="B49" s="14">
        <v>66197</v>
      </c>
      <c r="C49" s="17">
        <f t="shared" si="3"/>
        <v>5.2037330222481457E-2</v>
      </c>
      <c r="D49" s="14">
        <v>6542</v>
      </c>
      <c r="E49" s="17">
        <f t="shared" si="4"/>
        <v>4.134681139104022E-3</v>
      </c>
      <c r="F49" s="17">
        <f t="shared" si="2"/>
        <v>-0.90117376920404246</v>
      </c>
    </row>
    <row r="50" spans="1:7" s="9" customFormat="1" x14ac:dyDescent="0.3">
      <c r="A50" s="30" t="s">
        <v>2</v>
      </c>
      <c r="B50" s="30">
        <f>SUM(B44:B49)</f>
        <v>58453</v>
      </c>
      <c r="C50" s="42">
        <f t="shared" si="3"/>
        <v>4.5949787203267652E-2</v>
      </c>
      <c r="D50" s="30">
        <f>SUM(D44:D49)</f>
        <v>-90594</v>
      </c>
      <c r="E50" s="42">
        <f t="shared" si="4"/>
        <v>-5.7257307110362234E-2</v>
      </c>
      <c r="F50" s="42">
        <f t="shared" si="2"/>
        <v>-2.5498605717413989</v>
      </c>
      <c r="G50" s="8"/>
    </row>
    <row r="51" spans="1:7" s="9" customFormat="1" x14ac:dyDescent="0.3">
      <c r="A51" s="30" t="s">
        <v>41</v>
      </c>
      <c r="B51" s="30">
        <f>+B43+B50</f>
        <v>191921</v>
      </c>
      <c r="C51" s="42">
        <f t="shared" si="3"/>
        <v>0.15086871691509984</v>
      </c>
      <c r="D51" s="30">
        <f>+D43+D50</f>
        <v>82330</v>
      </c>
      <c r="E51" s="42">
        <f t="shared" si="4"/>
        <v>5.2034285873193843E-2</v>
      </c>
      <c r="F51" s="42">
        <f t="shared" si="2"/>
        <v>-0.5710214098509282</v>
      </c>
      <c r="G51" s="8"/>
    </row>
    <row r="52" spans="1:7" x14ac:dyDescent="0.3">
      <c r="A52" s="14" t="s">
        <v>15</v>
      </c>
      <c r="B52" s="14">
        <v>-53001</v>
      </c>
      <c r="C52" s="17">
        <f t="shared" si="3"/>
        <v>-4.1663980831786032E-2</v>
      </c>
      <c r="D52" s="14">
        <v>-32455</v>
      </c>
      <c r="E52" s="17">
        <f t="shared" si="4"/>
        <v>-2.0512240349987929E-2</v>
      </c>
      <c r="F52" s="17">
        <f t="shared" si="2"/>
        <v>-0.3876530631497519</v>
      </c>
    </row>
    <row r="53" spans="1:7" x14ac:dyDescent="0.3">
      <c r="A53" s="14" t="s">
        <v>18</v>
      </c>
      <c r="B53" s="14">
        <v>-6</v>
      </c>
      <c r="C53" s="17">
        <f t="shared" si="3"/>
        <v>-4.7165880830685495E-6</v>
      </c>
      <c r="D53" s="14">
        <v>-257</v>
      </c>
      <c r="E53" s="17">
        <f t="shared" si="4"/>
        <v>-1.6242938745792321E-4</v>
      </c>
      <c r="F53" s="17">
        <f t="shared" si="2"/>
        <v>41.833333333333336</v>
      </c>
    </row>
    <row r="54" spans="1:7" s="9" customFormat="1" x14ac:dyDescent="0.3">
      <c r="A54" s="43" t="s">
        <v>17</v>
      </c>
      <c r="B54" s="43">
        <f>+B51+B52+B53</f>
        <v>138914</v>
      </c>
      <c r="C54" s="44">
        <f t="shared" si="3"/>
        <v>0.10920001949523074</v>
      </c>
      <c r="D54" s="43">
        <f>+D51+D52+D53</f>
        <v>49618</v>
      </c>
      <c r="E54" s="44">
        <f t="shared" si="4"/>
        <v>3.1359616135747989E-2</v>
      </c>
      <c r="F54" s="44">
        <f t="shared" si="2"/>
        <v>-0.64281497905178742</v>
      </c>
      <c r="G54" s="8"/>
    </row>
    <row r="55" spans="1:7" s="9" customFormat="1" ht="15.75" thickBot="1" x14ac:dyDescent="0.35">
      <c r="A55" s="27" t="s">
        <v>19</v>
      </c>
      <c r="B55" s="27">
        <v>171403</v>
      </c>
      <c r="C55" s="45">
        <f t="shared" si="3"/>
        <v>0.13473955786703309</v>
      </c>
      <c r="D55" s="27">
        <v>220025</v>
      </c>
      <c r="E55" s="45">
        <f t="shared" si="4"/>
        <v>0.13906041235575703</v>
      </c>
      <c r="F55" s="45">
        <f t="shared" si="2"/>
        <v>0.28367064753825777</v>
      </c>
      <c r="G55" s="8"/>
    </row>
    <row r="56" spans="1:7" x14ac:dyDescent="0.3">
      <c r="A56" s="2"/>
      <c r="C56" s="3"/>
      <c r="D56" s="10"/>
    </row>
    <row r="57" spans="1:7" x14ac:dyDescent="0.3">
      <c r="A57" s="19" t="s">
        <v>53</v>
      </c>
      <c r="B57" s="14"/>
      <c r="C57" s="14"/>
      <c r="D57" s="17"/>
    </row>
    <row r="58" spans="1:7" x14ac:dyDescent="0.3">
      <c r="D58" s="10"/>
    </row>
  </sheetData>
  <phoneticPr fontId="0" type="noConversion"/>
  <pageMargins left="0.7" right="0.7" top="0.75" bottom="0.75" header="0.3" footer="0.3"/>
  <customProperties>
    <customPr name="_pios_id" r:id="rId1"/>
  </customProperties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T82"/>
  <sheetViews>
    <sheetView topLeftCell="A11" workbookViewId="0">
      <selection activeCell="A38" sqref="A38"/>
    </sheetView>
  </sheetViews>
  <sheetFormatPr baseColWidth="10" defaultColWidth="11.42578125" defaultRowHeight="15" x14ac:dyDescent="0.3"/>
  <cols>
    <col min="1" max="1" width="32.140625" style="73" customWidth="1"/>
    <col min="2" max="4" width="10.42578125" style="73" bestFit="1" customWidth="1"/>
    <col min="5" max="7" width="11.140625" style="73" bestFit="1" customWidth="1"/>
    <col min="8" max="9" width="11.140625" style="74" bestFit="1" customWidth="1"/>
    <col min="10" max="10" width="11.5703125" style="74" bestFit="1" customWidth="1"/>
    <col min="11" max="11" width="11.140625" style="74" bestFit="1" customWidth="1"/>
    <col min="12" max="12" width="11.140625" style="75" bestFit="1" customWidth="1"/>
    <col min="13" max="13" width="11.7109375" style="75" customWidth="1"/>
    <col min="14" max="15" width="10.42578125" style="76" bestFit="1" customWidth="1"/>
    <col min="16" max="16" width="10.28515625" style="73" bestFit="1" customWidth="1"/>
    <col min="17" max="16384" width="11.42578125" style="73"/>
  </cols>
  <sheetData>
    <row r="6" spans="1:20" ht="21" x14ac:dyDescent="0.35">
      <c r="A6" s="116" t="s">
        <v>40</v>
      </c>
      <c r="B6" s="116"/>
      <c r="C6" s="116"/>
      <c r="D6" s="116"/>
      <c r="E6" s="116"/>
      <c r="F6" s="116"/>
      <c r="G6" s="116"/>
    </row>
    <row r="7" spans="1:20" ht="15.75" x14ac:dyDescent="0.3">
      <c r="A7" s="78" t="s">
        <v>125</v>
      </c>
      <c r="B7" s="78"/>
      <c r="C7" s="78"/>
      <c r="D7" s="78"/>
      <c r="E7" s="78"/>
      <c r="F7" s="78"/>
      <c r="G7" s="78"/>
    </row>
    <row r="8" spans="1:20" x14ac:dyDescent="0.3">
      <c r="A8" s="79" t="s">
        <v>88</v>
      </c>
      <c r="B8" s="79"/>
      <c r="C8" s="79"/>
      <c r="D8" s="79"/>
      <c r="E8" s="79"/>
      <c r="F8" s="79"/>
      <c r="G8" s="79"/>
    </row>
    <row r="9" spans="1:20" s="85" customFormat="1" x14ac:dyDescent="0.3">
      <c r="H9" s="81"/>
      <c r="I9" s="81"/>
      <c r="J9" s="81"/>
      <c r="K9" s="81"/>
      <c r="L9" s="82"/>
      <c r="M9" s="82"/>
      <c r="N9" s="83"/>
      <c r="O9" s="83"/>
      <c r="P9" s="84"/>
      <c r="Q9" s="84"/>
      <c r="R9" s="84"/>
      <c r="S9" s="84"/>
    </row>
    <row r="10" spans="1:20" s="85" customFormat="1" ht="15.75" thickBot="1" x14ac:dyDescent="0.35">
      <c r="A10" s="152" t="s">
        <v>20</v>
      </c>
      <c r="B10" s="144">
        <v>2005</v>
      </c>
      <c r="C10" s="144">
        <v>2006</v>
      </c>
      <c r="D10" s="144">
        <v>2007</v>
      </c>
      <c r="E10" s="144">
        <v>2008</v>
      </c>
      <c r="F10" s="144">
        <v>2009</v>
      </c>
      <c r="G10" s="144">
        <v>2010</v>
      </c>
      <c r="H10" s="198">
        <v>2011</v>
      </c>
      <c r="I10" s="145">
        <v>2012</v>
      </c>
      <c r="J10" s="145">
        <v>2013</v>
      </c>
      <c r="K10" s="146" t="s">
        <v>46</v>
      </c>
      <c r="L10" s="145" t="s">
        <v>95</v>
      </c>
      <c r="M10" s="145" t="s">
        <v>124</v>
      </c>
      <c r="N10" s="146" t="s">
        <v>46</v>
      </c>
      <c r="O10" s="83"/>
      <c r="P10" s="83"/>
      <c r="Q10" s="106"/>
      <c r="R10" s="84"/>
      <c r="S10" s="84"/>
      <c r="T10" s="84"/>
    </row>
    <row r="11" spans="1:20" s="85" customFormat="1" x14ac:dyDescent="0.3">
      <c r="A11" s="153" t="s">
        <v>21</v>
      </c>
      <c r="B11" s="81">
        <v>121469</v>
      </c>
      <c r="C11" s="81">
        <v>147021</v>
      </c>
      <c r="D11" s="81">
        <v>141066</v>
      </c>
      <c r="E11" s="81">
        <v>200123</v>
      </c>
      <c r="F11" s="81">
        <v>152572</v>
      </c>
      <c r="G11" s="81">
        <v>133389</v>
      </c>
      <c r="H11" s="199">
        <v>193087</v>
      </c>
      <c r="I11" s="117">
        <v>291812</v>
      </c>
      <c r="J11" s="117">
        <v>415478</v>
      </c>
      <c r="K11" s="129">
        <f t="shared" ref="K11:K20" si="0">+(J11-I11)/I11</f>
        <v>0.42378654750318701</v>
      </c>
      <c r="L11" s="117">
        <v>268522</v>
      </c>
      <c r="M11" s="117">
        <v>353987</v>
      </c>
      <c r="N11" s="129">
        <f>+(M11-L11)/L11</f>
        <v>0.31827932161983002</v>
      </c>
      <c r="O11" s="83"/>
      <c r="P11" s="83"/>
      <c r="Q11" s="108"/>
      <c r="R11" s="84"/>
      <c r="S11" s="84"/>
      <c r="T11" s="84"/>
    </row>
    <row r="12" spans="1:20" s="85" customFormat="1" x14ac:dyDescent="0.3">
      <c r="A12" s="153" t="s">
        <v>22</v>
      </c>
      <c r="B12" s="81">
        <v>328742</v>
      </c>
      <c r="C12" s="81">
        <v>323226</v>
      </c>
      <c r="D12" s="81">
        <v>322254</v>
      </c>
      <c r="E12" s="81">
        <v>299414</v>
      </c>
      <c r="F12" s="81">
        <v>335272</v>
      </c>
      <c r="G12" s="81">
        <v>330481</v>
      </c>
      <c r="H12" s="199">
        <v>329071</v>
      </c>
      <c r="I12" s="117">
        <v>330090</v>
      </c>
      <c r="J12" s="117">
        <v>357830</v>
      </c>
      <c r="K12" s="129">
        <f t="shared" si="0"/>
        <v>8.4037686691508379E-2</v>
      </c>
      <c r="L12" s="117">
        <v>356520</v>
      </c>
      <c r="M12" s="117">
        <v>376030</v>
      </c>
      <c r="N12" s="129">
        <f t="shared" ref="N12:N19" si="1">+(M12-L12)/L12</f>
        <v>5.4723437675305735E-2</v>
      </c>
      <c r="O12" s="170"/>
      <c r="P12" s="83"/>
      <c r="Q12" s="106"/>
      <c r="R12" s="84"/>
      <c r="S12" s="84"/>
      <c r="T12" s="84"/>
    </row>
    <row r="13" spans="1:20" s="85" customFormat="1" x14ac:dyDescent="0.3">
      <c r="A13" s="153" t="s">
        <v>23</v>
      </c>
      <c r="B13" s="81">
        <v>292269</v>
      </c>
      <c r="C13" s="81">
        <v>381730</v>
      </c>
      <c r="D13" s="81">
        <v>426683</v>
      </c>
      <c r="E13" s="81">
        <v>656631</v>
      </c>
      <c r="F13" s="81">
        <v>523529</v>
      </c>
      <c r="G13" s="81">
        <v>586256</v>
      </c>
      <c r="H13" s="199">
        <v>650631</v>
      </c>
      <c r="I13" s="117">
        <v>681860</v>
      </c>
      <c r="J13" s="117">
        <v>857299</v>
      </c>
      <c r="K13" s="129">
        <f t="shared" si="0"/>
        <v>0.25729475258850792</v>
      </c>
      <c r="L13" s="117">
        <v>721224</v>
      </c>
      <c r="M13" s="117">
        <v>901396</v>
      </c>
      <c r="N13" s="129">
        <f t="shared" si="1"/>
        <v>0.24981420474082947</v>
      </c>
      <c r="O13" s="83"/>
      <c r="P13" s="83"/>
      <c r="Q13" s="106"/>
      <c r="R13" s="84"/>
      <c r="S13" s="84"/>
      <c r="T13" s="84"/>
    </row>
    <row r="14" spans="1:20" s="85" customFormat="1" x14ac:dyDescent="0.3">
      <c r="A14" s="153" t="s">
        <v>36</v>
      </c>
      <c r="B14" s="81">
        <v>274553</v>
      </c>
      <c r="C14" s="81">
        <v>371699</v>
      </c>
      <c r="D14" s="81">
        <v>434839</v>
      </c>
      <c r="E14" s="81">
        <v>528465</v>
      </c>
      <c r="F14" s="81">
        <v>494120</v>
      </c>
      <c r="G14" s="81">
        <v>553016</v>
      </c>
      <c r="H14" s="199">
        <v>601866</v>
      </c>
      <c r="I14" s="117">
        <v>555796</v>
      </c>
      <c r="J14" s="117">
        <v>725323</v>
      </c>
      <c r="K14" s="129">
        <f t="shared" si="0"/>
        <v>0.30501658882035854</v>
      </c>
      <c r="L14" s="117">
        <v>565079</v>
      </c>
      <c r="M14" s="117">
        <v>759576</v>
      </c>
      <c r="N14" s="129">
        <f t="shared" si="1"/>
        <v>0.3441943515862384</v>
      </c>
      <c r="O14" s="83"/>
      <c r="P14" s="83"/>
      <c r="Q14" s="106"/>
      <c r="R14" s="84"/>
      <c r="S14" s="84"/>
      <c r="T14" s="84"/>
    </row>
    <row r="15" spans="1:20" s="85" customFormat="1" x14ac:dyDescent="0.3">
      <c r="A15" s="153" t="s">
        <v>60</v>
      </c>
      <c r="B15" s="81">
        <v>456824</v>
      </c>
      <c r="C15" s="81">
        <v>561031</v>
      </c>
      <c r="D15" s="81">
        <v>653908</v>
      </c>
      <c r="E15" s="81">
        <v>767527</v>
      </c>
      <c r="F15" s="81">
        <v>977261</v>
      </c>
      <c r="G15" s="81">
        <v>988793</v>
      </c>
      <c r="H15" s="199">
        <v>1009855</v>
      </c>
      <c r="I15" s="117">
        <v>1135785</v>
      </c>
      <c r="J15" s="117">
        <v>1456074</v>
      </c>
      <c r="K15" s="129">
        <f t="shared" si="0"/>
        <v>0.28199791333747143</v>
      </c>
      <c r="L15" s="117">
        <v>1130203</v>
      </c>
      <c r="M15" s="117">
        <v>1481507</v>
      </c>
      <c r="N15" s="129">
        <f t="shared" si="1"/>
        <v>0.31083265572644914</v>
      </c>
      <c r="O15" s="83"/>
      <c r="P15" s="83"/>
      <c r="Q15" s="106"/>
      <c r="R15" s="84"/>
      <c r="S15" s="84"/>
      <c r="T15" s="84"/>
    </row>
    <row r="16" spans="1:20" s="85" customFormat="1" x14ac:dyDescent="0.3">
      <c r="A16" s="153" t="s">
        <v>47</v>
      </c>
      <c r="B16" s="81">
        <v>63266</v>
      </c>
      <c r="C16" s="81">
        <v>621440</v>
      </c>
      <c r="D16" s="81">
        <v>564218</v>
      </c>
      <c r="E16" s="81">
        <v>543336</v>
      </c>
      <c r="F16" s="81">
        <v>748013</v>
      </c>
      <c r="G16" s="81">
        <v>853564</v>
      </c>
      <c r="H16" s="199">
        <v>900384</v>
      </c>
      <c r="I16" s="117">
        <v>1025441</v>
      </c>
      <c r="J16" s="117">
        <v>2038332</v>
      </c>
      <c r="K16" s="129">
        <f t="shared" si="0"/>
        <v>0.9877613631598503</v>
      </c>
      <c r="L16" s="117">
        <v>1030021</v>
      </c>
      <c r="M16" s="117">
        <v>1979821</v>
      </c>
      <c r="N16" s="129">
        <f t="shared" si="1"/>
        <v>0.92211712188392281</v>
      </c>
      <c r="O16" s="83"/>
      <c r="P16" s="83"/>
      <c r="Q16" s="106"/>
      <c r="R16" s="84"/>
      <c r="S16" s="84"/>
      <c r="T16" s="84"/>
    </row>
    <row r="17" spans="1:20" s="85" customFormat="1" x14ac:dyDescent="0.3">
      <c r="A17" s="153" t="s">
        <v>24</v>
      </c>
      <c r="B17" s="81">
        <v>12635</v>
      </c>
      <c r="C17" s="81">
        <v>23420</v>
      </c>
      <c r="D17" s="81">
        <v>57260</v>
      </c>
      <c r="E17" s="81">
        <v>28175</v>
      </c>
      <c r="F17" s="81">
        <v>79348</v>
      </c>
      <c r="G17" s="81">
        <v>67002</v>
      </c>
      <c r="H17" s="199">
        <v>130401</v>
      </c>
      <c r="I17" s="117">
        <v>57452</v>
      </c>
      <c r="J17" s="117">
        <v>101223</v>
      </c>
      <c r="K17" s="129">
        <f t="shared" si="0"/>
        <v>0.76187077908514933</v>
      </c>
      <c r="L17" s="117">
        <v>53810</v>
      </c>
      <c r="M17" s="117">
        <v>110933</v>
      </c>
      <c r="N17" s="129">
        <f t="shared" si="1"/>
        <v>1.0615684816948523</v>
      </c>
      <c r="O17" s="83"/>
      <c r="P17" s="83"/>
      <c r="Q17" s="106"/>
      <c r="R17" s="84"/>
      <c r="S17" s="84"/>
      <c r="T17" s="84"/>
    </row>
    <row r="18" spans="1:20" s="85" customFormat="1" x14ac:dyDescent="0.3">
      <c r="A18" s="153" t="s">
        <v>25</v>
      </c>
      <c r="B18" s="81">
        <v>3714</v>
      </c>
      <c r="C18" s="81">
        <v>11893</v>
      </c>
      <c r="D18" s="81">
        <v>12073</v>
      </c>
      <c r="E18" s="81">
        <v>44095</v>
      </c>
      <c r="F18" s="81">
        <v>19094</v>
      </c>
      <c r="G18" s="81">
        <v>16902</v>
      </c>
      <c r="H18" s="199">
        <v>18323</v>
      </c>
      <c r="I18" s="117">
        <v>6913</v>
      </c>
      <c r="J18" s="117">
        <v>16502</v>
      </c>
      <c r="K18" s="129">
        <f t="shared" si="0"/>
        <v>1.3870967741935485</v>
      </c>
      <c r="L18" s="117">
        <v>6387</v>
      </c>
      <c r="M18" s="117">
        <v>18237</v>
      </c>
      <c r="N18" s="129">
        <f t="shared" si="1"/>
        <v>1.8553311413809299</v>
      </c>
      <c r="O18" s="83"/>
      <c r="P18" s="83"/>
      <c r="Q18" s="106"/>
      <c r="R18" s="84"/>
      <c r="S18" s="84"/>
      <c r="T18" s="84"/>
    </row>
    <row r="19" spans="1:20" s="85" customFormat="1" x14ac:dyDescent="0.3">
      <c r="A19" s="153" t="s">
        <v>26</v>
      </c>
      <c r="B19" s="81">
        <v>2468685</v>
      </c>
      <c r="C19" s="81">
        <v>2591441</v>
      </c>
      <c r="D19" s="81">
        <v>2736001</v>
      </c>
      <c r="E19" s="81">
        <v>2268787</v>
      </c>
      <c r="F19" s="81">
        <v>3599917</v>
      </c>
      <c r="G19" s="81">
        <v>4555288</v>
      </c>
      <c r="H19" s="199">
        <v>4097551</v>
      </c>
      <c r="I19" s="117">
        <v>4866415</v>
      </c>
      <c r="J19" s="117">
        <v>4612437</v>
      </c>
      <c r="K19" s="129">
        <f t="shared" si="0"/>
        <v>-5.2189959138297902E-2</v>
      </c>
      <c r="L19" s="117">
        <v>4924714</v>
      </c>
      <c r="M19" s="117">
        <v>4881634</v>
      </c>
      <c r="N19" s="129">
        <f t="shared" si="1"/>
        <v>-8.7477161110269559E-3</v>
      </c>
      <c r="O19" s="83"/>
      <c r="P19" s="83"/>
      <c r="Q19" s="106"/>
      <c r="R19" s="84"/>
      <c r="S19" s="84"/>
      <c r="T19" s="84"/>
    </row>
    <row r="20" spans="1:20" s="85" customFormat="1" ht="15.75" thickBot="1" x14ac:dyDescent="0.35">
      <c r="A20" s="154" t="s">
        <v>27</v>
      </c>
      <c r="B20" s="91">
        <v>4022157</v>
      </c>
      <c r="C20" s="91">
        <v>5032901</v>
      </c>
      <c r="D20" s="91">
        <v>5348302</v>
      </c>
      <c r="E20" s="91">
        <v>5336553</v>
      </c>
      <c r="F20" s="91">
        <v>6929126</v>
      </c>
      <c r="G20" s="91">
        <v>8084691</v>
      </c>
      <c r="H20" s="200">
        <f>SUM(H11:H19)</f>
        <v>7931169</v>
      </c>
      <c r="I20" s="118">
        <f>SUM(I11:I19)</f>
        <v>8951564</v>
      </c>
      <c r="J20" s="118">
        <f>SUM(J11:J19)</f>
        <v>10580498</v>
      </c>
      <c r="K20" s="130">
        <f t="shared" si="0"/>
        <v>0.18197199952991455</v>
      </c>
      <c r="L20" s="118">
        <f>SUM(L11:L19)</f>
        <v>9056480</v>
      </c>
      <c r="M20" s="118">
        <f>SUM(M11:M19)</f>
        <v>10863121</v>
      </c>
      <c r="N20" s="130">
        <f>+(M20-L20)/L20</f>
        <v>0.19948600339204636</v>
      </c>
      <c r="O20" s="83"/>
      <c r="P20" s="83"/>
      <c r="Q20" s="106"/>
      <c r="R20" s="84"/>
      <c r="S20" s="84"/>
      <c r="T20" s="84"/>
    </row>
    <row r="21" spans="1:20" s="85" customFormat="1" x14ac:dyDescent="0.3">
      <c r="A21" s="153"/>
      <c r="B21" s="81"/>
      <c r="C21" s="81"/>
      <c r="D21" s="81"/>
      <c r="E21" s="81"/>
      <c r="F21" s="81"/>
      <c r="G21" s="81"/>
      <c r="H21" s="199"/>
      <c r="I21" s="117"/>
      <c r="J21" s="117"/>
      <c r="K21" s="129"/>
      <c r="L21" s="117"/>
      <c r="M21" s="117"/>
      <c r="N21" s="129"/>
      <c r="O21" s="83"/>
      <c r="P21" s="83"/>
      <c r="Q21" s="106"/>
      <c r="R21" s="84"/>
      <c r="S21" s="84"/>
      <c r="T21" s="84"/>
    </row>
    <row r="22" spans="1:20" s="85" customFormat="1" x14ac:dyDescent="0.3">
      <c r="A22" s="152" t="s">
        <v>48</v>
      </c>
      <c r="B22" s="125">
        <v>2005</v>
      </c>
      <c r="C22" s="125">
        <v>2006</v>
      </c>
      <c r="D22" s="125">
        <v>2007</v>
      </c>
      <c r="E22" s="125">
        <v>2008</v>
      </c>
      <c r="F22" s="125">
        <v>2009</v>
      </c>
      <c r="G22" s="125">
        <v>2010</v>
      </c>
      <c r="H22" s="201">
        <v>2011</v>
      </c>
      <c r="I22" s="127">
        <v>2012</v>
      </c>
      <c r="J22" s="127">
        <v>2013</v>
      </c>
      <c r="K22" s="128" t="s">
        <v>123</v>
      </c>
      <c r="L22" s="127" t="s">
        <v>95</v>
      </c>
      <c r="M22" s="127" t="s">
        <v>124</v>
      </c>
      <c r="N22" s="128" t="s">
        <v>46</v>
      </c>
      <c r="O22" s="83"/>
      <c r="P22" s="83"/>
      <c r="Q22" s="108"/>
      <c r="R22" s="84"/>
      <c r="S22" s="84"/>
      <c r="T22" s="84"/>
    </row>
    <row r="23" spans="1:20" s="85" customFormat="1" x14ac:dyDescent="0.3">
      <c r="A23" s="153" t="s">
        <v>28</v>
      </c>
      <c r="B23" s="81">
        <v>41040</v>
      </c>
      <c r="C23" s="81">
        <v>705877</v>
      </c>
      <c r="D23" s="81">
        <v>718503</v>
      </c>
      <c r="E23" s="81">
        <v>884817</v>
      </c>
      <c r="F23" s="81">
        <v>1015157</v>
      </c>
      <c r="G23" s="81">
        <v>1126326</v>
      </c>
      <c r="H23" s="199">
        <v>679598</v>
      </c>
      <c r="I23" s="117">
        <v>690354</v>
      </c>
      <c r="J23" s="117">
        <v>1996737</v>
      </c>
      <c r="K23" s="129">
        <f t="shared" ref="K23:K34" si="2">+(J23-I23)/I23</f>
        <v>1.8923378440626113</v>
      </c>
      <c r="L23" s="117">
        <v>698237</v>
      </c>
      <c r="M23" s="117">
        <v>1990883</v>
      </c>
      <c r="N23" s="129">
        <f t="shared" ref="N23:N34" si="3">+(M23-L23)/L23</f>
        <v>1.8512997735725836</v>
      </c>
      <c r="O23" s="83"/>
      <c r="P23" s="83"/>
      <c r="Q23" s="106"/>
      <c r="R23" s="84"/>
      <c r="S23" s="84"/>
      <c r="T23" s="84"/>
    </row>
    <row r="24" spans="1:20" s="85" customFormat="1" x14ac:dyDescent="0.3">
      <c r="A24" s="153" t="s">
        <v>49</v>
      </c>
      <c r="B24" s="81">
        <v>111023</v>
      </c>
      <c r="C24" s="81">
        <v>146194</v>
      </c>
      <c r="D24" s="81">
        <v>146091</v>
      </c>
      <c r="E24" s="81">
        <v>163812</v>
      </c>
      <c r="F24" s="81">
        <v>124270</v>
      </c>
      <c r="G24" s="81">
        <v>165155</v>
      </c>
      <c r="H24" s="199">
        <v>163168</v>
      </c>
      <c r="I24" s="117">
        <v>170648</v>
      </c>
      <c r="J24" s="117">
        <v>299136</v>
      </c>
      <c r="K24" s="129">
        <f t="shared" si="2"/>
        <v>0.75294172800150017</v>
      </c>
      <c r="L24" s="117">
        <v>166315</v>
      </c>
      <c r="M24" s="117">
        <v>224001</v>
      </c>
      <c r="N24" s="129">
        <f t="shared" si="3"/>
        <v>0.34684784896130838</v>
      </c>
      <c r="O24" s="83"/>
      <c r="P24" s="83"/>
      <c r="Q24" s="108"/>
      <c r="R24" s="84"/>
      <c r="S24" s="84"/>
      <c r="T24" s="84"/>
    </row>
    <row r="25" spans="1:20" s="85" customFormat="1" x14ac:dyDescent="0.3">
      <c r="A25" s="153" t="s">
        <v>38</v>
      </c>
      <c r="B25" s="81">
        <v>59396</v>
      </c>
      <c r="C25" s="81">
        <v>108992</v>
      </c>
      <c r="D25" s="81">
        <v>140644</v>
      </c>
      <c r="E25" s="81">
        <v>173147</v>
      </c>
      <c r="F25" s="81">
        <v>141613</v>
      </c>
      <c r="G25" s="81">
        <v>209038</v>
      </c>
      <c r="H25" s="199">
        <v>217244</v>
      </c>
      <c r="I25" s="117">
        <v>259622</v>
      </c>
      <c r="J25" s="117">
        <v>339737</v>
      </c>
      <c r="K25" s="129">
        <f t="shared" si="2"/>
        <v>0.30858324795279291</v>
      </c>
      <c r="L25" s="117">
        <v>349442</v>
      </c>
      <c r="M25" s="117">
        <v>440450</v>
      </c>
      <c r="N25" s="129">
        <f t="shared" si="3"/>
        <v>0.26043806983705453</v>
      </c>
      <c r="O25" s="83"/>
      <c r="P25" s="83"/>
      <c r="Q25" s="106"/>
      <c r="R25" s="84"/>
      <c r="S25" s="84"/>
      <c r="T25" s="84"/>
    </row>
    <row r="26" spans="1:20" s="85" customFormat="1" x14ac:dyDescent="0.3">
      <c r="A26" s="153" t="s">
        <v>30</v>
      </c>
      <c r="B26" s="81">
        <v>55165</v>
      </c>
      <c r="C26" s="81">
        <v>54299</v>
      </c>
      <c r="D26" s="81">
        <v>55981</v>
      </c>
      <c r="E26" s="81">
        <v>61484</v>
      </c>
      <c r="F26" s="81">
        <v>52025</v>
      </c>
      <c r="G26" s="81">
        <v>68247</v>
      </c>
      <c r="H26" s="199">
        <v>132822</v>
      </c>
      <c r="I26" s="117">
        <v>138203</v>
      </c>
      <c r="J26" s="117">
        <v>159523</v>
      </c>
      <c r="K26" s="129">
        <f t="shared" si="2"/>
        <v>0.15426582635688083</v>
      </c>
      <c r="L26" s="117">
        <v>103109</v>
      </c>
      <c r="M26" s="117">
        <v>114252</v>
      </c>
      <c r="N26" s="129">
        <f t="shared" si="3"/>
        <v>0.10807010057317984</v>
      </c>
      <c r="O26" s="83"/>
      <c r="P26" s="83"/>
      <c r="Q26" s="106"/>
      <c r="R26" s="84"/>
      <c r="S26" s="84"/>
      <c r="T26" s="84"/>
    </row>
    <row r="27" spans="1:20" s="85" customFormat="1" x14ac:dyDescent="0.3">
      <c r="A27" s="153" t="s">
        <v>31</v>
      </c>
      <c r="B27" s="81">
        <v>34448</v>
      </c>
      <c r="C27" s="81">
        <v>46282</v>
      </c>
      <c r="D27" s="81">
        <v>58521</v>
      </c>
      <c r="E27" s="81">
        <v>75362</v>
      </c>
      <c r="F27" s="81">
        <v>77811</v>
      </c>
      <c r="G27" s="81">
        <v>88387</v>
      </c>
      <c r="H27" s="199">
        <v>96429</v>
      </c>
      <c r="I27" s="117">
        <v>109969</v>
      </c>
      <c r="J27" s="117">
        <v>138378</v>
      </c>
      <c r="K27" s="129">
        <f t="shared" si="2"/>
        <v>0.25833644026953051</v>
      </c>
      <c r="L27" s="117">
        <v>67660</v>
      </c>
      <c r="M27" s="117">
        <v>75652</v>
      </c>
      <c r="N27" s="129">
        <f t="shared" si="3"/>
        <v>0.11812001182382501</v>
      </c>
      <c r="O27" s="83"/>
      <c r="P27" s="83"/>
      <c r="Q27" s="106"/>
      <c r="R27" s="84"/>
      <c r="S27" s="84"/>
      <c r="T27" s="84"/>
    </row>
    <row r="28" spans="1:20" s="85" customFormat="1" x14ac:dyDescent="0.3">
      <c r="A28" s="153" t="s">
        <v>32</v>
      </c>
      <c r="B28" s="81">
        <v>33024</v>
      </c>
      <c r="C28" s="81">
        <v>38698</v>
      </c>
      <c r="D28" s="81">
        <v>57731</v>
      </c>
      <c r="E28" s="81">
        <v>63828</v>
      </c>
      <c r="F28" s="81">
        <v>65860</v>
      </c>
      <c r="G28" s="81">
        <v>31651</v>
      </c>
      <c r="H28" s="199">
        <v>33608</v>
      </c>
      <c r="I28" s="117">
        <v>28288</v>
      </c>
      <c r="J28" s="117">
        <v>54184</v>
      </c>
      <c r="K28" s="129">
        <f t="shared" si="2"/>
        <v>0.9154411764705882</v>
      </c>
      <c r="L28" s="117">
        <v>156784</v>
      </c>
      <c r="M28" s="117">
        <v>223600</v>
      </c>
      <c r="N28" s="129">
        <f t="shared" si="3"/>
        <v>0.42616593529952035</v>
      </c>
      <c r="O28" s="83"/>
      <c r="P28" s="83"/>
      <c r="Q28" s="106"/>
      <c r="R28" s="84"/>
      <c r="S28" s="84"/>
      <c r="T28" s="84"/>
    </row>
    <row r="29" spans="1:20" s="85" customFormat="1" x14ac:dyDescent="0.3">
      <c r="A29" s="153" t="s">
        <v>24</v>
      </c>
      <c r="B29" s="81">
        <v>12261</v>
      </c>
      <c r="C29" s="81">
        <v>10307</v>
      </c>
      <c r="D29" s="81">
        <v>36889</v>
      </c>
      <c r="E29" s="81">
        <v>44153</v>
      </c>
      <c r="F29" s="81">
        <v>59601</v>
      </c>
      <c r="G29" s="81">
        <v>58990</v>
      </c>
      <c r="H29" s="199">
        <v>112430</v>
      </c>
      <c r="I29" s="117">
        <v>125466</v>
      </c>
      <c r="J29" s="117">
        <v>159573</v>
      </c>
      <c r="K29" s="129">
        <f t="shared" si="2"/>
        <v>0.27184257089570085</v>
      </c>
      <c r="L29" s="117">
        <v>160397</v>
      </c>
      <c r="M29" s="117">
        <v>224405</v>
      </c>
      <c r="N29" s="129">
        <f t="shared" si="3"/>
        <v>0.3990598327898901</v>
      </c>
      <c r="O29" s="83"/>
      <c r="P29" s="83"/>
      <c r="Q29" s="106"/>
      <c r="R29" s="84"/>
      <c r="S29" s="84"/>
      <c r="T29" s="84"/>
    </row>
    <row r="30" spans="1:20" s="85" customFormat="1" x14ac:dyDescent="0.3">
      <c r="A30" s="153" t="s">
        <v>0</v>
      </c>
      <c r="B30" s="81">
        <v>938</v>
      </c>
      <c r="C30" s="81">
        <v>1750</v>
      </c>
      <c r="D30" s="81">
        <v>1583</v>
      </c>
      <c r="E30" s="81">
        <v>2766</v>
      </c>
      <c r="F30" s="81">
        <v>2549</v>
      </c>
      <c r="G30" s="81">
        <v>1983</v>
      </c>
      <c r="H30" s="199">
        <v>5031</v>
      </c>
      <c r="I30" s="117">
        <v>3762</v>
      </c>
      <c r="J30" s="117">
        <v>3159</v>
      </c>
      <c r="K30" s="129">
        <f t="shared" si="2"/>
        <v>-0.16028708133971292</v>
      </c>
      <c r="L30" s="117">
        <v>4320</v>
      </c>
      <c r="M30" s="117">
        <v>2502</v>
      </c>
      <c r="N30" s="129">
        <f t="shared" si="3"/>
        <v>-0.42083333333333334</v>
      </c>
      <c r="O30" s="83"/>
      <c r="P30" s="83"/>
      <c r="Q30" s="106"/>
      <c r="R30" s="84"/>
      <c r="S30" s="84"/>
      <c r="T30" s="84"/>
    </row>
    <row r="31" spans="1:20" s="85" customFormat="1" x14ac:dyDescent="0.3">
      <c r="A31" s="153" t="s">
        <v>33</v>
      </c>
      <c r="B31" s="80">
        <v>347295</v>
      </c>
      <c r="C31" s="80">
        <v>1112399</v>
      </c>
      <c r="D31" s="80">
        <v>1215943</v>
      </c>
      <c r="E31" s="80">
        <v>1469369</v>
      </c>
      <c r="F31" s="80">
        <v>1538886</v>
      </c>
      <c r="G31" s="80">
        <v>1749777</v>
      </c>
      <c r="H31" s="202">
        <f>SUM(H23:H30)</f>
        <v>1440330</v>
      </c>
      <c r="I31" s="119">
        <f>SUM(I23:I30)</f>
        <v>1526312</v>
      </c>
      <c r="J31" s="119">
        <f>SUM(J23:J30)</f>
        <v>3150427</v>
      </c>
      <c r="K31" s="129">
        <f t="shared" si="2"/>
        <v>1.0640779866763808</v>
      </c>
      <c r="L31" s="119">
        <f>SUM(L23:L30)</f>
        <v>1706264</v>
      </c>
      <c r="M31" s="119">
        <f>SUM(M23:M30)</f>
        <v>3295745</v>
      </c>
      <c r="N31" s="129">
        <f t="shared" si="3"/>
        <v>0.93155631250498161</v>
      </c>
      <c r="O31" s="83"/>
      <c r="P31" s="83"/>
      <c r="Q31" s="106"/>
      <c r="R31" s="84"/>
      <c r="S31" s="84"/>
      <c r="T31" s="84"/>
    </row>
    <row r="32" spans="1:20" s="85" customFormat="1" x14ac:dyDescent="0.3">
      <c r="A32" s="153" t="s">
        <v>39</v>
      </c>
      <c r="B32" s="81">
        <v>2519</v>
      </c>
      <c r="C32" s="81">
        <v>2618</v>
      </c>
      <c r="D32" s="81">
        <v>2964</v>
      </c>
      <c r="E32" s="81">
        <v>2751</v>
      </c>
      <c r="F32" s="81">
        <v>3611</v>
      </c>
      <c r="G32" s="81">
        <v>11268</v>
      </c>
      <c r="H32" s="199">
        <v>16209</v>
      </c>
      <c r="I32" s="117">
        <v>16294</v>
      </c>
      <c r="J32" s="117">
        <v>19208</v>
      </c>
      <c r="K32" s="129">
        <f t="shared" si="2"/>
        <v>0.17883883638149012</v>
      </c>
      <c r="L32" s="117">
        <v>5700</v>
      </c>
      <c r="M32" s="117">
        <v>19809</v>
      </c>
      <c r="N32" s="129">
        <f t="shared" si="3"/>
        <v>2.4752631578947368</v>
      </c>
      <c r="O32" s="83"/>
      <c r="P32" s="83"/>
      <c r="Q32" s="106"/>
      <c r="R32" s="84"/>
      <c r="S32" s="84"/>
      <c r="T32" s="84"/>
    </row>
    <row r="33" spans="1:20" s="85" customFormat="1" x14ac:dyDescent="0.3">
      <c r="A33" s="155" t="s">
        <v>34</v>
      </c>
      <c r="B33" s="97">
        <v>3672343</v>
      </c>
      <c r="C33" s="97">
        <v>3917884</v>
      </c>
      <c r="D33" s="97">
        <v>4129395</v>
      </c>
      <c r="E33" s="97">
        <v>3864433</v>
      </c>
      <c r="F33" s="97">
        <v>5386629</v>
      </c>
      <c r="G33" s="97">
        <v>6323646</v>
      </c>
      <c r="H33" s="203">
        <v>6474630</v>
      </c>
      <c r="I33" s="120">
        <f>I20-I31-I32</f>
        <v>7408958</v>
      </c>
      <c r="J33" s="120">
        <f>J20-J31-J32</f>
        <v>7410863</v>
      </c>
      <c r="K33" s="131">
        <f t="shared" si="2"/>
        <v>2.5712117682405542E-4</v>
      </c>
      <c r="L33" s="120">
        <f>L20-L31-L32</f>
        <v>7344516</v>
      </c>
      <c r="M33" s="120">
        <f>M20-M31-M32</f>
        <v>7547567</v>
      </c>
      <c r="N33" s="131">
        <f t="shared" si="3"/>
        <v>2.7646614154016411E-2</v>
      </c>
      <c r="O33" s="83"/>
      <c r="P33" s="83"/>
      <c r="Q33" s="108"/>
      <c r="R33" s="84"/>
      <c r="S33" s="84"/>
      <c r="T33" s="84"/>
    </row>
    <row r="34" spans="1:20" s="85" customFormat="1" ht="15.75" thickBot="1" x14ac:dyDescent="0.35">
      <c r="A34" s="151" t="s">
        <v>35</v>
      </c>
      <c r="B34" s="91">
        <v>4022157</v>
      </c>
      <c r="C34" s="91">
        <v>5032901</v>
      </c>
      <c r="D34" s="91">
        <v>5348302</v>
      </c>
      <c r="E34" s="91">
        <v>5336553</v>
      </c>
      <c r="F34" s="91">
        <v>6929126</v>
      </c>
      <c r="G34" s="91">
        <v>8084691</v>
      </c>
      <c r="H34" s="200">
        <f>+H31+H32+H33</f>
        <v>7931169</v>
      </c>
      <c r="I34" s="118">
        <f>+I31+I32+I33</f>
        <v>8951564</v>
      </c>
      <c r="J34" s="118">
        <f>+J31+J32+J33</f>
        <v>10580498</v>
      </c>
      <c r="K34" s="130">
        <f t="shared" si="2"/>
        <v>0.18197199952991455</v>
      </c>
      <c r="L34" s="118">
        <f>+L31+L32+L33</f>
        <v>9056480</v>
      </c>
      <c r="M34" s="118">
        <f>+M31+M32+M33</f>
        <v>10863121</v>
      </c>
      <c r="N34" s="130">
        <f t="shared" si="3"/>
        <v>0.19948600339204636</v>
      </c>
      <c r="O34" s="83"/>
      <c r="P34" s="83"/>
      <c r="Q34" s="108"/>
      <c r="R34" s="84"/>
      <c r="S34" s="84"/>
      <c r="T34" s="84"/>
    </row>
    <row r="35" spans="1:20" s="85" customFormat="1" x14ac:dyDescent="0.3">
      <c r="H35" s="81"/>
      <c r="I35" s="81"/>
      <c r="J35" s="81"/>
      <c r="K35" s="81"/>
      <c r="L35" s="82"/>
      <c r="M35" s="107"/>
      <c r="N35" s="83"/>
      <c r="O35" s="83"/>
      <c r="P35" s="108"/>
      <c r="Q35" s="84"/>
      <c r="R35" s="84"/>
      <c r="S35" s="84"/>
    </row>
    <row r="36" spans="1:20" ht="21" x14ac:dyDescent="0.35">
      <c r="A36" s="116" t="s">
        <v>91</v>
      </c>
      <c r="B36" s="116"/>
      <c r="C36" s="116"/>
      <c r="D36" s="116"/>
      <c r="E36" s="116"/>
      <c r="F36" s="116"/>
      <c r="G36" s="116"/>
    </row>
    <row r="37" spans="1:20" ht="15.75" x14ac:dyDescent="0.3">
      <c r="A37" s="78" t="s">
        <v>126</v>
      </c>
      <c r="B37" s="78"/>
      <c r="C37" s="78"/>
      <c r="D37" s="78"/>
      <c r="E37" s="78"/>
      <c r="F37" s="78"/>
      <c r="G37" s="78"/>
    </row>
    <row r="38" spans="1:20" x14ac:dyDescent="0.3">
      <c r="A38" s="79" t="s">
        <v>88</v>
      </c>
      <c r="B38" s="79"/>
      <c r="C38" s="79"/>
      <c r="D38" s="79"/>
      <c r="E38" s="79"/>
      <c r="F38" s="79"/>
      <c r="G38" s="79"/>
    </row>
    <row r="39" spans="1:20" s="85" customFormat="1" ht="15.75" thickBot="1" x14ac:dyDescent="0.35">
      <c r="A39" s="86"/>
      <c r="B39" s="144">
        <v>2005</v>
      </c>
      <c r="C39" s="144">
        <v>2006</v>
      </c>
      <c r="D39" s="144">
        <v>2007</v>
      </c>
      <c r="E39" s="144">
        <v>2008</v>
      </c>
      <c r="F39" s="144">
        <v>2009</v>
      </c>
      <c r="G39" s="144">
        <v>2010</v>
      </c>
      <c r="H39" s="198">
        <v>2011</v>
      </c>
      <c r="I39" s="145">
        <v>2012</v>
      </c>
      <c r="J39" s="146" t="s">
        <v>55</v>
      </c>
      <c r="K39" s="145">
        <v>2013</v>
      </c>
      <c r="L39" s="146" t="s">
        <v>55</v>
      </c>
      <c r="M39" s="147" t="s">
        <v>46</v>
      </c>
      <c r="N39" s="145" t="s">
        <v>95</v>
      </c>
      <c r="O39" s="146" t="s">
        <v>55</v>
      </c>
      <c r="P39" s="145" t="s">
        <v>124</v>
      </c>
      <c r="Q39" s="146" t="s">
        <v>55</v>
      </c>
      <c r="R39" s="147" t="s">
        <v>46</v>
      </c>
      <c r="S39" s="144"/>
    </row>
    <row r="40" spans="1:20" s="95" customFormat="1" x14ac:dyDescent="0.3">
      <c r="A40" s="148" t="s">
        <v>4</v>
      </c>
      <c r="B40" s="110">
        <v>2297199</v>
      </c>
      <c r="C40" s="110">
        <v>2872015</v>
      </c>
      <c r="D40" s="110">
        <v>3449517</v>
      </c>
      <c r="E40" s="110">
        <v>4009727</v>
      </c>
      <c r="F40" s="110">
        <v>4588366</v>
      </c>
      <c r="G40" s="110">
        <v>4458858</v>
      </c>
      <c r="H40" s="204">
        <v>5057382.6182662696</v>
      </c>
      <c r="I40" s="185">
        <v>5305782</v>
      </c>
      <c r="J40" s="138">
        <v>1</v>
      </c>
      <c r="K40" s="185">
        <v>5898466</v>
      </c>
      <c r="L40" s="138">
        <v>1</v>
      </c>
      <c r="M40" s="129">
        <f t="shared" ref="M40:M57" si="4">IF(I40&lt;&gt;0,(K40-I40)/I40,0)</f>
        <v>0.11170530564580301</v>
      </c>
      <c r="N40" s="132">
        <v>1242052</v>
      </c>
      <c r="O40" s="138">
        <v>1</v>
      </c>
      <c r="P40" s="132">
        <v>1572825</v>
      </c>
      <c r="Q40" s="138">
        <v>1</v>
      </c>
      <c r="R40" s="129">
        <f t="shared" ref="R40:R57" si="5">IF(N40&lt;&gt;0,(P40-N40)/N40,0)</f>
        <v>0.2663117164176701</v>
      </c>
      <c r="S40" s="111"/>
      <c r="T40" s="85"/>
    </row>
    <row r="41" spans="1:20" s="85" customFormat="1" x14ac:dyDescent="0.3">
      <c r="A41" s="149" t="s">
        <v>50</v>
      </c>
      <c r="B41" s="112">
        <v>-1428204</v>
      </c>
      <c r="C41" s="112">
        <v>-1760636</v>
      </c>
      <c r="D41" s="112">
        <v>-2035308</v>
      </c>
      <c r="E41" s="112">
        <v>-2384094</v>
      </c>
      <c r="F41" s="112">
        <v>-2818189</v>
      </c>
      <c r="G41" s="112">
        <v>-2587907.8744791602</v>
      </c>
      <c r="H41" s="205">
        <v>-3030201.8461819952</v>
      </c>
      <c r="I41" s="188">
        <v>-3064460</v>
      </c>
      <c r="J41" s="129">
        <f t="shared" ref="J41:J59" si="6">+I41/$I$40</f>
        <v>-0.57756990392745122</v>
      </c>
      <c r="K41" s="188">
        <v>-3260968</v>
      </c>
      <c r="L41" s="129">
        <f t="shared" ref="L41:L59" si="7">+K41/$K$40</f>
        <v>-0.55285018172521461</v>
      </c>
      <c r="M41" s="129">
        <f t="shared" si="4"/>
        <v>6.412483765492126E-2</v>
      </c>
      <c r="N41" s="133">
        <v>-682801</v>
      </c>
      <c r="O41" s="129">
        <f>+N41/$N$40</f>
        <v>-0.54973624292702716</v>
      </c>
      <c r="P41" s="133">
        <v>-875730</v>
      </c>
      <c r="Q41" s="129">
        <f>+P41/$P$40</f>
        <v>-0.55678794525773689</v>
      </c>
      <c r="R41" s="129">
        <f t="shared" si="5"/>
        <v>0.28255523937428328</v>
      </c>
      <c r="S41" s="101"/>
    </row>
    <row r="42" spans="1:20" s="95" customFormat="1" x14ac:dyDescent="0.3">
      <c r="A42" s="148" t="s">
        <v>6</v>
      </c>
      <c r="B42" s="80">
        <v>868995</v>
      </c>
      <c r="C42" s="80">
        <v>1111379</v>
      </c>
      <c r="D42" s="80">
        <v>1414209</v>
      </c>
      <c r="E42" s="80">
        <v>1625633</v>
      </c>
      <c r="F42" s="80">
        <v>1770177</v>
      </c>
      <c r="G42" s="80">
        <v>1870950.1255208398</v>
      </c>
      <c r="H42" s="202">
        <f>SUM(H40:H41)</f>
        <v>2027180.7720842743</v>
      </c>
      <c r="I42" s="180">
        <f>SUM(I40:I41)</f>
        <v>2241322</v>
      </c>
      <c r="J42" s="138">
        <f t="shared" si="6"/>
        <v>0.42243009607254878</v>
      </c>
      <c r="K42" s="180">
        <f>SUM(K40:K41)</f>
        <v>2637498</v>
      </c>
      <c r="L42" s="138">
        <f t="shared" si="7"/>
        <v>0.44714981827478534</v>
      </c>
      <c r="M42" s="129">
        <f t="shared" si="4"/>
        <v>0.1767599657702017</v>
      </c>
      <c r="N42" s="134">
        <f>SUM(N40:N41)</f>
        <v>559251</v>
      </c>
      <c r="O42" s="138">
        <f t="shared" ref="O42:O59" si="8">+N42/$N$40</f>
        <v>0.45026375707297278</v>
      </c>
      <c r="P42" s="134">
        <f>SUM(P40:P41)</f>
        <v>697095</v>
      </c>
      <c r="Q42" s="138">
        <f t="shared" ref="Q42:Q59" si="9">+P42/$P$40</f>
        <v>0.44321205474226311</v>
      </c>
      <c r="R42" s="129">
        <f t="shared" si="5"/>
        <v>0.24647966655401599</v>
      </c>
      <c r="S42" s="111"/>
      <c r="T42" s="85"/>
    </row>
    <row r="43" spans="1:20" s="85" customFormat="1" x14ac:dyDescent="0.3">
      <c r="A43" s="149" t="s">
        <v>7</v>
      </c>
      <c r="B43" s="81">
        <v>-95853</v>
      </c>
      <c r="C43" s="81">
        <v>-127200</v>
      </c>
      <c r="D43" s="81">
        <v>-165507</v>
      </c>
      <c r="E43" s="81">
        <v>-183777</v>
      </c>
      <c r="F43" s="81">
        <v>-218875</v>
      </c>
      <c r="G43" s="81">
        <v>-212941</v>
      </c>
      <c r="H43" s="199">
        <v>-250061.17590559012</v>
      </c>
      <c r="I43" s="177">
        <v>-270303</v>
      </c>
      <c r="J43" s="129">
        <f t="shared" si="6"/>
        <v>-5.0944987939572341E-2</v>
      </c>
      <c r="K43" s="177">
        <v>-347578</v>
      </c>
      <c r="L43" s="129">
        <f t="shared" si="7"/>
        <v>-5.8926846403793802E-2</v>
      </c>
      <c r="M43" s="129">
        <f t="shared" si="4"/>
        <v>0.28588287958328246</v>
      </c>
      <c r="N43" s="135">
        <v>-64873</v>
      </c>
      <c r="O43" s="129">
        <f t="shared" si="8"/>
        <v>-5.223050242662948E-2</v>
      </c>
      <c r="P43" s="135">
        <v>-103109</v>
      </c>
      <c r="Q43" s="129">
        <f t="shared" si="9"/>
        <v>-6.5556562236739627E-2</v>
      </c>
      <c r="R43" s="129">
        <f t="shared" si="5"/>
        <v>0.58939774636597664</v>
      </c>
      <c r="S43" s="101"/>
    </row>
    <row r="44" spans="1:20" s="85" customFormat="1" x14ac:dyDescent="0.3">
      <c r="A44" s="149" t="s">
        <v>8</v>
      </c>
      <c r="B44" s="81">
        <v>-509961</v>
      </c>
      <c r="C44" s="81">
        <v>-684105</v>
      </c>
      <c r="D44" s="81">
        <v>-815817</v>
      </c>
      <c r="E44" s="81">
        <v>-975970</v>
      </c>
      <c r="F44" s="81">
        <v>-1102578</v>
      </c>
      <c r="G44" s="81">
        <v>-1103652</v>
      </c>
      <c r="H44" s="199">
        <v>-1221301.5797654777</v>
      </c>
      <c r="I44" s="177">
        <v>-1326976</v>
      </c>
      <c r="J44" s="129">
        <f t="shared" si="6"/>
        <v>-0.25009998526136201</v>
      </c>
      <c r="K44" s="177">
        <v>-1505166</v>
      </c>
      <c r="L44" s="129">
        <f t="shared" si="7"/>
        <v>-0.25517922795520054</v>
      </c>
      <c r="M44" s="129">
        <f t="shared" si="4"/>
        <v>0.13428276020063665</v>
      </c>
      <c r="N44" s="135">
        <v>-325559</v>
      </c>
      <c r="O44" s="129">
        <f t="shared" si="8"/>
        <v>-0.26211382454196763</v>
      </c>
      <c r="P44" s="135">
        <v>-400920</v>
      </c>
      <c r="Q44" s="129">
        <f t="shared" si="9"/>
        <v>-0.25490439177912355</v>
      </c>
      <c r="R44" s="129">
        <f t="shared" si="5"/>
        <v>0.23148185121590864</v>
      </c>
      <c r="S44" s="101"/>
    </row>
    <row r="45" spans="1:20" s="85" customFormat="1" x14ac:dyDescent="0.3">
      <c r="A45" s="149" t="s">
        <v>84</v>
      </c>
      <c r="B45" s="81"/>
      <c r="C45" s="81"/>
      <c r="D45" s="81"/>
      <c r="E45" s="81"/>
      <c r="F45" s="81"/>
      <c r="G45" s="81">
        <v>-121613</v>
      </c>
      <c r="H45" s="199">
        <v>-123323</v>
      </c>
      <c r="I45" s="177">
        <v>-122931</v>
      </c>
      <c r="J45" s="129">
        <f t="shared" si="6"/>
        <v>-2.3169251959466106E-2</v>
      </c>
      <c r="K45" s="177">
        <v>-134527</v>
      </c>
      <c r="L45" s="129">
        <f t="shared" si="7"/>
        <v>-2.2807116290913605E-2</v>
      </c>
      <c r="M45" s="129">
        <f t="shared" si="4"/>
        <v>9.4329339222816055E-2</v>
      </c>
      <c r="N45" s="135">
        <v>-27738</v>
      </c>
      <c r="O45" s="129">
        <f t="shared" si="8"/>
        <v>-2.2332398321487344E-2</v>
      </c>
      <c r="P45" s="135">
        <v>-29371</v>
      </c>
      <c r="Q45" s="129">
        <f t="shared" si="9"/>
        <v>-1.8674041930920478E-2</v>
      </c>
      <c r="R45" s="129">
        <f t="shared" si="5"/>
        <v>5.887230514096186E-2</v>
      </c>
      <c r="S45" s="101"/>
    </row>
    <row r="46" spans="1:20" s="95" customFormat="1" x14ac:dyDescent="0.3">
      <c r="A46" s="148" t="s">
        <v>9</v>
      </c>
      <c r="B46" s="80">
        <v>-605814</v>
      </c>
      <c r="C46" s="80">
        <v>-811305</v>
      </c>
      <c r="D46" s="80">
        <v>-981324</v>
      </c>
      <c r="E46" s="80">
        <v>-1159747</v>
      </c>
      <c r="F46" s="80">
        <v>-1321453</v>
      </c>
      <c r="G46" s="80">
        <v>-1438206</v>
      </c>
      <c r="H46" s="202">
        <f>SUM(H43:H45)</f>
        <v>-1594685.7556710679</v>
      </c>
      <c r="I46" s="180">
        <f>SUM(I43:I45)</f>
        <v>-1720210</v>
      </c>
      <c r="J46" s="138">
        <f t="shared" si="6"/>
        <v>-0.32421422516040049</v>
      </c>
      <c r="K46" s="180">
        <f>SUM(K43:K45)</f>
        <v>-1987271</v>
      </c>
      <c r="L46" s="138">
        <f t="shared" si="7"/>
        <v>-0.33691319064990793</v>
      </c>
      <c r="M46" s="129">
        <f t="shared" si="4"/>
        <v>0.15524906842769196</v>
      </c>
      <c r="N46" s="134">
        <f>SUM(N43:N45)</f>
        <v>-418170</v>
      </c>
      <c r="O46" s="138">
        <f t="shared" si="8"/>
        <v>-0.33667672529008447</v>
      </c>
      <c r="P46" s="134">
        <f>SUM(P43:P45)</f>
        <v>-533400</v>
      </c>
      <c r="Q46" s="138">
        <f t="shared" si="9"/>
        <v>-0.33913499594678365</v>
      </c>
      <c r="R46" s="129">
        <f t="shared" si="5"/>
        <v>0.27555778750269028</v>
      </c>
      <c r="S46" s="111"/>
      <c r="T46" s="85"/>
    </row>
    <row r="47" spans="1:20" s="95" customFormat="1" x14ac:dyDescent="0.3">
      <c r="A47" s="148" t="s">
        <v>1</v>
      </c>
      <c r="B47" s="80">
        <v>263181</v>
      </c>
      <c r="C47" s="80">
        <v>300074</v>
      </c>
      <c r="D47" s="80">
        <v>432885</v>
      </c>
      <c r="E47" s="80">
        <v>465886</v>
      </c>
      <c r="F47" s="80">
        <v>448724</v>
      </c>
      <c r="G47" s="80">
        <v>432744.12552083982</v>
      </c>
      <c r="H47" s="202">
        <f>+H42+H46</f>
        <v>432495.01641320647</v>
      </c>
      <c r="I47" s="180">
        <f>+I42+I46</f>
        <v>521112</v>
      </c>
      <c r="J47" s="138">
        <f t="shared" si="6"/>
        <v>9.8215870912148298E-2</v>
      </c>
      <c r="K47" s="180">
        <f>+K42+K46</f>
        <v>650227</v>
      </c>
      <c r="L47" s="138">
        <f t="shared" si="7"/>
        <v>0.11023662762487739</v>
      </c>
      <c r="M47" s="129">
        <f t="shared" si="4"/>
        <v>0.24776823408403567</v>
      </c>
      <c r="N47" s="134">
        <f>+N42+N46</f>
        <v>141081</v>
      </c>
      <c r="O47" s="138">
        <f t="shared" si="8"/>
        <v>0.11358703178288831</v>
      </c>
      <c r="P47" s="134">
        <f>+P42+P46</f>
        <v>163695</v>
      </c>
      <c r="Q47" s="138">
        <f t="shared" si="9"/>
        <v>0.10407705879547947</v>
      </c>
      <c r="R47" s="129">
        <f t="shared" si="5"/>
        <v>0.16029089671890617</v>
      </c>
      <c r="S47" s="111"/>
      <c r="T47" s="85"/>
    </row>
    <row r="48" spans="1:20" s="85" customFormat="1" x14ac:dyDescent="0.3">
      <c r="A48" s="149" t="s">
        <v>51</v>
      </c>
      <c r="B48" s="81">
        <v>14213</v>
      </c>
      <c r="C48" s="81">
        <v>13821</v>
      </c>
      <c r="D48" s="81">
        <v>11386</v>
      </c>
      <c r="E48" s="81">
        <v>11580</v>
      </c>
      <c r="F48" s="81">
        <v>9537</v>
      </c>
      <c r="G48" s="81">
        <v>8084</v>
      </c>
      <c r="H48" s="199">
        <v>7592</v>
      </c>
      <c r="I48" s="177">
        <v>12296</v>
      </c>
      <c r="J48" s="129">
        <f t="shared" si="6"/>
        <v>2.3174717694771476E-3</v>
      </c>
      <c r="K48" s="177">
        <v>12207</v>
      </c>
      <c r="L48" s="129">
        <f t="shared" si="7"/>
        <v>2.0695211263403062E-3</v>
      </c>
      <c r="M48" s="129">
        <f t="shared" si="4"/>
        <v>-7.2381262199089132E-3</v>
      </c>
      <c r="N48" s="135">
        <v>2375</v>
      </c>
      <c r="O48" s="129">
        <f t="shared" si="8"/>
        <v>1.912158267125692E-3</v>
      </c>
      <c r="P48" s="135">
        <v>7447</v>
      </c>
      <c r="Q48" s="129">
        <f t="shared" si="9"/>
        <v>4.7347924912180313E-3</v>
      </c>
      <c r="R48" s="129">
        <f t="shared" si="5"/>
        <v>2.1355789473684212</v>
      </c>
      <c r="S48" s="101"/>
    </row>
    <row r="49" spans="1:20" s="85" customFormat="1" x14ac:dyDescent="0.3">
      <c r="A49" s="149" t="s">
        <v>11</v>
      </c>
      <c r="B49" s="81">
        <v>-25197</v>
      </c>
      <c r="C49" s="81">
        <v>-64413</v>
      </c>
      <c r="D49" s="81">
        <v>-84176</v>
      </c>
      <c r="E49" s="81">
        <v>-88738</v>
      </c>
      <c r="F49" s="81">
        <v>-103331</v>
      </c>
      <c r="G49" s="81">
        <v>-79867</v>
      </c>
      <c r="H49" s="199">
        <v>-84666</v>
      </c>
      <c r="I49" s="177">
        <v>-70722</v>
      </c>
      <c r="J49" s="129">
        <f t="shared" si="6"/>
        <v>-1.3329232147117993E-2</v>
      </c>
      <c r="K49" s="177">
        <v>-101111</v>
      </c>
      <c r="L49" s="129">
        <f t="shared" si="7"/>
        <v>-1.7141914524895118E-2</v>
      </c>
      <c r="M49" s="129">
        <f t="shared" si="4"/>
        <v>0.42969655835525011</v>
      </c>
      <c r="N49" s="135">
        <v>-16818</v>
      </c>
      <c r="O49" s="129">
        <f t="shared" si="8"/>
        <v>-1.3540495889061005E-2</v>
      </c>
      <c r="P49" s="135">
        <v>-39145</v>
      </c>
      <c r="Q49" s="129">
        <f t="shared" si="9"/>
        <v>-2.4888337863398662E-2</v>
      </c>
      <c r="R49" s="129">
        <f t="shared" si="5"/>
        <v>1.3275657034130099</v>
      </c>
      <c r="S49" s="101"/>
    </row>
    <row r="50" spans="1:20" s="85" customFormat="1" x14ac:dyDescent="0.3">
      <c r="A50" s="149" t="s">
        <v>12</v>
      </c>
      <c r="B50" s="81">
        <v>-24458</v>
      </c>
      <c r="C50" s="81">
        <v>-32576</v>
      </c>
      <c r="D50" s="81">
        <v>-17533</v>
      </c>
      <c r="E50" s="81">
        <v>-27906</v>
      </c>
      <c r="F50" s="81">
        <v>-1787</v>
      </c>
      <c r="G50" s="81">
        <v>-28926</v>
      </c>
      <c r="H50" s="199">
        <v>-3636</v>
      </c>
      <c r="I50" s="177">
        <v>1782</v>
      </c>
      <c r="J50" s="129">
        <f t="shared" si="6"/>
        <v>3.3586001083346433E-4</v>
      </c>
      <c r="K50" s="177">
        <v>8732</v>
      </c>
      <c r="L50" s="129">
        <f t="shared" si="7"/>
        <v>1.4803849000740192E-3</v>
      </c>
      <c r="M50" s="129">
        <f t="shared" si="4"/>
        <v>3.9001122334455669</v>
      </c>
      <c r="N50" s="135">
        <v>-1758</v>
      </c>
      <c r="O50" s="129">
        <f t="shared" si="8"/>
        <v>-1.4153996773081964E-3</v>
      </c>
      <c r="P50" s="135">
        <v>7445</v>
      </c>
      <c r="Q50" s="129">
        <f t="shared" si="9"/>
        <v>4.7335208939328919E-3</v>
      </c>
      <c r="R50" s="129">
        <f t="shared" si="5"/>
        <v>-5.2349260523321961</v>
      </c>
      <c r="S50" s="101"/>
    </row>
    <row r="51" spans="1:20" s="85" customFormat="1" x14ac:dyDescent="0.3">
      <c r="A51" s="149" t="s">
        <v>52</v>
      </c>
      <c r="B51" s="81">
        <v>-1493</v>
      </c>
      <c r="C51" s="81">
        <v>-70809</v>
      </c>
      <c r="D51" s="81">
        <v>-27554</v>
      </c>
      <c r="E51" s="81">
        <v>-96678</v>
      </c>
      <c r="F51" s="81">
        <v>-89202</v>
      </c>
      <c r="G51" s="81">
        <v>-23551</v>
      </c>
      <c r="H51" s="199">
        <v>-26933</v>
      </c>
      <c r="I51" s="177">
        <v>-13536</v>
      </c>
      <c r="J51" s="129">
        <f t="shared" si="6"/>
        <v>-2.5511790721895471E-3</v>
      </c>
      <c r="K51" s="177">
        <v>-54534</v>
      </c>
      <c r="L51" s="129">
        <f t="shared" si="7"/>
        <v>-9.245454665670701E-3</v>
      </c>
      <c r="M51" s="129">
        <f t="shared" si="4"/>
        <v>3.0288120567375887</v>
      </c>
      <c r="N51" s="135">
        <v>-7981</v>
      </c>
      <c r="O51" s="129">
        <f t="shared" si="8"/>
        <v>-6.4256568968126936E-3</v>
      </c>
      <c r="P51" s="135">
        <v>-8069</v>
      </c>
      <c r="Q51" s="129">
        <f t="shared" si="9"/>
        <v>-5.1302592468965083E-3</v>
      </c>
      <c r="R51" s="129">
        <f t="shared" si="5"/>
        <v>1.1026187194587145E-2</v>
      </c>
      <c r="S51" s="101"/>
    </row>
    <row r="52" spans="1:20" s="85" customFormat="1" x14ac:dyDescent="0.3">
      <c r="A52" s="149" t="s">
        <v>14</v>
      </c>
      <c r="B52" s="81">
        <v>22218</v>
      </c>
      <c r="C52" s="81">
        <v>29348</v>
      </c>
      <c r="D52" s="81">
        <v>25763</v>
      </c>
      <c r="E52" s="81">
        <v>27907</v>
      </c>
      <c r="F52" s="81">
        <v>28975</v>
      </c>
      <c r="G52" s="81">
        <v>30996</v>
      </c>
      <c r="H52" s="199">
        <v>33531</v>
      </c>
      <c r="I52" s="177">
        <v>35188</v>
      </c>
      <c r="J52" s="129">
        <f t="shared" si="6"/>
        <v>6.6320101353579929E-3</v>
      </c>
      <c r="K52" s="177">
        <v>39510</v>
      </c>
      <c r="L52" s="129">
        <f t="shared" si="7"/>
        <v>6.6983517409441706E-3</v>
      </c>
      <c r="M52" s="129">
        <f t="shared" si="4"/>
        <v>0.12282596339661248</v>
      </c>
      <c r="N52" s="135">
        <v>8803</v>
      </c>
      <c r="O52" s="129">
        <f t="shared" si="8"/>
        <v>7.0874649370557758E-3</v>
      </c>
      <c r="P52" s="135">
        <v>9657</v>
      </c>
      <c r="Q52" s="129">
        <f t="shared" si="9"/>
        <v>6.1399074912975062E-3</v>
      </c>
      <c r="R52" s="129">
        <f t="shared" si="5"/>
        <v>9.7012382142451434E-2</v>
      </c>
      <c r="S52" s="101"/>
    </row>
    <row r="53" spans="1:20" s="85" customFormat="1" x14ac:dyDescent="0.3">
      <c r="A53" s="149" t="s">
        <v>16</v>
      </c>
      <c r="B53" s="81">
        <v>18955</v>
      </c>
      <c r="C53" s="81">
        <v>71319</v>
      </c>
      <c r="D53" s="81">
        <v>6759</v>
      </c>
      <c r="E53" s="81">
        <v>80511</v>
      </c>
      <c r="F53" s="81">
        <v>2124</v>
      </c>
      <c r="G53" s="81">
        <v>1513.7364279999999</v>
      </c>
      <c r="H53" s="199">
        <v>11185</v>
      </c>
      <c r="I53" s="177">
        <v>0</v>
      </c>
      <c r="J53" s="129">
        <f t="shared" si="6"/>
        <v>0</v>
      </c>
      <c r="K53" s="177">
        <v>107</v>
      </c>
      <c r="L53" s="129">
        <f t="shared" si="7"/>
        <v>1.8140309700861208E-5</v>
      </c>
      <c r="M53" s="129">
        <f t="shared" si="4"/>
        <v>0</v>
      </c>
      <c r="N53" s="135">
        <v>0</v>
      </c>
      <c r="O53" s="129">
        <f t="shared" si="8"/>
        <v>0</v>
      </c>
      <c r="P53" s="135">
        <v>0</v>
      </c>
      <c r="Q53" s="129">
        <f t="shared" si="9"/>
        <v>0</v>
      </c>
      <c r="R53" s="129">
        <f t="shared" si="5"/>
        <v>0</v>
      </c>
      <c r="S53" s="101"/>
    </row>
    <row r="54" spans="1:20" s="95" customFormat="1" x14ac:dyDescent="0.3">
      <c r="A54" s="148" t="s">
        <v>2</v>
      </c>
      <c r="B54" s="80">
        <v>4238</v>
      </c>
      <c r="C54" s="80">
        <v>-53310</v>
      </c>
      <c r="D54" s="80">
        <v>-85355</v>
      </c>
      <c r="E54" s="80">
        <v>-93324</v>
      </c>
      <c r="F54" s="80">
        <v>-153684</v>
      </c>
      <c r="G54" s="80">
        <v>-91750.263571999996</v>
      </c>
      <c r="H54" s="202">
        <f>SUM(H48:H53)</f>
        <v>-62927</v>
      </c>
      <c r="I54" s="180">
        <f>SUM(I48:I53)</f>
        <v>-34992</v>
      </c>
      <c r="J54" s="138">
        <f t="shared" si="6"/>
        <v>-6.5950693036389355E-3</v>
      </c>
      <c r="K54" s="180">
        <f>SUM(K48:K53)</f>
        <v>-95089</v>
      </c>
      <c r="L54" s="138">
        <f t="shared" si="7"/>
        <v>-1.6120971113506462E-2</v>
      </c>
      <c r="M54" s="129">
        <f t="shared" si="4"/>
        <v>1.7174497027892091</v>
      </c>
      <c r="N54" s="134">
        <f>SUM(N48:N53)</f>
        <v>-15379</v>
      </c>
      <c r="O54" s="138">
        <f t="shared" si="8"/>
        <v>-1.2381929259000429E-2</v>
      </c>
      <c r="P54" s="134">
        <f>SUM(P48:P53)</f>
        <v>-22665</v>
      </c>
      <c r="Q54" s="138">
        <f t="shared" si="9"/>
        <v>-1.4410376233846741E-2</v>
      </c>
      <c r="R54" s="129">
        <f t="shared" si="5"/>
        <v>0.4737629234670655</v>
      </c>
      <c r="S54" s="111"/>
      <c r="T54" s="85"/>
    </row>
    <row r="55" spans="1:20" s="95" customFormat="1" x14ac:dyDescent="0.3">
      <c r="A55" s="148" t="s">
        <v>41</v>
      </c>
      <c r="B55" s="80">
        <v>267419</v>
      </c>
      <c r="C55" s="80">
        <v>246764</v>
      </c>
      <c r="D55" s="80">
        <v>347530</v>
      </c>
      <c r="E55" s="80">
        <v>372562</v>
      </c>
      <c r="F55" s="80">
        <v>295040</v>
      </c>
      <c r="G55" s="80">
        <v>340993.86194883985</v>
      </c>
      <c r="H55" s="202">
        <f>+H47+H54</f>
        <v>369568.01641320647</v>
      </c>
      <c r="I55" s="180">
        <f>+I47+I54</f>
        <v>486120</v>
      </c>
      <c r="J55" s="138">
        <f t="shared" si="6"/>
        <v>9.1620801608509356E-2</v>
      </c>
      <c r="K55" s="180">
        <f>+K47+K54</f>
        <v>555138</v>
      </c>
      <c r="L55" s="138">
        <f t="shared" si="7"/>
        <v>9.4115656511370924E-2</v>
      </c>
      <c r="M55" s="129">
        <f t="shared" si="4"/>
        <v>0.1419772895581338</v>
      </c>
      <c r="N55" s="134">
        <f>+N47+N54</f>
        <v>125702</v>
      </c>
      <c r="O55" s="138">
        <f t="shared" si="8"/>
        <v>0.10120510252388788</v>
      </c>
      <c r="P55" s="134">
        <f>+P47+P54</f>
        <v>141030</v>
      </c>
      <c r="Q55" s="138">
        <f t="shared" si="9"/>
        <v>8.9666682561632724E-2</v>
      </c>
      <c r="R55" s="129">
        <f t="shared" si="5"/>
        <v>0.12193918951170228</v>
      </c>
      <c r="S55" s="111"/>
      <c r="T55" s="85"/>
    </row>
    <row r="56" spans="1:20" s="85" customFormat="1" x14ac:dyDescent="0.3">
      <c r="A56" s="149" t="s">
        <v>15</v>
      </c>
      <c r="B56" s="81">
        <v>-84076</v>
      </c>
      <c r="C56" s="81">
        <v>-70246</v>
      </c>
      <c r="D56" s="81">
        <v>-99987</v>
      </c>
      <c r="E56" s="81">
        <v>-73232</v>
      </c>
      <c r="F56" s="81">
        <v>-81309</v>
      </c>
      <c r="G56" s="81">
        <v>-76992.534036829995</v>
      </c>
      <c r="H56" s="199">
        <v>-113919.04882074999</v>
      </c>
      <c r="I56" s="177">
        <v>-138457</v>
      </c>
      <c r="J56" s="129">
        <f t="shared" si="6"/>
        <v>-2.609549355778281E-2</v>
      </c>
      <c r="K56" s="177">
        <v>-174487</v>
      </c>
      <c r="L56" s="129">
        <f t="shared" si="7"/>
        <v>-2.95817590539642E-2</v>
      </c>
      <c r="M56" s="129">
        <f t="shared" si="4"/>
        <v>0.2602251962703222</v>
      </c>
      <c r="N56" s="135">
        <v>-46692</v>
      </c>
      <c r="O56" s="129">
        <f t="shared" si="8"/>
        <v>-3.7592628972055918E-2</v>
      </c>
      <c r="P56" s="135">
        <v>-54819</v>
      </c>
      <c r="Q56" s="129">
        <f t="shared" si="9"/>
        <v>-3.4853845787039248E-2</v>
      </c>
      <c r="R56" s="129">
        <f t="shared" si="5"/>
        <v>0.17405551272166539</v>
      </c>
      <c r="S56" s="101"/>
    </row>
    <row r="57" spans="1:20" s="85" customFormat="1" x14ac:dyDescent="0.3">
      <c r="A57" s="149" t="s">
        <v>18</v>
      </c>
      <c r="B57" s="81">
        <v>-23</v>
      </c>
      <c r="C57" s="81">
        <v>17</v>
      </c>
      <c r="D57" s="81">
        <v>-230</v>
      </c>
      <c r="E57" s="81">
        <v>-279</v>
      </c>
      <c r="F57" s="81">
        <v>-457</v>
      </c>
      <c r="G57" s="81">
        <v>-762.45166136</v>
      </c>
      <c r="H57" s="199">
        <v>-2137.6216936399992</v>
      </c>
      <c r="I57" s="177">
        <v>-2156</v>
      </c>
      <c r="J57" s="129">
        <f t="shared" si="6"/>
        <v>-4.0634914890962348E-4</v>
      </c>
      <c r="K57" s="177">
        <v>-416</v>
      </c>
      <c r="L57" s="129">
        <f t="shared" si="7"/>
        <v>-7.0526811547273483E-5</v>
      </c>
      <c r="M57" s="129">
        <f t="shared" si="4"/>
        <v>-0.80705009276437845</v>
      </c>
      <c r="N57" s="135">
        <v>276</v>
      </c>
      <c r="O57" s="129">
        <f t="shared" si="8"/>
        <v>2.2221291862176463E-4</v>
      </c>
      <c r="P57" s="135">
        <v>-1156</v>
      </c>
      <c r="Q57" s="129">
        <f t="shared" si="9"/>
        <v>-7.3498323081080225E-4</v>
      </c>
      <c r="R57" s="129">
        <f t="shared" si="5"/>
        <v>-5.1884057971014492</v>
      </c>
      <c r="S57" s="101"/>
    </row>
    <row r="58" spans="1:20" s="95" customFormat="1" x14ac:dyDescent="0.3">
      <c r="A58" s="150" t="s">
        <v>17</v>
      </c>
      <c r="B58" s="113">
        <v>183320</v>
      </c>
      <c r="C58" s="113">
        <v>176535</v>
      </c>
      <c r="D58" s="113">
        <v>247313</v>
      </c>
      <c r="E58" s="113">
        <v>299051</v>
      </c>
      <c r="F58" s="113">
        <v>213274</v>
      </c>
      <c r="G58" s="113">
        <v>263238.87625064986</v>
      </c>
      <c r="H58" s="206">
        <f>+H55+H56+H57</f>
        <v>253511.34589881651</v>
      </c>
      <c r="I58" s="190">
        <f>+I55+I56+I57</f>
        <v>345507</v>
      </c>
      <c r="J58" s="139">
        <f t="shared" si="6"/>
        <v>6.5118958901816917E-2</v>
      </c>
      <c r="K58" s="190">
        <f>+K55+K56+K57</f>
        <v>380235</v>
      </c>
      <c r="L58" s="139">
        <f t="shared" si="7"/>
        <v>6.4463370645859455E-2</v>
      </c>
      <c r="M58" s="139">
        <f>+(K58-I58)/I58</f>
        <v>0.10051315892297406</v>
      </c>
      <c r="N58" s="136">
        <f>+N55+N56+N57</f>
        <v>79286</v>
      </c>
      <c r="O58" s="139">
        <f t="shared" si="8"/>
        <v>6.3834686470453733E-2</v>
      </c>
      <c r="P58" s="136">
        <f>+P55+P56+P57</f>
        <v>85055</v>
      </c>
      <c r="Q58" s="139">
        <f t="shared" si="9"/>
        <v>5.4077853543782681E-2</v>
      </c>
      <c r="R58" s="139">
        <f>+(P58-N58)/N58</f>
        <v>7.2761899957117265E-2</v>
      </c>
      <c r="S58" s="111"/>
      <c r="T58" s="85"/>
    </row>
    <row r="59" spans="1:20" s="95" customFormat="1" ht="15.75" thickBot="1" x14ac:dyDescent="0.35">
      <c r="A59" s="151" t="s">
        <v>19</v>
      </c>
      <c r="B59" s="91">
        <v>317502</v>
      </c>
      <c r="C59" s="91">
        <v>382594</v>
      </c>
      <c r="D59" s="91">
        <v>528754</v>
      </c>
      <c r="E59" s="91">
        <v>569823</v>
      </c>
      <c r="F59" s="91">
        <v>551034</v>
      </c>
      <c r="G59" s="91">
        <v>538165</v>
      </c>
      <c r="H59" s="200">
        <v>568131.17041880696</v>
      </c>
      <c r="I59" s="178">
        <v>671095</v>
      </c>
      <c r="J59" s="130">
        <f t="shared" si="6"/>
        <v>0.1264837115433691</v>
      </c>
      <c r="K59" s="178">
        <v>832827</v>
      </c>
      <c r="L59" s="130">
        <f t="shared" si="7"/>
        <v>0.14119382903961811</v>
      </c>
      <c r="M59" s="130">
        <f>+(K59-I59)/I59</f>
        <v>0.24099717625671477</v>
      </c>
      <c r="N59" s="137">
        <v>179705</v>
      </c>
      <c r="O59" s="130">
        <f t="shared" si="8"/>
        <v>0.14468395848160948</v>
      </c>
      <c r="P59" s="137">
        <v>218965</v>
      </c>
      <c r="Q59" s="130">
        <f t="shared" si="9"/>
        <v>0.13921764977031775</v>
      </c>
      <c r="R59" s="130">
        <f>+(P59-N59)/N59</f>
        <v>0.2184691577863721</v>
      </c>
      <c r="S59" s="111"/>
      <c r="T59" s="85"/>
    </row>
    <row r="60" spans="1:20" s="85" customFormat="1" x14ac:dyDescent="0.3">
      <c r="A60" s="81"/>
      <c r="B60" s="81"/>
      <c r="C60" s="81"/>
      <c r="D60" s="81"/>
      <c r="E60" s="81"/>
      <c r="F60" s="81"/>
      <c r="G60" s="81"/>
      <c r="H60" s="81"/>
      <c r="I60" s="82"/>
      <c r="J60" s="82"/>
      <c r="K60" s="82"/>
      <c r="L60" s="112"/>
      <c r="M60" s="82"/>
      <c r="N60" s="101"/>
      <c r="O60" s="101"/>
    </row>
    <row r="61" spans="1:20" s="85" customFormat="1" x14ac:dyDescent="0.3">
      <c r="A61" s="85" t="s">
        <v>53</v>
      </c>
      <c r="H61" s="112"/>
      <c r="I61" s="112"/>
      <c r="J61" s="112"/>
      <c r="K61" s="112"/>
      <c r="L61" s="112"/>
      <c r="M61" s="82"/>
      <c r="N61" s="101"/>
      <c r="O61" s="101"/>
    </row>
    <row r="62" spans="1:20" s="85" customFormat="1" x14ac:dyDescent="0.3">
      <c r="H62" s="81"/>
      <c r="I62" s="81"/>
      <c r="J62" s="81"/>
      <c r="K62" s="81"/>
      <c r="L62" s="112"/>
      <c r="M62" s="82"/>
      <c r="N62" s="101"/>
      <c r="O62" s="101"/>
    </row>
    <row r="63" spans="1:20" s="85" customFormat="1" x14ac:dyDescent="0.3">
      <c r="H63" s="81"/>
      <c r="I63" s="81"/>
      <c r="J63" s="81"/>
      <c r="K63" s="81"/>
      <c r="L63" s="82"/>
      <c r="M63" s="82"/>
      <c r="N63" s="101"/>
      <c r="O63" s="101"/>
    </row>
    <row r="64" spans="1:20" s="85" customFormat="1" x14ac:dyDescent="0.3">
      <c r="H64" s="81"/>
      <c r="I64" s="81"/>
      <c r="J64" s="81"/>
      <c r="K64" s="81"/>
      <c r="L64" s="89"/>
      <c r="M64" s="82"/>
      <c r="N64" s="101"/>
      <c r="O64" s="101"/>
    </row>
    <row r="65" spans="13:13" x14ac:dyDescent="0.3">
      <c r="M65" s="77"/>
    </row>
    <row r="82" spans="13:13" x14ac:dyDescent="0.3">
      <c r="M82" s="77"/>
    </row>
  </sheetData>
  <pageMargins left="0.7" right="0.7" top="0.75" bottom="0.75" header="0.3" footer="0.3"/>
  <customProperties>
    <customPr name="_pios_id" r:id="rId1"/>
  </customPropertie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8"/>
  <sheetViews>
    <sheetView workbookViewId="0">
      <pane xSplit="1" ySplit="10" topLeftCell="G11" activePane="bottomRight" state="frozen"/>
      <selection pane="topRight" activeCell="B1" sqref="B1"/>
      <selection pane="bottomLeft" activeCell="A11" sqref="A11"/>
      <selection pane="bottomRight" activeCell="O25" sqref="O25"/>
    </sheetView>
  </sheetViews>
  <sheetFormatPr baseColWidth="10" defaultColWidth="11.42578125" defaultRowHeight="15" x14ac:dyDescent="0.3"/>
  <cols>
    <col min="1" max="1" width="43.7109375" style="73" customWidth="1"/>
    <col min="2" max="2" width="14.42578125" style="73" customWidth="1"/>
    <col min="3" max="7" width="11.42578125" style="73" bestFit="1" customWidth="1"/>
    <col min="8" max="8" width="13" style="74" bestFit="1" customWidth="1"/>
    <col min="9" max="9" width="12.7109375" style="74" bestFit="1" customWidth="1"/>
    <col min="10" max="11" width="12.7109375" style="74" customWidth="1"/>
    <col min="12" max="12" width="13.42578125" style="75" bestFit="1" customWidth="1"/>
    <col min="13" max="16384" width="11.42578125" style="73"/>
  </cols>
  <sheetData>
    <row r="1" spans="1:20" x14ac:dyDescent="0.3">
      <c r="M1" s="75"/>
      <c r="N1" s="76"/>
      <c r="O1" s="76"/>
    </row>
    <row r="2" spans="1:20" x14ac:dyDescent="0.3">
      <c r="M2" s="75"/>
      <c r="N2" s="76"/>
      <c r="O2" s="76"/>
    </row>
    <row r="3" spans="1:20" x14ac:dyDescent="0.3">
      <c r="M3" s="75"/>
      <c r="N3" s="76"/>
      <c r="O3" s="76"/>
    </row>
    <row r="4" spans="1:20" x14ac:dyDescent="0.3">
      <c r="M4" s="75"/>
      <c r="N4" s="76"/>
      <c r="O4" s="76"/>
    </row>
    <row r="5" spans="1:20" x14ac:dyDescent="0.3">
      <c r="M5" s="75"/>
      <c r="N5" s="76"/>
      <c r="O5" s="76"/>
    </row>
    <row r="6" spans="1:20" ht="21" x14ac:dyDescent="0.35">
      <c r="A6" s="116" t="s">
        <v>90</v>
      </c>
      <c r="B6" s="116"/>
      <c r="C6" s="116"/>
      <c r="D6" s="116"/>
      <c r="E6" s="116"/>
      <c r="F6" s="116"/>
      <c r="G6" s="116"/>
      <c r="M6" s="75"/>
      <c r="N6" s="76"/>
      <c r="O6" s="76"/>
    </row>
    <row r="7" spans="1:20" ht="15.75" x14ac:dyDescent="0.3">
      <c r="A7" s="78" t="s">
        <v>102</v>
      </c>
      <c r="B7" s="78"/>
      <c r="C7" s="78"/>
      <c r="D7" s="78"/>
      <c r="E7" s="78"/>
      <c r="F7" s="78"/>
      <c r="G7" s="78"/>
      <c r="M7" s="75"/>
      <c r="N7" s="76"/>
      <c r="O7" s="76"/>
    </row>
    <row r="8" spans="1:20" x14ac:dyDescent="0.3">
      <c r="A8" s="79" t="s">
        <v>88</v>
      </c>
      <c r="B8" s="79"/>
      <c r="C8" s="79"/>
      <c r="D8" s="79"/>
      <c r="E8" s="79"/>
      <c r="F8" s="79"/>
      <c r="G8" s="79"/>
      <c r="M8" s="75"/>
      <c r="N8" s="76"/>
      <c r="O8" s="76"/>
    </row>
    <row r="9" spans="1:20" s="85" customFormat="1" x14ac:dyDescent="0.3">
      <c r="A9" s="80"/>
      <c r="B9" s="80"/>
      <c r="C9" s="80"/>
      <c r="D9" s="80"/>
      <c r="E9" s="80"/>
      <c r="F9" s="80"/>
      <c r="G9" s="80"/>
      <c r="H9" s="81"/>
      <c r="I9" s="81"/>
      <c r="J9" s="81"/>
      <c r="K9" s="81"/>
      <c r="L9" s="82"/>
      <c r="M9" s="82"/>
      <c r="N9" s="83"/>
      <c r="O9" s="83"/>
      <c r="P9" s="84"/>
      <c r="Q9" s="84"/>
      <c r="R9" s="84"/>
      <c r="S9" s="84"/>
    </row>
    <row r="10" spans="1:20" s="85" customFormat="1" ht="15.75" thickBot="1" x14ac:dyDescent="0.35">
      <c r="A10" s="104" t="s">
        <v>20</v>
      </c>
      <c r="B10" s="156">
        <v>2005</v>
      </c>
      <c r="C10" s="156">
        <v>2006</v>
      </c>
      <c r="D10" s="156">
        <v>2007</v>
      </c>
      <c r="E10" s="156">
        <v>2008</v>
      </c>
      <c r="F10" s="156">
        <v>2009</v>
      </c>
      <c r="G10" s="156">
        <v>2010</v>
      </c>
      <c r="H10" s="198">
        <v>2011</v>
      </c>
      <c r="I10" s="157">
        <v>2012</v>
      </c>
      <c r="J10" s="145">
        <v>2013</v>
      </c>
      <c r="K10" s="158" t="s">
        <v>46</v>
      </c>
      <c r="L10" s="145">
        <v>2013</v>
      </c>
      <c r="M10" s="145">
        <v>2014</v>
      </c>
      <c r="N10" s="158" t="s">
        <v>46</v>
      </c>
    </row>
    <row r="11" spans="1:20" s="85" customFormat="1" x14ac:dyDescent="0.3">
      <c r="A11" s="88" t="s">
        <v>21</v>
      </c>
      <c r="B11" s="81">
        <v>5989</v>
      </c>
      <c r="C11" s="81">
        <v>915</v>
      </c>
      <c r="D11" s="81">
        <v>1835</v>
      </c>
      <c r="E11" s="81">
        <v>382</v>
      </c>
      <c r="F11" s="81">
        <v>191</v>
      </c>
      <c r="G11" s="81">
        <v>225</v>
      </c>
      <c r="H11" s="199">
        <v>94</v>
      </c>
      <c r="I11" s="135">
        <v>74</v>
      </c>
      <c r="J11" s="135">
        <v>58</v>
      </c>
      <c r="K11" s="129">
        <f>(J11-I11)/I11</f>
        <v>-0.21621621621621623</v>
      </c>
      <c r="L11" s="135">
        <v>54</v>
      </c>
      <c r="M11" s="135">
        <v>54</v>
      </c>
      <c r="N11" s="129">
        <f>IF(L11&lt;&gt;0,(M11-L11)/L11,0)</f>
        <v>0</v>
      </c>
      <c r="O11" s="82"/>
    </row>
    <row r="12" spans="1:20" s="85" customFormat="1" x14ac:dyDescent="0.3">
      <c r="A12" s="88" t="s">
        <v>22</v>
      </c>
      <c r="B12" s="81">
        <v>2353634</v>
      </c>
      <c r="C12" s="81">
        <v>2658218</v>
      </c>
      <c r="D12" s="81">
        <v>2904738</v>
      </c>
      <c r="E12" s="81">
        <v>3041332</v>
      </c>
      <c r="F12" s="81">
        <v>3601952</v>
      </c>
      <c r="G12" s="81">
        <v>2716228</v>
      </c>
      <c r="H12" s="199">
        <v>3554895</v>
      </c>
      <c r="I12" s="135">
        <v>3748346</v>
      </c>
      <c r="J12" s="135">
        <v>4126523</v>
      </c>
      <c r="K12" s="129">
        <f>(J12-I12)/I12</f>
        <v>0.10089169996579825</v>
      </c>
      <c r="L12" s="135">
        <v>3874040</v>
      </c>
      <c r="M12" s="135">
        <v>3881179</v>
      </c>
      <c r="N12" s="129">
        <f t="shared" ref="N12:N17" si="0">IF(L12&lt;&gt;0,(M12-L12)/L12,0)</f>
        <v>1.8427791143096096E-3</v>
      </c>
      <c r="O12" s="82"/>
    </row>
    <row r="13" spans="1:20" s="89" customFormat="1" ht="14.25" customHeight="1" x14ac:dyDescent="0.3">
      <c r="A13" s="88" t="s">
        <v>23</v>
      </c>
      <c r="B13" s="81">
        <v>5093</v>
      </c>
      <c r="C13" s="81">
        <v>21107</v>
      </c>
      <c r="D13" s="81">
        <v>10187</v>
      </c>
      <c r="E13" s="81">
        <v>24218</v>
      </c>
      <c r="F13" s="81">
        <v>43410</v>
      </c>
      <c r="G13" s="81">
        <v>90361</v>
      </c>
      <c r="H13" s="199">
        <v>10662</v>
      </c>
      <c r="I13" s="135">
        <v>14922</v>
      </c>
      <c r="J13" s="135">
        <v>18191</v>
      </c>
      <c r="K13" s="129">
        <f>(J13-I13)/I13</f>
        <v>0.21907251038734754</v>
      </c>
      <c r="L13" s="135">
        <v>38038</v>
      </c>
      <c r="M13" s="135">
        <v>39341</v>
      </c>
      <c r="N13" s="129">
        <f t="shared" si="0"/>
        <v>3.425521846574478E-2</v>
      </c>
      <c r="O13" s="82"/>
      <c r="P13" s="85"/>
      <c r="R13" s="85"/>
      <c r="S13" s="85"/>
      <c r="T13" s="85"/>
    </row>
    <row r="14" spans="1:20" s="89" customFormat="1" x14ac:dyDescent="0.3">
      <c r="A14" s="88" t="s">
        <v>37</v>
      </c>
      <c r="B14" s="81"/>
      <c r="C14" s="81"/>
      <c r="D14" s="81">
        <v>0</v>
      </c>
      <c r="E14" s="81">
        <v>50</v>
      </c>
      <c r="F14" s="81"/>
      <c r="G14" s="81"/>
      <c r="H14" s="199">
        <v>0</v>
      </c>
      <c r="I14" s="135">
        <v>0</v>
      </c>
      <c r="J14" s="135">
        <v>0</v>
      </c>
      <c r="K14" s="129">
        <v>0</v>
      </c>
      <c r="L14" s="135">
        <v>0</v>
      </c>
      <c r="M14" s="135">
        <v>0</v>
      </c>
      <c r="N14" s="129">
        <f t="shared" si="0"/>
        <v>0</v>
      </c>
      <c r="O14" s="82"/>
      <c r="P14" s="85"/>
      <c r="R14" s="85"/>
      <c r="S14" s="85"/>
      <c r="T14" s="85"/>
    </row>
    <row r="15" spans="1:20" s="89" customFormat="1" x14ac:dyDescent="0.3">
      <c r="A15" s="88" t="s">
        <v>83</v>
      </c>
      <c r="B15" s="81">
        <v>23371</v>
      </c>
      <c r="C15" s="81">
        <v>1095</v>
      </c>
      <c r="D15" s="81">
        <v>209</v>
      </c>
      <c r="E15" s="81">
        <v>209</v>
      </c>
      <c r="F15" s="81">
        <v>209</v>
      </c>
      <c r="G15" s="81">
        <v>155</v>
      </c>
      <c r="H15" s="199">
        <f>503+155</f>
        <v>658</v>
      </c>
      <c r="I15" s="135">
        <v>118</v>
      </c>
      <c r="J15" s="135">
        <v>4612</v>
      </c>
      <c r="K15" s="197" t="s">
        <v>116</v>
      </c>
      <c r="L15" s="135">
        <v>4843</v>
      </c>
      <c r="M15" s="135">
        <v>10373</v>
      </c>
      <c r="N15" s="129">
        <f t="shared" si="0"/>
        <v>1.1418542225893042</v>
      </c>
      <c r="O15" s="82"/>
      <c r="P15" s="85"/>
      <c r="R15" s="85"/>
      <c r="S15" s="85"/>
      <c r="T15" s="85"/>
    </row>
    <row r="16" spans="1:20" s="89" customFormat="1" x14ac:dyDescent="0.3">
      <c r="A16" s="88" t="s">
        <v>26</v>
      </c>
      <c r="B16" s="81">
        <v>1356015</v>
      </c>
      <c r="C16" s="81">
        <v>1347305</v>
      </c>
      <c r="D16" s="81">
        <v>1324771</v>
      </c>
      <c r="E16" s="81">
        <v>891321</v>
      </c>
      <c r="F16" s="81">
        <v>1869198</v>
      </c>
      <c r="G16" s="81">
        <v>3596772</v>
      </c>
      <c r="H16" s="199">
        <v>2979150</v>
      </c>
      <c r="I16" s="135">
        <v>3733696</v>
      </c>
      <c r="J16" s="135">
        <v>3357714</v>
      </c>
      <c r="K16" s="129">
        <f>(J16-I16)/I16</f>
        <v>-0.10069968203088843</v>
      </c>
      <c r="L16" s="135">
        <v>3555923</v>
      </c>
      <c r="M16" s="135">
        <v>3949667</v>
      </c>
      <c r="N16" s="129">
        <f t="shared" si="0"/>
        <v>0.11072905684403178</v>
      </c>
      <c r="O16" s="82"/>
      <c r="P16" s="85"/>
      <c r="R16" s="85"/>
      <c r="S16" s="85"/>
      <c r="T16" s="85"/>
    </row>
    <row r="17" spans="1:20" s="89" customFormat="1" ht="15.75" thickBot="1" x14ac:dyDescent="0.35">
      <c r="A17" s="90" t="s">
        <v>27</v>
      </c>
      <c r="B17" s="91">
        <f t="shared" ref="B17:J17" si="1">SUM(B11:B16)</f>
        <v>3744102</v>
      </c>
      <c r="C17" s="91">
        <f t="shared" si="1"/>
        <v>4028640</v>
      </c>
      <c r="D17" s="91">
        <f t="shared" si="1"/>
        <v>4241740</v>
      </c>
      <c r="E17" s="91">
        <f t="shared" si="1"/>
        <v>3957512</v>
      </c>
      <c r="F17" s="91">
        <f t="shared" si="1"/>
        <v>5514960</v>
      </c>
      <c r="G17" s="91">
        <f t="shared" si="1"/>
        <v>6403741</v>
      </c>
      <c r="H17" s="200">
        <f t="shared" si="1"/>
        <v>6545459</v>
      </c>
      <c r="I17" s="137">
        <f t="shared" si="1"/>
        <v>7497156</v>
      </c>
      <c r="J17" s="137">
        <f t="shared" si="1"/>
        <v>7507098</v>
      </c>
      <c r="K17" s="159">
        <f>(J17-I17)/I17</f>
        <v>1.3261028582038309E-3</v>
      </c>
      <c r="L17" s="137">
        <f>SUM(L11:L16)</f>
        <v>7472898</v>
      </c>
      <c r="M17" s="137">
        <f>SUM(M11:M16)</f>
        <v>7880614</v>
      </c>
      <c r="N17" s="159">
        <f t="shared" si="0"/>
        <v>5.4559288779266087E-2</v>
      </c>
      <c r="O17" s="82"/>
      <c r="P17" s="85"/>
      <c r="R17" s="85"/>
      <c r="S17" s="85"/>
      <c r="T17" s="85"/>
    </row>
    <row r="18" spans="1:20" s="85" customFormat="1" x14ac:dyDescent="0.3">
      <c r="B18" s="81"/>
      <c r="C18" s="81"/>
      <c r="D18" s="81"/>
      <c r="E18" s="81"/>
      <c r="F18" s="81"/>
      <c r="G18" s="81"/>
      <c r="H18" s="199"/>
      <c r="I18" s="135"/>
      <c r="J18" s="135"/>
      <c r="K18" s="129"/>
      <c r="L18" s="135"/>
      <c r="M18" s="135"/>
      <c r="N18" s="129"/>
      <c r="O18" s="107"/>
    </row>
    <row r="19" spans="1:20" s="89" customFormat="1" x14ac:dyDescent="0.3">
      <c r="A19" s="104" t="s">
        <v>48</v>
      </c>
      <c r="B19" s="86"/>
      <c r="C19" s="86"/>
      <c r="D19" s="86"/>
      <c r="E19" s="86"/>
      <c r="F19" s="86"/>
      <c r="G19" s="86"/>
      <c r="H19" s="207"/>
      <c r="I19" s="161"/>
      <c r="J19" s="161"/>
      <c r="K19" s="162"/>
      <c r="L19" s="161"/>
      <c r="M19" s="161"/>
      <c r="N19" s="162"/>
      <c r="O19" s="107"/>
      <c r="P19" s="85"/>
      <c r="R19" s="85"/>
      <c r="S19" s="85"/>
      <c r="T19" s="85"/>
    </row>
    <row r="20" spans="1:20" s="89" customFormat="1" x14ac:dyDescent="0.3">
      <c r="A20" s="88" t="s">
        <v>28</v>
      </c>
      <c r="B20" s="81"/>
      <c r="C20" s="81"/>
      <c r="D20" s="81">
        <v>7000</v>
      </c>
      <c r="E20" s="81">
        <v>7000</v>
      </c>
      <c r="F20" s="81">
        <v>0</v>
      </c>
      <c r="G20" s="81">
        <v>445</v>
      </c>
      <c r="H20" s="199">
        <v>0</v>
      </c>
      <c r="I20" s="135">
        <v>7</v>
      </c>
      <c r="J20" s="135">
        <v>0</v>
      </c>
      <c r="K20" s="129">
        <f>(J20-I20)/I20</f>
        <v>-1</v>
      </c>
      <c r="L20" s="135">
        <v>0</v>
      </c>
      <c r="M20" s="135">
        <v>0</v>
      </c>
      <c r="N20" s="129">
        <f t="shared" ref="N20:N28" si="2">IF(L20&lt;&gt;0,(M20-L20)/L20,0)</f>
        <v>0</v>
      </c>
      <c r="O20" s="82"/>
      <c r="P20" s="85"/>
      <c r="R20" s="85"/>
      <c r="S20" s="85"/>
      <c r="T20" s="85"/>
    </row>
    <row r="21" spans="1:20" s="89" customFormat="1" x14ac:dyDescent="0.3">
      <c r="A21" s="88" t="s">
        <v>29</v>
      </c>
      <c r="B21" s="81">
        <v>37598</v>
      </c>
      <c r="C21" s="81">
        <v>60127</v>
      </c>
      <c r="D21" s="81">
        <v>62571</v>
      </c>
      <c r="E21" s="81">
        <v>71267</v>
      </c>
      <c r="F21" s="81">
        <v>111498</v>
      </c>
      <c r="G21" s="81">
        <v>70420</v>
      </c>
      <c r="H21" s="199">
        <v>59466</v>
      </c>
      <c r="I21" s="135">
        <v>65083</v>
      </c>
      <c r="J21" s="135">
        <v>70701</v>
      </c>
      <c r="K21" s="129">
        <f>(J21-I21)/I21</f>
        <v>8.6320544535439359E-2</v>
      </c>
      <c r="L21" s="135">
        <v>174106</v>
      </c>
      <c r="M21" s="135">
        <v>173606</v>
      </c>
      <c r="N21" s="129">
        <f t="shared" si="2"/>
        <v>-2.8718137226746926E-3</v>
      </c>
      <c r="O21" s="82"/>
      <c r="P21" s="85"/>
      <c r="R21" s="85"/>
      <c r="S21" s="85"/>
      <c r="T21" s="85"/>
    </row>
    <row r="22" spans="1:20" s="85" customFormat="1" x14ac:dyDescent="0.3">
      <c r="A22" s="88" t="s">
        <v>30</v>
      </c>
      <c r="B22" s="81">
        <v>3128</v>
      </c>
      <c r="C22" s="81">
        <v>98</v>
      </c>
      <c r="D22" s="81">
        <v>645</v>
      </c>
      <c r="E22" s="81">
        <v>1762</v>
      </c>
      <c r="F22" s="81">
        <v>430</v>
      </c>
      <c r="G22" s="81">
        <v>604</v>
      </c>
      <c r="H22" s="199">
        <v>585</v>
      </c>
      <c r="I22" s="135">
        <v>657</v>
      </c>
      <c r="J22" s="135">
        <v>2299</v>
      </c>
      <c r="K22" s="129">
        <f>(J22-I22)/I22</f>
        <v>2.4992389649923896</v>
      </c>
      <c r="L22" s="135">
        <v>1200</v>
      </c>
      <c r="M22" s="135">
        <v>1103</v>
      </c>
      <c r="N22" s="129">
        <f t="shared" si="2"/>
        <v>-8.0833333333333326E-2</v>
      </c>
      <c r="O22" s="82"/>
    </row>
    <row r="23" spans="1:20" s="85" customFormat="1" x14ac:dyDescent="0.3">
      <c r="A23" s="88" t="s">
        <v>31</v>
      </c>
      <c r="B23" s="81">
        <v>247</v>
      </c>
      <c r="C23" s="81">
        <v>501</v>
      </c>
      <c r="D23" s="81">
        <v>686</v>
      </c>
      <c r="E23" s="81">
        <v>940</v>
      </c>
      <c r="F23" s="81">
        <v>650</v>
      </c>
      <c r="G23" s="81">
        <v>947</v>
      </c>
      <c r="H23" s="199">
        <v>872</v>
      </c>
      <c r="I23" s="135">
        <v>481</v>
      </c>
      <c r="J23" s="135">
        <v>932</v>
      </c>
      <c r="K23" s="129">
        <f>(J23-I23)/I23</f>
        <v>0.93762993762993763</v>
      </c>
      <c r="L23" s="135">
        <v>111</v>
      </c>
      <c r="M23" s="135">
        <v>72</v>
      </c>
      <c r="N23" s="129">
        <f t="shared" si="2"/>
        <v>-0.35135135135135137</v>
      </c>
      <c r="O23" s="82"/>
    </row>
    <row r="24" spans="1:20" s="85" customFormat="1" x14ac:dyDescent="0.3">
      <c r="A24" s="88" t="s">
        <v>32</v>
      </c>
      <c r="B24" s="81"/>
      <c r="C24" s="81"/>
      <c r="D24" s="81"/>
      <c r="E24" s="81"/>
      <c r="F24" s="81"/>
      <c r="G24" s="81"/>
      <c r="H24" s="199">
        <v>0</v>
      </c>
      <c r="I24" s="135">
        <v>0</v>
      </c>
      <c r="J24" s="135">
        <v>0</v>
      </c>
      <c r="K24" s="129">
        <v>0</v>
      </c>
      <c r="L24" s="135">
        <v>1719</v>
      </c>
      <c r="M24" s="135">
        <v>803</v>
      </c>
      <c r="N24" s="129">
        <f t="shared" si="2"/>
        <v>-0.53286794648051194</v>
      </c>
      <c r="O24" s="82"/>
    </row>
    <row r="25" spans="1:20" s="85" customFormat="1" x14ac:dyDescent="0.3">
      <c r="A25" s="88" t="s">
        <v>87</v>
      </c>
      <c r="B25" s="81">
        <v>2356</v>
      </c>
      <c r="C25" s="81">
        <v>2509</v>
      </c>
      <c r="D25" s="81">
        <v>2679</v>
      </c>
      <c r="E25" s="81">
        <v>2934</v>
      </c>
      <c r="F25" s="81">
        <v>3179</v>
      </c>
      <c r="G25" s="81">
        <v>7650</v>
      </c>
      <c r="H25" s="199">
        <v>8296</v>
      </c>
      <c r="I25" s="135">
        <v>8803</v>
      </c>
      <c r="J25" s="135">
        <v>9622</v>
      </c>
      <c r="K25" s="129">
        <f>(J25-I25)/I25</f>
        <v>9.3036464841531302E-2</v>
      </c>
      <c r="L25" s="135">
        <v>30384</v>
      </c>
      <c r="M25" s="135">
        <v>32402</v>
      </c>
      <c r="N25" s="129">
        <f t="shared" si="2"/>
        <v>6.6416535018430756E-2</v>
      </c>
      <c r="O25" s="82"/>
    </row>
    <row r="26" spans="1:20" s="95" customFormat="1" x14ac:dyDescent="0.3">
      <c r="A26" s="93" t="s">
        <v>33</v>
      </c>
      <c r="B26" s="80">
        <f t="shared" ref="B26:G26" si="3">SUM(B20:B25)</f>
        <v>43329</v>
      </c>
      <c r="C26" s="80">
        <f t="shared" si="3"/>
        <v>63235</v>
      </c>
      <c r="D26" s="80">
        <f t="shared" si="3"/>
        <v>73581</v>
      </c>
      <c r="E26" s="80">
        <f t="shared" si="3"/>
        <v>83903</v>
      </c>
      <c r="F26" s="80">
        <f t="shared" si="3"/>
        <v>115757</v>
      </c>
      <c r="G26" s="80">
        <f t="shared" si="3"/>
        <v>80066</v>
      </c>
      <c r="H26" s="202">
        <f>SUM(H20:H25)</f>
        <v>69219</v>
      </c>
      <c r="I26" s="134">
        <f>SUM(I20:I25)</f>
        <v>75031</v>
      </c>
      <c r="J26" s="134">
        <f>SUM(J20:J25)</f>
        <v>83554</v>
      </c>
      <c r="K26" s="129">
        <f>(J26-I26)/I26</f>
        <v>0.11359304820674121</v>
      </c>
      <c r="L26" s="134">
        <v>207520</v>
      </c>
      <c r="M26" s="134">
        <v>207986</v>
      </c>
      <c r="N26" s="138">
        <f t="shared" si="2"/>
        <v>2.2455666923670006E-3</v>
      </c>
      <c r="O26" s="82"/>
      <c r="P26" s="85"/>
      <c r="R26" s="85"/>
      <c r="S26" s="85"/>
      <c r="T26" s="85"/>
    </row>
    <row r="27" spans="1:20" s="95" customFormat="1" x14ac:dyDescent="0.3">
      <c r="A27" s="96" t="s">
        <v>34</v>
      </c>
      <c r="B27" s="97">
        <v>3700773</v>
      </c>
      <c r="C27" s="97">
        <v>3965405</v>
      </c>
      <c r="D27" s="97">
        <v>4168159</v>
      </c>
      <c r="E27" s="97">
        <v>3873609</v>
      </c>
      <c r="F27" s="97">
        <v>5399203</v>
      </c>
      <c r="G27" s="97">
        <v>6323675</v>
      </c>
      <c r="H27" s="203">
        <v>6476240</v>
      </c>
      <c r="I27" s="163">
        <f>+I17-I26</f>
        <v>7422125</v>
      </c>
      <c r="J27" s="163">
        <f>+J17-J26</f>
        <v>7423544</v>
      </c>
      <c r="K27" s="131">
        <f>(J27-I27)/I27</f>
        <v>1.9118513902689595E-4</v>
      </c>
      <c r="L27" s="163">
        <f>+L17-L26</f>
        <v>7265378</v>
      </c>
      <c r="M27" s="163">
        <f>+M17-M26</f>
        <v>7672628</v>
      </c>
      <c r="N27" s="131">
        <f t="shared" si="2"/>
        <v>5.6053518481763785E-2</v>
      </c>
      <c r="O27" s="82"/>
      <c r="P27" s="85"/>
      <c r="R27" s="85"/>
      <c r="S27" s="85"/>
      <c r="T27" s="85"/>
    </row>
    <row r="28" spans="1:20" s="95" customFormat="1" ht="15.75" thickBot="1" x14ac:dyDescent="0.35">
      <c r="A28" s="90" t="s">
        <v>35</v>
      </c>
      <c r="B28" s="91">
        <f t="shared" ref="B28:G28" si="4">+B26+B27</f>
        <v>3744102</v>
      </c>
      <c r="C28" s="91">
        <f t="shared" si="4"/>
        <v>4028640</v>
      </c>
      <c r="D28" s="91">
        <f t="shared" si="4"/>
        <v>4241740</v>
      </c>
      <c r="E28" s="91">
        <f t="shared" si="4"/>
        <v>3957512</v>
      </c>
      <c r="F28" s="91">
        <f t="shared" si="4"/>
        <v>5514960</v>
      </c>
      <c r="G28" s="91">
        <f t="shared" si="4"/>
        <v>6403741</v>
      </c>
      <c r="H28" s="200">
        <f>+H26+H27</f>
        <v>6545459</v>
      </c>
      <c r="I28" s="137">
        <f>+I26+I27</f>
        <v>7497156</v>
      </c>
      <c r="J28" s="137">
        <f>+J26+J27</f>
        <v>7507098</v>
      </c>
      <c r="K28" s="130">
        <f>(J28-I28)/I28</f>
        <v>1.3261028582038309E-3</v>
      </c>
      <c r="L28" s="137">
        <f>+L26+L27</f>
        <v>7472898</v>
      </c>
      <c r="M28" s="137">
        <f>+M26+M27</f>
        <v>7880614</v>
      </c>
      <c r="N28" s="130">
        <f t="shared" si="2"/>
        <v>5.4559288779266087E-2</v>
      </c>
      <c r="O28" s="82"/>
      <c r="P28" s="85"/>
      <c r="R28" s="85"/>
      <c r="S28" s="85"/>
      <c r="T28" s="85"/>
    </row>
    <row r="29" spans="1:20" s="85" customFormat="1" x14ac:dyDescent="0.3">
      <c r="A29" s="88" t="s">
        <v>54</v>
      </c>
      <c r="B29" s="81">
        <v>435123458</v>
      </c>
      <c r="C29" s="81">
        <v>435123458</v>
      </c>
      <c r="D29" s="81">
        <v>435123458</v>
      </c>
      <c r="E29" s="81">
        <v>435123458</v>
      </c>
      <c r="F29" s="81">
        <v>435123458</v>
      </c>
      <c r="G29" s="81">
        <v>435123458</v>
      </c>
      <c r="H29" s="199">
        <f>435123458+25000000</f>
        <v>460123458</v>
      </c>
      <c r="I29" s="135">
        <f>435123458+25000000</f>
        <v>460123458</v>
      </c>
      <c r="J29" s="135">
        <f>435123458+25000000</f>
        <v>460123458</v>
      </c>
      <c r="K29" s="129"/>
      <c r="L29" s="135">
        <f>435123458+25000000</f>
        <v>460123458</v>
      </c>
      <c r="M29" s="135">
        <f>435123458+25000000</f>
        <v>460123458</v>
      </c>
      <c r="N29" s="129"/>
      <c r="O29" s="107"/>
    </row>
    <row r="30" spans="1:20" s="85" customFormat="1" x14ac:dyDescent="0.3">
      <c r="A30" s="88" t="s">
        <v>71</v>
      </c>
      <c r="B30" s="100">
        <f t="shared" ref="B30:J30" si="5">+B27/+(B29/1000000)</f>
        <v>8505.1102898708796</v>
      </c>
      <c r="C30" s="100">
        <f t="shared" si="5"/>
        <v>9113.2871075868297</v>
      </c>
      <c r="D30" s="100">
        <f t="shared" si="5"/>
        <v>9579.2560096817397</v>
      </c>
      <c r="E30" s="100">
        <f t="shared" si="5"/>
        <v>8902.3216946395933</v>
      </c>
      <c r="F30" s="100">
        <f t="shared" si="5"/>
        <v>12408.439261851976</v>
      </c>
      <c r="G30" s="100">
        <f t="shared" si="5"/>
        <v>14533.059258781675</v>
      </c>
      <c r="H30" s="208">
        <f t="shared" si="5"/>
        <v>14075.005060924323</v>
      </c>
      <c r="I30" s="165">
        <f t="shared" si="5"/>
        <v>16130.725071617626</v>
      </c>
      <c r="J30" s="165">
        <f t="shared" si="5"/>
        <v>16133.809026533047</v>
      </c>
      <c r="K30" s="129"/>
      <c r="L30" s="165">
        <f>+L27/+(L29/1000000)</f>
        <v>15790.062153275392</v>
      </c>
      <c r="M30" s="165">
        <f>+M27/+(M29/1000000)</f>
        <v>16675.150694012213</v>
      </c>
      <c r="N30" s="129"/>
      <c r="O30" s="107"/>
    </row>
    <row r="31" spans="1:20" s="85" customFormat="1" x14ac:dyDescent="0.3">
      <c r="A31" s="115"/>
      <c r="B31" s="115"/>
      <c r="C31" s="115"/>
      <c r="D31" s="115"/>
      <c r="E31" s="115"/>
      <c r="F31" s="81"/>
      <c r="G31" s="115"/>
      <c r="H31" s="100"/>
      <c r="I31" s="100"/>
      <c r="J31" s="100"/>
      <c r="K31" s="100"/>
      <c r="L31" s="82"/>
      <c r="N31" s="107"/>
    </row>
    <row r="32" spans="1:20" s="85" customFormat="1" x14ac:dyDescent="0.3">
      <c r="A32" s="115"/>
      <c r="B32" s="115"/>
      <c r="C32" s="115"/>
      <c r="D32" s="115"/>
      <c r="E32" s="115"/>
      <c r="F32" s="100"/>
      <c r="G32" s="115"/>
      <c r="H32" s="100"/>
      <c r="I32" s="100"/>
      <c r="J32" s="100"/>
      <c r="K32" s="100"/>
      <c r="L32" s="82"/>
      <c r="N32" s="107"/>
    </row>
    <row r="33" spans="1:22" ht="21" x14ac:dyDescent="0.35">
      <c r="A33" s="116" t="s">
        <v>92</v>
      </c>
      <c r="B33" s="116"/>
      <c r="C33" s="116"/>
      <c r="D33" s="116"/>
      <c r="E33" s="116"/>
      <c r="F33" s="116"/>
      <c r="G33" s="116"/>
      <c r="M33" s="75"/>
      <c r="N33" s="109"/>
      <c r="O33" s="76"/>
    </row>
    <row r="34" spans="1:22" ht="15.75" x14ac:dyDescent="0.3">
      <c r="A34" s="78" t="s">
        <v>130</v>
      </c>
      <c r="B34" s="78"/>
      <c r="C34" s="78"/>
      <c r="D34" s="78"/>
      <c r="E34" s="78"/>
      <c r="F34" s="78"/>
      <c r="G34" s="78"/>
      <c r="M34" s="75"/>
      <c r="N34" s="109"/>
      <c r="O34" s="76"/>
    </row>
    <row r="35" spans="1:22" x14ac:dyDescent="0.3">
      <c r="A35" s="79" t="s">
        <v>88</v>
      </c>
      <c r="B35" s="79"/>
      <c r="C35" s="79"/>
      <c r="D35" s="79"/>
      <c r="E35" s="79"/>
      <c r="F35" s="79"/>
      <c r="G35" s="79"/>
      <c r="M35" s="75"/>
      <c r="N35" s="109"/>
      <c r="O35" s="76"/>
    </row>
    <row r="36" spans="1:22" s="85" customFormat="1" x14ac:dyDescent="0.3">
      <c r="H36" s="81"/>
      <c r="I36" s="81"/>
      <c r="J36" s="81"/>
      <c r="K36" s="81"/>
      <c r="L36" s="82"/>
      <c r="N36" s="107"/>
    </row>
    <row r="37" spans="1:22" s="85" customFormat="1" ht="15.75" thickBot="1" x14ac:dyDescent="0.35">
      <c r="B37" s="156">
        <v>2005</v>
      </c>
      <c r="C37" s="156">
        <v>2006</v>
      </c>
      <c r="D37" s="156">
        <v>2007</v>
      </c>
      <c r="E37" s="156">
        <v>2008</v>
      </c>
      <c r="F37" s="156">
        <v>2009</v>
      </c>
      <c r="G37" s="156">
        <v>2010</v>
      </c>
      <c r="H37" s="198">
        <v>2011</v>
      </c>
      <c r="I37" s="156">
        <v>2012</v>
      </c>
      <c r="J37" s="210">
        <v>2013</v>
      </c>
      <c r="K37" s="145" t="s">
        <v>95</v>
      </c>
      <c r="L37" s="145" t="s">
        <v>124</v>
      </c>
      <c r="M37" s="145" t="s">
        <v>100</v>
      </c>
      <c r="N37" s="145" t="s">
        <v>127</v>
      </c>
      <c r="O37" s="167" t="s">
        <v>46</v>
      </c>
      <c r="P37" s="145" t="s">
        <v>109</v>
      </c>
      <c r="Q37" s="145" t="s">
        <v>128</v>
      </c>
      <c r="R37" s="167" t="s">
        <v>46</v>
      </c>
      <c r="T37" s="107"/>
    </row>
    <row r="38" spans="1:22" s="95" customFormat="1" x14ac:dyDescent="0.3">
      <c r="A38" s="85" t="s">
        <v>72</v>
      </c>
      <c r="B38" s="80">
        <v>158869</v>
      </c>
      <c r="C38" s="80">
        <v>163042</v>
      </c>
      <c r="D38" s="80">
        <v>231987</v>
      </c>
      <c r="E38" s="80">
        <v>268897</v>
      </c>
      <c r="F38" s="80">
        <v>212895</v>
      </c>
      <c r="G38" s="80">
        <v>239836</v>
      </c>
      <c r="H38" s="202">
        <v>223644</v>
      </c>
      <c r="I38" s="80">
        <v>312990</v>
      </c>
      <c r="J38" s="211">
        <v>344939</v>
      </c>
      <c r="K38" s="134">
        <v>77093</v>
      </c>
      <c r="L38" s="134">
        <v>78232</v>
      </c>
      <c r="M38" s="134">
        <f t="shared" ref="M38:N41" si="6">+P38-K38</f>
        <v>88356</v>
      </c>
      <c r="N38" s="134">
        <f t="shared" si="6"/>
        <v>74755</v>
      </c>
      <c r="O38" s="129">
        <f>(N38-M38)/M38</f>
        <v>-0.15393408483860746</v>
      </c>
      <c r="P38" s="134">
        <v>165449</v>
      </c>
      <c r="Q38" s="134">
        <v>152987</v>
      </c>
      <c r="R38" s="129">
        <f>IF(P38&lt;&gt;0,(Q38-P38)/P38,0)</f>
        <v>-7.5322304758566078E-2</v>
      </c>
      <c r="S38" s="169"/>
      <c r="T38" s="85"/>
      <c r="U38" s="85"/>
      <c r="V38" s="85"/>
    </row>
    <row r="39" spans="1:22" s="85" customFormat="1" x14ac:dyDescent="0.3">
      <c r="A39" s="85" t="s">
        <v>5</v>
      </c>
      <c r="B39" s="81">
        <v>17762</v>
      </c>
      <c r="C39" s="81">
        <v>56828</v>
      </c>
      <c r="D39" s="81">
        <v>2685</v>
      </c>
      <c r="E39" s="81">
        <v>2704</v>
      </c>
      <c r="F39" s="81">
        <v>0</v>
      </c>
      <c r="G39" s="81">
        <v>1579</v>
      </c>
      <c r="H39" s="199">
        <v>11024</v>
      </c>
      <c r="I39" s="81">
        <v>0</v>
      </c>
      <c r="J39" s="212">
        <v>-176</v>
      </c>
      <c r="K39" s="135">
        <v>0</v>
      </c>
      <c r="L39" s="135">
        <v>640</v>
      </c>
      <c r="M39" s="135">
        <f t="shared" si="6"/>
        <v>-176</v>
      </c>
      <c r="N39" s="135">
        <f t="shared" si="6"/>
        <v>0</v>
      </c>
      <c r="O39" s="129">
        <f t="shared" ref="O39:O49" si="7">(N39-M39)/M39</f>
        <v>-1</v>
      </c>
      <c r="P39" s="135">
        <v>-176</v>
      </c>
      <c r="Q39" s="135">
        <v>640</v>
      </c>
      <c r="R39" s="129">
        <f t="shared" ref="R39:R49" si="8">IF(P39&lt;&gt;0,(Q39-P39)/P39,0)</f>
        <v>-4.6363636363636367</v>
      </c>
      <c r="S39" s="169"/>
    </row>
    <row r="40" spans="1:22" s="95" customFormat="1" x14ac:dyDescent="0.3">
      <c r="A40" s="85" t="s">
        <v>57</v>
      </c>
      <c r="B40" s="81">
        <v>11795</v>
      </c>
      <c r="C40" s="81">
        <v>16684</v>
      </c>
      <c r="D40" s="81">
        <v>11678</v>
      </c>
      <c r="E40" s="81">
        <v>14746</v>
      </c>
      <c r="F40" s="81">
        <v>12979</v>
      </c>
      <c r="G40" s="81">
        <v>30953</v>
      </c>
      <c r="H40" s="199">
        <v>33432</v>
      </c>
      <c r="I40" s="81">
        <v>35105</v>
      </c>
      <c r="J40" s="212">
        <v>39426</v>
      </c>
      <c r="K40" s="135">
        <v>8803</v>
      </c>
      <c r="L40" s="135">
        <v>9622</v>
      </c>
      <c r="M40" s="135">
        <f t="shared" si="6"/>
        <v>9861</v>
      </c>
      <c r="N40" s="135">
        <f t="shared" si="6"/>
        <v>10926</v>
      </c>
      <c r="O40" s="129">
        <f t="shared" si="7"/>
        <v>0.10800121691512017</v>
      </c>
      <c r="P40" s="135">
        <v>18664</v>
      </c>
      <c r="Q40" s="135">
        <v>20548</v>
      </c>
      <c r="R40" s="129">
        <f t="shared" si="8"/>
        <v>0.10094299185597942</v>
      </c>
      <c r="S40" s="169"/>
      <c r="T40" s="85"/>
      <c r="U40" s="85"/>
      <c r="V40" s="85"/>
    </row>
    <row r="41" spans="1:22" s="95" customFormat="1" x14ac:dyDescent="0.3">
      <c r="A41" s="85" t="s">
        <v>56</v>
      </c>
      <c r="B41" s="81">
        <v>2490</v>
      </c>
      <c r="C41" s="81">
        <v>7447</v>
      </c>
      <c r="D41" s="81">
        <v>5519</v>
      </c>
      <c r="E41" s="81">
        <v>13179</v>
      </c>
      <c r="F41" s="81">
        <v>10094</v>
      </c>
      <c r="G41" s="81">
        <v>13131</v>
      </c>
      <c r="H41" s="199">
        <v>7221</v>
      </c>
      <c r="I41" s="81">
        <v>8379</v>
      </c>
      <c r="J41" s="212">
        <v>14465</v>
      </c>
      <c r="K41" s="135">
        <v>2650</v>
      </c>
      <c r="L41" s="135">
        <v>3254</v>
      </c>
      <c r="M41" s="135">
        <f t="shared" si="6"/>
        <v>2920</v>
      </c>
      <c r="N41" s="135">
        <f t="shared" si="6"/>
        <v>3379</v>
      </c>
      <c r="O41" s="129">
        <f t="shared" si="7"/>
        <v>0.15719178082191781</v>
      </c>
      <c r="P41" s="135">
        <v>5570</v>
      </c>
      <c r="Q41" s="135">
        <v>6633</v>
      </c>
      <c r="R41" s="129">
        <f t="shared" si="8"/>
        <v>0.19084380610412927</v>
      </c>
      <c r="S41" s="169"/>
      <c r="T41" s="85"/>
      <c r="U41" s="85"/>
      <c r="V41" s="85"/>
    </row>
    <row r="42" spans="1:22" s="95" customFormat="1" x14ac:dyDescent="0.3">
      <c r="A42" s="95" t="s">
        <v>4</v>
      </c>
      <c r="B42" s="80">
        <f t="shared" ref="B42:G42" si="9">SUM(B38:B41)</f>
        <v>190916</v>
      </c>
      <c r="C42" s="80">
        <f t="shared" si="9"/>
        <v>244001</v>
      </c>
      <c r="D42" s="80">
        <f t="shared" si="9"/>
        <v>251869</v>
      </c>
      <c r="E42" s="80">
        <f t="shared" si="9"/>
        <v>299526</v>
      </c>
      <c r="F42" s="80">
        <f t="shared" si="9"/>
        <v>235968</v>
      </c>
      <c r="G42" s="80">
        <f t="shared" si="9"/>
        <v>285499</v>
      </c>
      <c r="H42" s="202">
        <f t="shared" ref="H42:N42" si="10">SUM(H38:H41)</f>
        <v>275321</v>
      </c>
      <c r="I42" s="80">
        <f t="shared" si="10"/>
        <v>356474</v>
      </c>
      <c r="J42" s="211">
        <f t="shared" si="10"/>
        <v>398654</v>
      </c>
      <c r="K42" s="134">
        <f t="shared" si="10"/>
        <v>88546</v>
      </c>
      <c r="L42" s="134">
        <f t="shared" si="10"/>
        <v>91748</v>
      </c>
      <c r="M42" s="134">
        <f t="shared" si="10"/>
        <v>100961</v>
      </c>
      <c r="N42" s="134">
        <f t="shared" si="10"/>
        <v>89060</v>
      </c>
      <c r="O42" s="129">
        <f t="shared" si="7"/>
        <v>-0.117877200106972</v>
      </c>
      <c r="P42" s="134">
        <f>SUM(P38:P41)</f>
        <v>189507</v>
      </c>
      <c r="Q42" s="134">
        <f>SUM(Q38:Q41)</f>
        <v>180808</v>
      </c>
      <c r="R42" s="129">
        <f t="shared" si="8"/>
        <v>-4.5903317555552041E-2</v>
      </c>
      <c r="S42" s="169"/>
      <c r="T42" s="85"/>
      <c r="U42" s="85"/>
      <c r="V42" s="85"/>
    </row>
    <row r="43" spans="1:22" s="85" customFormat="1" x14ac:dyDescent="0.3">
      <c r="A43" s="85" t="s">
        <v>58</v>
      </c>
      <c r="B43" s="81">
        <v>-22106</v>
      </c>
      <c r="C43" s="81">
        <v>-41421</v>
      </c>
      <c r="D43" s="81">
        <v>-7188</v>
      </c>
      <c r="E43" s="81">
        <v>-8773</v>
      </c>
      <c r="F43" s="81">
        <v>-8740</v>
      </c>
      <c r="G43" s="81">
        <v>-11563</v>
      </c>
      <c r="H43" s="199">
        <v>-9004</v>
      </c>
      <c r="I43" s="81">
        <v>-10090</v>
      </c>
      <c r="J43" s="212">
        <v>-13551</v>
      </c>
      <c r="K43" s="135">
        <f>-2393-5938</f>
        <v>-8331</v>
      </c>
      <c r="L43" s="135">
        <v>-6805</v>
      </c>
      <c r="M43" s="135">
        <f>+P43-K43</f>
        <v>1646</v>
      </c>
      <c r="N43" s="135">
        <f>+Q43-L43</f>
        <v>-6216</v>
      </c>
      <c r="O43" s="129">
        <f t="shared" si="7"/>
        <v>-4.7764277035236935</v>
      </c>
      <c r="P43" s="135">
        <v>-6685</v>
      </c>
      <c r="Q43" s="135">
        <v>-13021</v>
      </c>
      <c r="R43" s="129">
        <f t="shared" si="8"/>
        <v>0.9477935676888557</v>
      </c>
      <c r="S43" s="169"/>
    </row>
    <row r="44" spans="1:22" s="95" customFormat="1" x14ac:dyDescent="0.3">
      <c r="A44" s="95" t="s">
        <v>42</v>
      </c>
      <c r="B44" s="80">
        <f t="shared" ref="B44:G44" si="11">SUM(B42:B43)</f>
        <v>168810</v>
      </c>
      <c r="C44" s="80">
        <f t="shared" si="11"/>
        <v>202580</v>
      </c>
      <c r="D44" s="80">
        <f t="shared" si="11"/>
        <v>244681</v>
      </c>
      <c r="E44" s="80">
        <f t="shared" si="11"/>
        <v>290753</v>
      </c>
      <c r="F44" s="80">
        <f t="shared" si="11"/>
        <v>227228</v>
      </c>
      <c r="G44" s="80">
        <f t="shared" si="11"/>
        <v>273936</v>
      </c>
      <c r="H44" s="202">
        <f t="shared" ref="H44:N44" si="12">SUM(H42:H43)</f>
        <v>266317</v>
      </c>
      <c r="I44" s="80">
        <f t="shared" si="12"/>
        <v>346384</v>
      </c>
      <c r="J44" s="211">
        <f t="shared" si="12"/>
        <v>385103</v>
      </c>
      <c r="K44" s="134">
        <f t="shared" si="12"/>
        <v>80215</v>
      </c>
      <c r="L44" s="134">
        <f t="shared" si="12"/>
        <v>84943</v>
      </c>
      <c r="M44" s="134">
        <f t="shared" si="12"/>
        <v>102607</v>
      </c>
      <c r="N44" s="134">
        <f t="shared" si="12"/>
        <v>82844</v>
      </c>
      <c r="O44" s="129">
        <f t="shared" si="7"/>
        <v>-0.19260869141481576</v>
      </c>
      <c r="P44" s="134">
        <f>SUM(P42:P43)</f>
        <v>182822</v>
      </c>
      <c r="Q44" s="134">
        <f>SUM(Q42:Q43)</f>
        <v>167787</v>
      </c>
      <c r="R44" s="129">
        <f t="shared" si="8"/>
        <v>-8.2238461454310754E-2</v>
      </c>
      <c r="S44" s="169"/>
      <c r="T44" s="85"/>
      <c r="U44" s="85"/>
      <c r="V44" s="85"/>
    </row>
    <row r="45" spans="1:22" s="95" customFormat="1" x14ac:dyDescent="0.3">
      <c r="A45" s="85" t="s">
        <v>10</v>
      </c>
      <c r="B45" s="81">
        <v>4490</v>
      </c>
      <c r="C45" s="81">
        <v>8391</v>
      </c>
      <c r="D45" s="81">
        <v>80</v>
      </c>
      <c r="E45" s="81">
        <v>960</v>
      </c>
      <c r="F45" s="81">
        <v>214</v>
      </c>
      <c r="G45" s="81">
        <v>7839</v>
      </c>
      <c r="H45" s="199">
        <v>814</v>
      </c>
      <c r="I45" s="81">
        <v>851</v>
      </c>
      <c r="J45" s="212">
        <v>203</v>
      </c>
      <c r="K45" s="135">
        <v>61</v>
      </c>
      <c r="L45" s="135">
        <v>7</v>
      </c>
      <c r="M45" s="135">
        <f>+P45-K45</f>
        <v>51</v>
      </c>
      <c r="N45" s="135">
        <f>+Q45-L45</f>
        <v>1655</v>
      </c>
      <c r="O45" s="197" t="s">
        <v>131</v>
      </c>
      <c r="P45" s="135">
        <v>112</v>
      </c>
      <c r="Q45" s="135">
        <v>1662</v>
      </c>
      <c r="R45" s="197" t="s">
        <v>131</v>
      </c>
      <c r="S45" s="169"/>
      <c r="T45" s="85"/>
      <c r="U45" s="85"/>
      <c r="V45" s="85"/>
    </row>
    <row r="46" spans="1:22" s="85" customFormat="1" x14ac:dyDescent="0.3">
      <c r="A46" s="85" t="s">
        <v>13</v>
      </c>
      <c r="B46" s="81">
        <v>-388</v>
      </c>
      <c r="C46" s="81">
        <v>-60</v>
      </c>
      <c r="D46" s="81">
        <v>-279</v>
      </c>
      <c r="E46" s="81">
        <v>-633</v>
      </c>
      <c r="F46" s="81">
        <v>-1741</v>
      </c>
      <c r="G46" s="81">
        <v>-1496</v>
      </c>
      <c r="H46" s="199">
        <v>-11022</v>
      </c>
      <c r="I46" s="81">
        <v>-1390</v>
      </c>
      <c r="J46" s="212">
        <v>-2974</v>
      </c>
      <c r="K46" s="135">
        <v>-127</v>
      </c>
      <c r="L46" s="135">
        <v>-10</v>
      </c>
      <c r="M46" s="135">
        <f>+P46-K46</f>
        <v>-2839</v>
      </c>
      <c r="N46" s="135">
        <f>+Q46-L46</f>
        <v>-8</v>
      </c>
      <c r="O46" s="129">
        <f t="shared" si="7"/>
        <v>-0.99718210637548432</v>
      </c>
      <c r="P46" s="135">
        <v>-2966</v>
      </c>
      <c r="Q46" s="135">
        <v>-18</v>
      </c>
      <c r="R46" s="129">
        <f t="shared" si="8"/>
        <v>-0.99393122049898852</v>
      </c>
      <c r="S46" s="169"/>
    </row>
    <row r="47" spans="1:22" s="95" customFormat="1" x14ac:dyDescent="0.3">
      <c r="A47" s="95" t="s">
        <v>43</v>
      </c>
      <c r="B47" s="80">
        <f t="shared" ref="B47:G47" si="13">SUM(B44:B46)</f>
        <v>172912</v>
      </c>
      <c r="C47" s="80">
        <f t="shared" si="13"/>
        <v>210911</v>
      </c>
      <c r="D47" s="80">
        <f t="shared" si="13"/>
        <v>244482</v>
      </c>
      <c r="E47" s="80">
        <f t="shared" si="13"/>
        <v>291080</v>
      </c>
      <c r="F47" s="80">
        <f t="shared" si="13"/>
        <v>225701</v>
      </c>
      <c r="G47" s="80">
        <f t="shared" si="13"/>
        <v>280279</v>
      </c>
      <c r="H47" s="202">
        <f t="shared" ref="H47:N47" si="14">SUM(H44:H46)</f>
        <v>256109</v>
      </c>
      <c r="I47" s="80">
        <f t="shared" si="14"/>
        <v>345845</v>
      </c>
      <c r="J47" s="211">
        <f t="shared" si="14"/>
        <v>382332</v>
      </c>
      <c r="K47" s="134">
        <f t="shared" si="14"/>
        <v>80149</v>
      </c>
      <c r="L47" s="134">
        <f t="shared" si="14"/>
        <v>84940</v>
      </c>
      <c r="M47" s="134">
        <f t="shared" si="14"/>
        <v>99819</v>
      </c>
      <c r="N47" s="134">
        <f t="shared" si="14"/>
        <v>84491</v>
      </c>
      <c r="O47" s="129">
        <f t="shared" si="7"/>
        <v>-0.15355793987116681</v>
      </c>
      <c r="P47" s="134">
        <f>SUM(P44:P46)</f>
        <v>179968</v>
      </c>
      <c r="Q47" s="134">
        <f>SUM(Q44:Q46)</f>
        <v>169431</v>
      </c>
      <c r="R47" s="129">
        <f t="shared" si="8"/>
        <v>-5.8549297652916076E-2</v>
      </c>
      <c r="S47" s="169"/>
      <c r="T47" s="85"/>
      <c r="U47" s="85"/>
      <c r="V47" s="85"/>
    </row>
    <row r="48" spans="1:22" s="85" customFormat="1" x14ac:dyDescent="0.3">
      <c r="A48" s="85" t="s">
        <v>15</v>
      </c>
      <c r="B48" s="81">
        <v>-3501</v>
      </c>
      <c r="C48" s="81">
        <v>-214</v>
      </c>
      <c r="D48" s="81">
        <v>-190</v>
      </c>
      <c r="E48" s="81">
        <v>-74</v>
      </c>
      <c r="F48" s="81">
        <v>-205</v>
      </c>
      <c r="G48" s="81">
        <v>-1876</v>
      </c>
      <c r="H48" s="199">
        <v>-127</v>
      </c>
      <c r="I48" s="81">
        <v>-361</v>
      </c>
      <c r="J48" s="212">
        <v>-2436</v>
      </c>
      <c r="K48" s="135">
        <v>-2289</v>
      </c>
      <c r="L48" s="135">
        <v>-54</v>
      </c>
      <c r="M48" s="135">
        <f>+P48-K48</f>
        <v>911</v>
      </c>
      <c r="N48" s="135">
        <f>+Q48-L48</f>
        <v>-26</v>
      </c>
      <c r="O48" s="129">
        <f t="shared" si="7"/>
        <v>-1.0285400658616906</v>
      </c>
      <c r="P48" s="135">
        <v>-1378</v>
      </c>
      <c r="Q48" s="135">
        <v>-80</v>
      </c>
      <c r="R48" s="129">
        <f t="shared" si="8"/>
        <v>-0.94194484760522501</v>
      </c>
      <c r="S48" s="169"/>
    </row>
    <row r="49" spans="1:19" s="85" customFormat="1" ht="15.75" thickBot="1" x14ac:dyDescent="0.35">
      <c r="A49" s="102" t="s">
        <v>17</v>
      </c>
      <c r="B49" s="103">
        <f t="shared" ref="B49:G49" si="15">SUM(B47:B48)</f>
        <v>169411</v>
      </c>
      <c r="C49" s="103">
        <f t="shared" si="15"/>
        <v>210697</v>
      </c>
      <c r="D49" s="103">
        <f t="shared" si="15"/>
        <v>244292</v>
      </c>
      <c r="E49" s="103">
        <f t="shared" si="15"/>
        <v>291006</v>
      </c>
      <c r="F49" s="103">
        <f t="shared" si="15"/>
        <v>225496</v>
      </c>
      <c r="G49" s="103">
        <f t="shared" si="15"/>
        <v>278403</v>
      </c>
      <c r="H49" s="209">
        <f t="shared" ref="H49:N49" si="16">SUM(H47:H48)</f>
        <v>255982</v>
      </c>
      <c r="I49" s="103">
        <f t="shared" si="16"/>
        <v>345484</v>
      </c>
      <c r="J49" s="213">
        <f t="shared" si="16"/>
        <v>379896</v>
      </c>
      <c r="K49" s="166">
        <f t="shared" si="16"/>
        <v>77860</v>
      </c>
      <c r="L49" s="166">
        <f t="shared" si="16"/>
        <v>84886</v>
      </c>
      <c r="M49" s="166">
        <f t="shared" si="16"/>
        <v>100730</v>
      </c>
      <c r="N49" s="166">
        <f t="shared" si="16"/>
        <v>84465</v>
      </c>
      <c r="O49" s="130">
        <f t="shared" si="7"/>
        <v>-0.16147125980343494</v>
      </c>
      <c r="P49" s="166">
        <f>SUM(P47:P48)</f>
        <v>178590</v>
      </c>
      <c r="Q49" s="166">
        <f>SUM(Q47:Q48)</f>
        <v>169351</v>
      </c>
      <c r="R49" s="130">
        <f t="shared" si="8"/>
        <v>-5.1733019765944341E-2</v>
      </c>
      <c r="S49" s="169"/>
    </row>
    <row r="50" spans="1:19" s="85" customFormat="1" x14ac:dyDescent="0.3">
      <c r="C50" s="80"/>
      <c r="H50" s="81"/>
      <c r="I50" s="81"/>
      <c r="J50" s="81"/>
      <c r="K50" s="81"/>
      <c r="L50" s="82"/>
    </row>
    <row r="51" spans="1:19" s="85" customFormat="1" x14ac:dyDescent="0.3">
      <c r="A51" s="85" t="s">
        <v>53</v>
      </c>
      <c r="C51" s="81"/>
      <c r="H51" s="81"/>
      <c r="I51" s="81"/>
      <c r="J51" s="81"/>
      <c r="K51" s="81"/>
      <c r="L51" s="82"/>
    </row>
    <row r="52" spans="1:19" s="85" customFormat="1" x14ac:dyDescent="0.3">
      <c r="C52" s="81"/>
      <c r="E52" s="80"/>
      <c r="H52" s="81"/>
      <c r="I52" s="81"/>
      <c r="J52" s="81"/>
      <c r="K52" s="81"/>
      <c r="L52" s="82"/>
    </row>
    <row r="53" spans="1:19" s="85" customFormat="1" x14ac:dyDescent="0.3">
      <c r="C53" s="81"/>
      <c r="E53" s="81"/>
      <c r="H53" s="81"/>
      <c r="I53" s="81"/>
      <c r="J53" s="81"/>
      <c r="K53" s="81"/>
      <c r="L53" s="82"/>
    </row>
    <row r="54" spans="1:19" s="85" customFormat="1" x14ac:dyDescent="0.3">
      <c r="C54" s="80"/>
      <c r="E54" s="81"/>
      <c r="H54" s="81"/>
      <c r="I54" s="81"/>
      <c r="J54" s="81"/>
      <c r="K54" s="81"/>
      <c r="L54" s="82"/>
    </row>
    <row r="55" spans="1:19" s="85" customFormat="1" x14ac:dyDescent="0.3">
      <c r="C55" s="81"/>
      <c r="E55" s="81"/>
      <c r="H55" s="81"/>
      <c r="I55" s="81"/>
      <c r="J55" s="81"/>
      <c r="K55" s="81"/>
      <c r="L55" s="82"/>
    </row>
    <row r="56" spans="1:19" x14ac:dyDescent="0.3">
      <c r="C56" s="80"/>
      <c r="E56" s="80"/>
    </row>
    <row r="57" spans="1:19" x14ac:dyDescent="0.3">
      <c r="C57" s="81"/>
      <c r="E57" s="81"/>
    </row>
    <row r="58" spans="1:19" x14ac:dyDescent="0.3">
      <c r="C58" s="81"/>
      <c r="E58" s="80"/>
    </row>
  </sheetData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X82"/>
  <sheetViews>
    <sheetView topLeftCell="G14" workbookViewId="0">
      <selection activeCell="V55" sqref="V55"/>
    </sheetView>
  </sheetViews>
  <sheetFormatPr baseColWidth="10" defaultColWidth="11.42578125" defaultRowHeight="15" x14ac:dyDescent="0.3"/>
  <cols>
    <col min="1" max="1" width="32.140625" style="73" customWidth="1"/>
    <col min="2" max="4" width="10.42578125" style="73" bestFit="1" customWidth="1"/>
    <col min="5" max="7" width="11.140625" style="73" bestFit="1" customWidth="1"/>
    <col min="8" max="9" width="11.140625" style="74" bestFit="1" customWidth="1"/>
    <col min="10" max="10" width="11.5703125" style="74" bestFit="1" customWidth="1"/>
    <col min="11" max="11" width="11.140625" style="74" bestFit="1" customWidth="1"/>
    <col min="12" max="12" width="11.140625" style="75" bestFit="1" customWidth="1"/>
    <col min="13" max="13" width="11.7109375" style="75" customWidth="1"/>
    <col min="14" max="15" width="10.42578125" style="76" bestFit="1" customWidth="1"/>
    <col min="16" max="16" width="10.28515625" style="73" bestFit="1" customWidth="1"/>
    <col min="17" max="16384" width="11.42578125" style="73"/>
  </cols>
  <sheetData>
    <row r="6" spans="1:20" ht="21" x14ac:dyDescent="0.35">
      <c r="A6" s="116" t="s">
        <v>40</v>
      </c>
      <c r="B6" s="116"/>
      <c r="C6" s="116"/>
      <c r="D6" s="116"/>
      <c r="E6" s="116"/>
      <c r="F6" s="116"/>
      <c r="G6" s="116"/>
    </row>
    <row r="7" spans="1:20" ht="15.75" x14ac:dyDescent="0.3">
      <c r="A7" s="78" t="s">
        <v>129</v>
      </c>
      <c r="B7" s="78"/>
      <c r="C7" s="78"/>
      <c r="D7" s="78"/>
      <c r="E7" s="78"/>
      <c r="F7" s="78"/>
      <c r="G7" s="78"/>
    </row>
    <row r="8" spans="1:20" x14ac:dyDescent="0.3">
      <c r="A8" s="79" t="s">
        <v>88</v>
      </c>
      <c r="B8" s="79"/>
      <c r="C8" s="79"/>
      <c r="D8" s="79"/>
      <c r="E8" s="79"/>
      <c r="F8" s="79"/>
      <c r="G8" s="79"/>
    </row>
    <row r="9" spans="1:20" s="85" customFormat="1" x14ac:dyDescent="0.3">
      <c r="H9" s="81"/>
      <c r="I9" s="81"/>
      <c r="J9" s="81"/>
      <c r="K9" s="81"/>
      <c r="L9" s="82"/>
      <c r="M9" s="82"/>
      <c r="N9" s="83"/>
      <c r="O9" s="83"/>
      <c r="P9" s="84"/>
      <c r="Q9" s="84"/>
      <c r="R9" s="84"/>
      <c r="S9" s="84"/>
    </row>
    <row r="10" spans="1:20" s="85" customFormat="1" ht="15.75" thickBot="1" x14ac:dyDescent="0.35">
      <c r="A10" s="152" t="s">
        <v>20</v>
      </c>
      <c r="B10" s="144">
        <v>2005</v>
      </c>
      <c r="C10" s="144">
        <v>2006</v>
      </c>
      <c r="D10" s="144">
        <v>2007</v>
      </c>
      <c r="E10" s="144">
        <v>2008</v>
      </c>
      <c r="F10" s="144">
        <v>2009</v>
      </c>
      <c r="G10" s="144">
        <v>2010</v>
      </c>
      <c r="H10" s="198">
        <v>2011</v>
      </c>
      <c r="I10" s="145">
        <v>2012</v>
      </c>
      <c r="J10" s="145">
        <v>2013</v>
      </c>
      <c r="K10" s="146" t="s">
        <v>46</v>
      </c>
      <c r="L10" s="145">
        <v>2013</v>
      </c>
      <c r="M10" s="145">
        <v>2014</v>
      </c>
      <c r="N10" s="146" t="s">
        <v>46</v>
      </c>
      <c r="O10" s="83"/>
      <c r="P10" s="83"/>
      <c r="Q10" s="106"/>
      <c r="R10" s="84"/>
      <c r="S10" s="84"/>
      <c r="T10" s="84"/>
    </row>
    <row r="11" spans="1:20" s="85" customFormat="1" x14ac:dyDescent="0.3">
      <c r="A11" s="153" t="s">
        <v>21</v>
      </c>
      <c r="B11" s="81">
        <v>121469</v>
      </c>
      <c r="C11" s="81">
        <v>147021</v>
      </c>
      <c r="D11" s="81">
        <v>141066</v>
      </c>
      <c r="E11" s="81">
        <v>200123</v>
      </c>
      <c r="F11" s="81">
        <v>152572</v>
      </c>
      <c r="G11" s="81">
        <v>133389</v>
      </c>
      <c r="H11" s="199">
        <v>193087</v>
      </c>
      <c r="I11" s="117">
        <v>291812</v>
      </c>
      <c r="J11" s="117">
        <v>415478</v>
      </c>
      <c r="K11" s="129">
        <f t="shared" ref="K11:K20" si="0">+(J11-I11)/I11</f>
        <v>0.42378654750318701</v>
      </c>
      <c r="L11" s="117">
        <v>313031</v>
      </c>
      <c r="M11" s="117">
        <v>224898</v>
      </c>
      <c r="N11" s="129">
        <f>+(M11-L11)/L11</f>
        <v>-0.28154719500624537</v>
      </c>
      <c r="O11" s="83"/>
      <c r="P11" s="83"/>
      <c r="Q11" s="108"/>
      <c r="R11" s="84"/>
      <c r="S11" s="84"/>
      <c r="T11" s="84"/>
    </row>
    <row r="12" spans="1:20" s="85" customFormat="1" x14ac:dyDescent="0.3">
      <c r="A12" s="153" t="s">
        <v>22</v>
      </c>
      <c r="B12" s="81">
        <v>328742</v>
      </c>
      <c r="C12" s="81">
        <v>323226</v>
      </c>
      <c r="D12" s="81">
        <v>322254</v>
      </c>
      <c r="E12" s="81">
        <v>299414</v>
      </c>
      <c r="F12" s="81">
        <v>335272</v>
      </c>
      <c r="G12" s="81">
        <v>330481</v>
      </c>
      <c r="H12" s="199">
        <v>329071</v>
      </c>
      <c r="I12" s="117">
        <v>330090</v>
      </c>
      <c r="J12" s="117">
        <v>357830</v>
      </c>
      <c r="K12" s="129">
        <f t="shared" si="0"/>
        <v>8.4037686691508379E-2</v>
      </c>
      <c r="L12" s="117">
        <v>357100</v>
      </c>
      <c r="M12" s="117">
        <v>377411</v>
      </c>
      <c r="N12" s="129">
        <f t="shared" ref="N12:N19" si="1">+(M12-L12)/L12</f>
        <v>5.6877625315037803E-2</v>
      </c>
      <c r="O12" s="170"/>
      <c r="P12" s="83"/>
      <c r="Q12" s="106"/>
      <c r="R12" s="84"/>
      <c r="S12" s="84"/>
      <c r="T12" s="84"/>
    </row>
    <row r="13" spans="1:20" s="85" customFormat="1" x14ac:dyDescent="0.3">
      <c r="A13" s="153" t="s">
        <v>23</v>
      </c>
      <c r="B13" s="81">
        <v>292269</v>
      </c>
      <c r="C13" s="81">
        <v>381730</v>
      </c>
      <c r="D13" s="81">
        <v>426683</v>
      </c>
      <c r="E13" s="81">
        <v>656631</v>
      </c>
      <c r="F13" s="81">
        <v>523529</v>
      </c>
      <c r="G13" s="81">
        <v>586256</v>
      </c>
      <c r="H13" s="199">
        <v>650631</v>
      </c>
      <c r="I13" s="117">
        <v>681860</v>
      </c>
      <c r="J13" s="117">
        <v>857299</v>
      </c>
      <c r="K13" s="129">
        <f t="shared" si="0"/>
        <v>0.25729475258850792</v>
      </c>
      <c r="L13" s="117">
        <v>709725</v>
      </c>
      <c r="M13" s="117">
        <v>871888</v>
      </c>
      <c r="N13" s="129">
        <f t="shared" si="1"/>
        <v>0.22848709007009757</v>
      </c>
      <c r="O13" s="83"/>
      <c r="P13" s="83"/>
      <c r="Q13" s="106"/>
      <c r="R13" s="84"/>
      <c r="S13" s="84"/>
      <c r="T13" s="84"/>
    </row>
    <row r="14" spans="1:20" s="85" customFormat="1" x14ac:dyDescent="0.3">
      <c r="A14" s="153" t="s">
        <v>36</v>
      </c>
      <c r="B14" s="81">
        <v>274553</v>
      </c>
      <c r="C14" s="81">
        <v>371699</v>
      </c>
      <c r="D14" s="81">
        <v>434839</v>
      </c>
      <c r="E14" s="81">
        <v>528465</v>
      </c>
      <c r="F14" s="81">
        <v>494120</v>
      </c>
      <c r="G14" s="81">
        <v>553016</v>
      </c>
      <c r="H14" s="199">
        <v>601866</v>
      </c>
      <c r="I14" s="117">
        <v>555796</v>
      </c>
      <c r="J14" s="117">
        <v>725323</v>
      </c>
      <c r="K14" s="129">
        <f t="shared" si="0"/>
        <v>0.30501658882035854</v>
      </c>
      <c r="L14" s="117">
        <v>629949</v>
      </c>
      <c r="M14" s="117">
        <v>806820</v>
      </c>
      <c r="N14" s="129">
        <f t="shared" si="1"/>
        <v>0.28077034807579659</v>
      </c>
      <c r="O14" s="83"/>
      <c r="P14" s="83"/>
      <c r="Q14" s="106"/>
      <c r="R14" s="84"/>
      <c r="S14" s="84"/>
      <c r="T14" s="84"/>
    </row>
    <row r="15" spans="1:20" s="85" customFormat="1" x14ac:dyDescent="0.3">
      <c r="A15" s="153" t="s">
        <v>60</v>
      </c>
      <c r="B15" s="81">
        <v>456824</v>
      </c>
      <c r="C15" s="81">
        <v>561031</v>
      </c>
      <c r="D15" s="81">
        <v>653908</v>
      </c>
      <c r="E15" s="81">
        <v>767527</v>
      </c>
      <c r="F15" s="81">
        <v>977261</v>
      </c>
      <c r="G15" s="81">
        <v>988793</v>
      </c>
      <c r="H15" s="199">
        <v>1009855</v>
      </c>
      <c r="I15" s="117">
        <v>1135785</v>
      </c>
      <c r="J15" s="117">
        <v>1456074</v>
      </c>
      <c r="K15" s="129">
        <f t="shared" si="0"/>
        <v>0.28199791333747143</v>
      </c>
      <c r="L15" s="117">
        <v>1171045</v>
      </c>
      <c r="M15" s="117">
        <v>1352509</v>
      </c>
      <c r="N15" s="129">
        <f t="shared" si="1"/>
        <v>0.15495903231728925</v>
      </c>
      <c r="O15" s="83"/>
      <c r="P15" s="83"/>
      <c r="Q15" s="106"/>
      <c r="R15" s="84"/>
      <c r="S15" s="84"/>
      <c r="T15" s="84"/>
    </row>
    <row r="16" spans="1:20" s="85" customFormat="1" x14ac:dyDescent="0.3">
      <c r="A16" s="153" t="s">
        <v>47</v>
      </c>
      <c r="B16" s="81">
        <v>63266</v>
      </c>
      <c r="C16" s="81">
        <v>621440</v>
      </c>
      <c r="D16" s="81">
        <v>564218</v>
      </c>
      <c r="E16" s="81">
        <v>543336</v>
      </c>
      <c r="F16" s="81">
        <v>748013</v>
      </c>
      <c r="G16" s="81">
        <v>853564</v>
      </c>
      <c r="H16" s="199">
        <v>900384</v>
      </c>
      <c r="I16" s="117">
        <v>1025441</v>
      </c>
      <c r="J16" s="117">
        <v>2038332</v>
      </c>
      <c r="K16" s="129">
        <f t="shared" si="0"/>
        <v>0.9877613631598503</v>
      </c>
      <c r="L16" s="117">
        <v>1027805</v>
      </c>
      <c r="M16" s="117">
        <v>1902487</v>
      </c>
      <c r="N16" s="129">
        <f t="shared" si="1"/>
        <v>0.85101940543196419</v>
      </c>
      <c r="O16" s="83"/>
      <c r="P16" s="83"/>
      <c r="Q16" s="106"/>
      <c r="R16" s="84"/>
      <c r="S16" s="84"/>
      <c r="T16" s="84"/>
    </row>
    <row r="17" spans="1:20" s="85" customFormat="1" x14ac:dyDescent="0.3">
      <c r="A17" s="153" t="s">
        <v>24</v>
      </c>
      <c r="B17" s="81">
        <v>12635</v>
      </c>
      <c r="C17" s="81">
        <v>23420</v>
      </c>
      <c r="D17" s="81">
        <v>57260</v>
      </c>
      <c r="E17" s="81">
        <v>28175</v>
      </c>
      <c r="F17" s="81">
        <v>79348</v>
      </c>
      <c r="G17" s="81">
        <v>67002</v>
      </c>
      <c r="H17" s="199">
        <v>130401</v>
      </c>
      <c r="I17" s="117">
        <v>57452</v>
      </c>
      <c r="J17" s="117">
        <v>101223</v>
      </c>
      <c r="K17" s="129">
        <f t="shared" si="0"/>
        <v>0.76187077908514933</v>
      </c>
      <c r="L17" s="117">
        <v>56987</v>
      </c>
      <c r="M17" s="117">
        <v>86392</v>
      </c>
      <c r="N17" s="129">
        <f t="shared" si="1"/>
        <v>0.51599487602435645</v>
      </c>
      <c r="O17" s="83"/>
      <c r="P17" s="83"/>
      <c r="Q17" s="106"/>
      <c r="R17" s="84"/>
      <c r="S17" s="84"/>
      <c r="T17" s="84"/>
    </row>
    <row r="18" spans="1:20" s="85" customFormat="1" x14ac:dyDescent="0.3">
      <c r="A18" s="153" t="s">
        <v>25</v>
      </c>
      <c r="B18" s="81">
        <v>3714</v>
      </c>
      <c r="C18" s="81">
        <v>11893</v>
      </c>
      <c r="D18" s="81">
        <v>12073</v>
      </c>
      <c r="E18" s="81">
        <v>44095</v>
      </c>
      <c r="F18" s="81">
        <v>19094</v>
      </c>
      <c r="G18" s="81">
        <v>16902</v>
      </c>
      <c r="H18" s="199">
        <v>18323</v>
      </c>
      <c r="I18" s="117">
        <v>6913</v>
      </c>
      <c r="J18" s="117">
        <v>16502</v>
      </c>
      <c r="K18" s="129">
        <f t="shared" si="0"/>
        <v>1.3870967741935485</v>
      </c>
      <c r="L18" s="117">
        <v>6728</v>
      </c>
      <c r="M18" s="117">
        <v>19791</v>
      </c>
      <c r="N18" s="129">
        <f t="shared" si="1"/>
        <v>1.9415873959571939</v>
      </c>
      <c r="O18" s="83"/>
      <c r="P18" s="83"/>
      <c r="Q18" s="106"/>
      <c r="R18" s="84"/>
      <c r="S18" s="84"/>
      <c r="T18" s="84"/>
    </row>
    <row r="19" spans="1:20" s="85" customFormat="1" x14ac:dyDescent="0.3">
      <c r="A19" s="153" t="s">
        <v>26</v>
      </c>
      <c r="B19" s="81">
        <v>2468685</v>
      </c>
      <c r="C19" s="81">
        <v>2591441</v>
      </c>
      <c r="D19" s="81">
        <v>2736001</v>
      </c>
      <c r="E19" s="81">
        <v>2268787</v>
      </c>
      <c r="F19" s="81">
        <v>3599917</v>
      </c>
      <c r="G19" s="81">
        <v>4555288</v>
      </c>
      <c r="H19" s="199">
        <v>4097551</v>
      </c>
      <c r="I19" s="117">
        <v>4866415</v>
      </c>
      <c r="J19" s="117">
        <v>4612437</v>
      </c>
      <c r="K19" s="129">
        <f t="shared" si="0"/>
        <v>-5.2189959138297902E-2</v>
      </c>
      <c r="L19" s="117">
        <v>4679552</v>
      </c>
      <c r="M19" s="117">
        <v>5216883</v>
      </c>
      <c r="N19" s="129">
        <f t="shared" si="1"/>
        <v>0.1148253080636779</v>
      </c>
      <c r="O19" s="83"/>
      <c r="P19" s="83"/>
      <c r="Q19" s="106"/>
      <c r="R19" s="84"/>
      <c r="S19" s="84"/>
      <c r="T19" s="84"/>
    </row>
    <row r="20" spans="1:20" s="85" customFormat="1" ht="15.75" thickBot="1" x14ac:dyDescent="0.35">
      <c r="A20" s="154" t="s">
        <v>27</v>
      </c>
      <c r="B20" s="91">
        <v>4022157</v>
      </c>
      <c r="C20" s="91">
        <v>5032901</v>
      </c>
      <c r="D20" s="91">
        <v>5348302</v>
      </c>
      <c r="E20" s="91">
        <v>5336553</v>
      </c>
      <c r="F20" s="91">
        <v>6929126</v>
      </c>
      <c r="G20" s="91">
        <v>8084691</v>
      </c>
      <c r="H20" s="200">
        <f>SUM(H11:H19)</f>
        <v>7931169</v>
      </c>
      <c r="I20" s="118">
        <f>SUM(I11:I19)</f>
        <v>8951564</v>
      </c>
      <c r="J20" s="118">
        <f>SUM(J11:J19)</f>
        <v>10580498</v>
      </c>
      <c r="K20" s="130">
        <f t="shared" si="0"/>
        <v>0.18197199952991455</v>
      </c>
      <c r="L20" s="118">
        <f>SUM(L11:L19)</f>
        <v>8951922</v>
      </c>
      <c r="M20" s="118">
        <f>SUM(M11:M19)</f>
        <v>10859079</v>
      </c>
      <c r="N20" s="130">
        <f>+(M20-L20)/L20</f>
        <v>0.21304441660684711</v>
      </c>
      <c r="O20" s="83"/>
      <c r="P20" s="83"/>
      <c r="Q20" s="106"/>
      <c r="R20" s="84"/>
      <c r="S20" s="84"/>
      <c r="T20" s="84"/>
    </row>
    <row r="21" spans="1:20" s="85" customFormat="1" x14ac:dyDescent="0.3">
      <c r="A21" s="153"/>
      <c r="B21" s="81"/>
      <c r="C21" s="81"/>
      <c r="D21" s="81"/>
      <c r="E21" s="81"/>
      <c r="F21" s="81"/>
      <c r="G21" s="81"/>
      <c r="H21" s="199"/>
      <c r="I21" s="117"/>
      <c r="J21" s="117"/>
      <c r="K21" s="129"/>
      <c r="L21" s="117"/>
      <c r="M21" s="117"/>
      <c r="N21" s="129"/>
      <c r="O21" s="83"/>
      <c r="P21" s="83"/>
      <c r="Q21" s="106"/>
      <c r="R21" s="84"/>
      <c r="S21" s="84"/>
      <c r="T21" s="84"/>
    </row>
    <row r="22" spans="1:20" s="85" customFormat="1" x14ac:dyDescent="0.3">
      <c r="A22" s="152" t="s">
        <v>48</v>
      </c>
      <c r="B22" s="125">
        <v>2005</v>
      </c>
      <c r="C22" s="125">
        <v>2006</v>
      </c>
      <c r="D22" s="125">
        <v>2007</v>
      </c>
      <c r="E22" s="125">
        <v>2008</v>
      </c>
      <c r="F22" s="125">
        <v>2009</v>
      </c>
      <c r="G22" s="125">
        <v>2010</v>
      </c>
      <c r="H22" s="201">
        <v>2011</v>
      </c>
      <c r="I22" s="127">
        <v>2012</v>
      </c>
      <c r="J22" s="127">
        <v>2013</v>
      </c>
      <c r="K22" s="128" t="s">
        <v>123</v>
      </c>
      <c r="L22" s="127">
        <v>2013</v>
      </c>
      <c r="M22" s="127">
        <v>2014</v>
      </c>
      <c r="N22" s="128" t="s">
        <v>46</v>
      </c>
      <c r="O22" s="83"/>
      <c r="P22" s="83"/>
      <c r="Q22" s="108"/>
      <c r="R22" s="84"/>
      <c r="S22" s="84"/>
      <c r="T22" s="84"/>
    </row>
    <row r="23" spans="1:20" s="85" customFormat="1" x14ac:dyDescent="0.3">
      <c r="A23" s="153" t="s">
        <v>28</v>
      </c>
      <c r="B23" s="81">
        <v>41040</v>
      </c>
      <c r="C23" s="81">
        <v>705877</v>
      </c>
      <c r="D23" s="81">
        <v>718503</v>
      </c>
      <c r="E23" s="81">
        <v>884817</v>
      </c>
      <c r="F23" s="81">
        <v>1015157</v>
      </c>
      <c r="G23" s="81">
        <v>1126326</v>
      </c>
      <c r="H23" s="199">
        <v>679598</v>
      </c>
      <c r="I23" s="117">
        <v>690354</v>
      </c>
      <c r="J23" s="117">
        <v>1996737</v>
      </c>
      <c r="K23" s="129">
        <f t="shared" ref="K23:K34" si="2">+(J23-I23)/I23</f>
        <v>1.8923378440626113</v>
      </c>
      <c r="L23" s="117">
        <v>682715</v>
      </c>
      <c r="M23" s="117">
        <v>2005211</v>
      </c>
      <c r="N23" s="129">
        <f t="shared" ref="N23:N34" si="3">+(M23-L23)/L23</f>
        <v>1.9371128508967872</v>
      </c>
      <c r="O23" s="83"/>
      <c r="P23" s="83"/>
      <c r="Q23" s="106"/>
      <c r="R23" s="84"/>
      <c r="S23" s="84"/>
      <c r="T23" s="84"/>
    </row>
    <row r="24" spans="1:20" s="85" customFormat="1" x14ac:dyDescent="0.3">
      <c r="A24" s="153" t="s">
        <v>49</v>
      </c>
      <c r="B24" s="81">
        <v>111023</v>
      </c>
      <c r="C24" s="81">
        <v>146194</v>
      </c>
      <c r="D24" s="81">
        <v>146091</v>
      </c>
      <c r="E24" s="81">
        <v>163812</v>
      </c>
      <c r="F24" s="81">
        <v>124270</v>
      </c>
      <c r="G24" s="81">
        <v>165155</v>
      </c>
      <c r="H24" s="199">
        <v>163168</v>
      </c>
      <c r="I24" s="117">
        <v>170648</v>
      </c>
      <c r="J24" s="117">
        <v>299136</v>
      </c>
      <c r="K24" s="129">
        <f t="shared" si="2"/>
        <v>0.75294172800150017</v>
      </c>
      <c r="L24" s="117">
        <v>170685</v>
      </c>
      <c r="M24" s="117">
        <v>201252</v>
      </c>
      <c r="N24" s="129">
        <f t="shared" si="3"/>
        <v>0.17908427805606819</v>
      </c>
      <c r="O24" s="83"/>
      <c r="P24" s="83"/>
      <c r="Q24" s="108"/>
      <c r="R24" s="84"/>
      <c r="S24" s="84"/>
      <c r="T24" s="84"/>
    </row>
    <row r="25" spans="1:20" s="85" customFormat="1" x14ac:dyDescent="0.3">
      <c r="A25" s="153" t="s">
        <v>38</v>
      </c>
      <c r="B25" s="81">
        <v>59396</v>
      </c>
      <c r="C25" s="81">
        <v>108992</v>
      </c>
      <c r="D25" s="81">
        <v>140644</v>
      </c>
      <c r="E25" s="81">
        <v>173147</v>
      </c>
      <c r="F25" s="81">
        <v>141613</v>
      </c>
      <c r="G25" s="81">
        <v>209038</v>
      </c>
      <c r="H25" s="199">
        <v>217244</v>
      </c>
      <c r="I25" s="117">
        <v>259622</v>
      </c>
      <c r="J25" s="117">
        <v>339737</v>
      </c>
      <c r="K25" s="129">
        <f t="shared" si="2"/>
        <v>0.30858324795279291</v>
      </c>
      <c r="L25" s="117">
        <v>300091</v>
      </c>
      <c r="M25" s="117">
        <v>376963</v>
      </c>
      <c r="N25" s="129">
        <f t="shared" si="3"/>
        <v>0.25616229743644425</v>
      </c>
      <c r="O25" s="83"/>
      <c r="P25" s="83"/>
      <c r="Q25" s="106"/>
      <c r="R25" s="84"/>
      <c r="S25" s="84"/>
      <c r="T25" s="84"/>
    </row>
    <row r="26" spans="1:20" s="85" customFormat="1" x14ac:dyDescent="0.3">
      <c r="A26" s="153" t="s">
        <v>30</v>
      </c>
      <c r="B26" s="81">
        <v>55165</v>
      </c>
      <c r="C26" s="81">
        <v>54299</v>
      </c>
      <c r="D26" s="81">
        <v>55981</v>
      </c>
      <c r="E26" s="81">
        <v>61484</v>
      </c>
      <c r="F26" s="81">
        <v>52025</v>
      </c>
      <c r="G26" s="81">
        <v>68247</v>
      </c>
      <c r="H26" s="199">
        <v>132822</v>
      </c>
      <c r="I26" s="117">
        <v>138203</v>
      </c>
      <c r="J26" s="117">
        <v>159523</v>
      </c>
      <c r="K26" s="129">
        <f t="shared" si="2"/>
        <v>0.15426582635688083</v>
      </c>
      <c r="L26" s="117">
        <v>97757</v>
      </c>
      <c r="M26" s="117">
        <v>68781</v>
      </c>
      <c r="N26" s="129">
        <f t="shared" si="3"/>
        <v>-0.29640844133923916</v>
      </c>
      <c r="O26" s="83"/>
      <c r="P26" s="83"/>
      <c r="Q26" s="106"/>
      <c r="R26" s="84"/>
      <c r="S26" s="84"/>
      <c r="T26" s="84"/>
    </row>
    <row r="27" spans="1:20" s="85" customFormat="1" x14ac:dyDescent="0.3">
      <c r="A27" s="153" t="s">
        <v>31</v>
      </c>
      <c r="B27" s="81">
        <v>34448</v>
      </c>
      <c r="C27" s="81">
        <v>46282</v>
      </c>
      <c r="D27" s="81">
        <v>58521</v>
      </c>
      <c r="E27" s="81">
        <v>75362</v>
      </c>
      <c r="F27" s="81">
        <v>77811</v>
      </c>
      <c r="G27" s="81">
        <v>88387</v>
      </c>
      <c r="H27" s="199">
        <v>96429</v>
      </c>
      <c r="I27" s="117">
        <v>109969</v>
      </c>
      <c r="J27" s="117">
        <v>138378</v>
      </c>
      <c r="K27" s="129">
        <f t="shared" si="2"/>
        <v>0.25833644026953051</v>
      </c>
      <c r="L27" s="117">
        <v>56009</v>
      </c>
      <c r="M27" s="117">
        <v>50970</v>
      </c>
      <c r="N27" s="129">
        <f t="shared" si="3"/>
        <v>-8.9967683765109177E-2</v>
      </c>
      <c r="O27" s="83"/>
      <c r="P27" s="83"/>
      <c r="Q27" s="106"/>
      <c r="R27" s="84"/>
      <c r="S27" s="84"/>
      <c r="T27" s="84"/>
    </row>
    <row r="28" spans="1:20" s="85" customFormat="1" x14ac:dyDescent="0.3">
      <c r="A28" s="153" t="s">
        <v>32</v>
      </c>
      <c r="B28" s="81">
        <v>33024</v>
      </c>
      <c r="C28" s="81">
        <v>38698</v>
      </c>
      <c r="D28" s="81">
        <v>57731</v>
      </c>
      <c r="E28" s="81">
        <v>63828</v>
      </c>
      <c r="F28" s="81">
        <v>65860</v>
      </c>
      <c r="G28" s="81">
        <v>31651</v>
      </c>
      <c r="H28" s="199">
        <v>33608</v>
      </c>
      <c r="I28" s="117">
        <v>28288</v>
      </c>
      <c r="J28" s="117">
        <v>54184</v>
      </c>
      <c r="K28" s="129">
        <f t="shared" si="2"/>
        <v>0.9154411764705882</v>
      </c>
      <c r="L28" s="117">
        <v>237495</v>
      </c>
      <c r="M28" s="117">
        <v>261277</v>
      </c>
      <c r="N28" s="129">
        <f t="shared" si="3"/>
        <v>0.10013684498621024</v>
      </c>
      <c r="O28" s="83"/>
      <c r="P28" s="83"/>
      <c r="Q28" s="106"/>
      <c r="R28" s="84"/>
      <c r="S28" s="84"/>
      <c r="T28" s="84"/>
    </row>
    <row r="29" spans="1:20" s="85" customFormat="1" x14ac:dyDescent="0.3">
      <c r="A29" s="153" t="s">
        <v>24</v>
      </c>
      <c r="B29" s="81">
        <v>12261</v>
      </c>
      <c r="C29" s="81">
        <v>10307</v>
      </c>
      <c r="D29" s="81">
        <v>36889</v>
      </c>
      <c r="E29" s="81">
        <v>44153</v>
      </c>
      <c r="F29" s="81">
        <v>59601</v>
      </c>
      <c r="G29" s="81">
        <v>58990</v>
      </c>
      <c r="H29" s="199">
        <v>112430</v>
      </c>
      <c r="I29" s="117">
        <v>125466</v>
      </c>
      <c r="J29" s="117">
        <v>159573</v>
      </c>
      <c r="K29" s="129">
        <f t="shared" si="2"/>
        <v>0.27184257089570085</v>
      </c>
      <c r="L29" s="117">
        <v>149022</v>
      </c>
      <c r="M29" s="117">
        <v>228427</v>
      </c>
      <c r="N29" s="129">
        <f t="shared" si="3"/>
        <v>0.53284078860839335</v>
      </c>
      <c r="O29" s="83"/>
      <c r="P29" s="83"/>
      <c r="Q29" s="106"/>
      <c r="R29" s="84"/>
      <c r="S29" s="84"/>
      <c r="T29" s="84"/>
    </row>
    <row r="30" spans="1:20" s="85" customFormat="1" x14ac:dyDescent="0.3">
      <c r="A30" s="153" t="s">
        <v>0</v>
      </c>
      <c r="B30" s="81">
        <v>938</v>
      </c>
      <c r="C30" s="81">
        <v>1750</v>
      </c>
      <c r="D30" s="81">
        <v>1583</v>
      </c>
      <c r="E30" s="81">
        <v>2766</v>
      </c>
      <c r="F30" s="81">
        <v>2549</v>
      </c>
      <c r="G30" s="81">
        <v>1983</v>
      </c>
      <c r="H30" s="199">
        <v>5031</v>
      </c>
      <c r="I30" s="117">
        <v>3762</v>
      </c>
      <c r="J30" s="117">
        <v>3159</v>
      </c>
      <c r="K30" s="129">
        <f t="shared" si="2"/>
        <v>-0.16028708133971292</v>
      </c>
      <c r="L30" s="117">
        <v>2354</v>
      </c>
      <c r="M30" s="117">
        <v>440</v>
      </c>
      <c r="N30" s="129">
        <f t="shared" si="3"/>
        <v>-0.81308411214953269</v>
      </c>
      <c r="O30" s="83"/>
      <c r="P30" s="83"/>
      <c r="Q30" s="106"/>
      <c r="R30" s="84"/>
      <c r="S30" s="84"/>
      <c r="T30" s="84"/>
    </row>
    <row r="31" spans="1:20" s="85" customFormat="1" x14ac:dyDescent="0.3">
      <c r="A31" s="153" t="s">
        <v>33</v>
      </c>
      <c r="B31" s="80">
        <v>347295</v>
      </c>
      <c r="C31" s="80">
        <v>1112399</v>
      </c>
      <c r="D31" s="80">
        <v>1215943</v>
      </c>
      <c r="E31" s="80">
        <v>1469369</v>
      </c>
      <c r="F31" s="80">
        <v>1538886</v>
      </c>
      <c r="G31" s="80">
        <v>1749777</v>
      </c>
      <c r="H31" s="202">
        <f>SUM(H23:H30)</f>
        <v>1440330</v>
      </c>
      <c r="I31" s="119">
        <f>SUM(I23:I30)</f>
        <v>1526312</v>
      </c>
      <c r="J31" s="119">
        <f>SUM(J23:J30)</f>
        <v>3150427</v>
      </c>
      <c r="K31" s="129">
        <f t="shared" si="2"/>
        <v>1.0640779866763808</v>
      </c>
      <c r="L31" s="119">
        <f>SUM(L23:L30)</f>
        <v>1696128</v>
      </c>
      <c r="M31" s="119">
        <f>SUM(M23:M30)</f>
        <v>3193321</v>
      </c>
      <c r="N31" s="129">
        <f t="shared" si="3"/>
        <v>0.88271227171534228</v>
      </c>
      <c r="O31" s="83"/>
      <c r="P31" s="83"/>
      <c r="Q31" s="106"/>
      <c r="R31" s="84"/>
      <c r="S31" s="84"/>
      <c r="T31" s="84"/>
    </row>
    <row r="32" spans="1:20" s="85" customFormat="1" x14ac:dyDescent="0.3">
      <c r="A32" s="153" t="s">
        <v>39</v>
      </c>
      <c r="B32" s="81">
        <v>2519</v>
      </c>
      <c r="C32" s="81">
        <v>2618</v>
      </c>
      <c r="D32" s="81">
        <v>2964</v>
      </c>
      <c r="E32" s="81">
        <v>2751</v>
      </c>
      <c r="F32" s="81">
        <v>3611</v>
      </c>
      <c r="G32" s="81">
        <v>11268</v>
      </c>
      <c r="H32" s="199">
        <v>16209</v>
      </c>
      <c r="I32" s="117">
        <v>16294</v>
      </c>
      <c r="J32" s="117">
        <v>19208</v>
      </c>
      <c r="K32" s="129">
        <f t="shared" si="2"/>
        <v>0.17883883638149012</v>
      </c>
      <c r="L32" s="117">
        <v>3799</v>
      </c>
      <c r="M32" s="117">
        <v>19512</v>
      </c>
      <c r="N32" s="129">
        <f t="shared" si="3"/>
        <v>4.1360884443274548</v>
      </c>
      <c r="O32" s="83"/>
      <c r="P32" s="83"/>
      <c r="Q32" s="106"/>
      <c r="R32" s="84"/>
      <c r="S32" s="84"/>
      <c r="T32" s="84"/>
    </row>
    <row r="33" spans="1:24" s="85" customFormat="1" x14ac:dyDescent="0.3">
      <c r="A33" s="155" t="s">
        <v>34</v>
      </c>
      <c r="B33" s="97">
        <v>3672343</v>
      </c>
      <c r="C33" s="97">
        <v>3917884</v>
      </c>
      <c r="D33" s="97">
        <v>4129395</v>
      </c>
      <c r="E33" s="97">
        <v>3864433</v>
      </c>
      <c r="F33" s="97">
        <v>5386629</v>
      </c>
      <c r="G33" s="97">
        <v>6323646</v>
      </c>
      <c r="H33" s="203">
        <v>6474630</v>
      </c>
      <c r="I33" s="120">
        <f>I20-I31-I32</f>
        <v>7408958</v>
      </c>
      <c r="J33" s="120">
        <f>J20-J31-J32</f>
        <v>7410863</v>
      </c>
      <c r="K33" s="131">
        <f t="shared" si="2"/>
        <v>2.5712117682405542E-4</v>
      </c>
      <c r="L33" s="120">
        <v>7251995</v>
      </c>
      <c r="M33" s="120">
        <f>M20-M31-M32</f>
        <v>7646246</v>
      </c>
      <c r="N33" s="131">
        <f t="shared" si="3"/>
        <v>5.4364488668290585E-2</v>
      </c>
      <c r="O33" s="83"/>
      <c r="P33" s="83"/>
      <c r="Q33" s="108"/>
      <c r="R33" s="84"/>
      <c r="S33" s="84"/>
      <c r="T33" s="84"/>
    </row>
    <row r="34" spans="1:24" s="85" customFormat="1" ht="15.75" thickBot="1" x14ac:dyDescent="0.35">
      <c r="A34" s="151" t="s">
        <v>35</v>
      </c>
      <c r="B34" s="91">
        <v>4022157</v>
      </c>
      <c r="C34" s="91">
        <v>5032901</v>
      </c>
      <c r="D34" s="91">
        <v>5348302</v>
      </c>
      <c r="E34" s="91">
        <v>5336553</v>
      </c>
      <c r="F34" s="91">
        <v>6929126</v>
      </c>
      <c r="G34" s="91">
        <v>8084691</v>
      </c>
      <c r="H34" s="200">
        <f>+H31+H32+H33</f>
        <v>7931169</v>
      </c>
      <c r="I34" s="118">
        <f>+I31+I32+I33</f>
        <v>8951564</v>
      </c>
      <c r="J34" s="118">
        <f>+J31+J32+J33</f>
        <v>10580498</v>
      </c>
      <c r="K34" s="130">
        <f t="shared" si="2"/>
        <v>0.18197199952991455</v>
      </c>
      <c r="L34" s="118">
        <f>+L31+L32+L33</f>
        <v>8951922</v>
      </c>
      <c r="M34" s="118">
        <f>+M31+M32+M33</f>
        <v>10859079</v>
      </c>
      <c r="N34" s="130">
        <f t="shared" si="3"/>
        <v>0.21304441660684711</v>
      </c>
      <c r="O34" s="83"/>
      <c r="P34" s="83"/>
      <c r="Q34" s="108"/>
      <c r="R34" s="84"/>
      <c r="S34" s="84"/>
      <c r="T34" s="84"/>
    </row>
    <row r="35" spans="1:24" s="85" customFormat="1" x14ac:dyDescent="0.3">
      <c r="H35" s="81"/>
      <c r="I35" s="81"/>
      <c r="J35" s="81"/>
      <c r="K35" s="81"/>
      <c r="L35" s="82"/>
      <c r="M35" s="107"/>
      <c r="N35" s="83"/>
      <c r="O35" s="83"/>
      <c r="P35" s="108"/>
      <c r="Q35" s="84"/>
      <c r="R35" s="84"/>
      <c r="S35" s="84"/>
    </row>
    <row r="36" spans="1:24" ht="21" x14ac:dyDescent="0.35">
      <c r="A36" s="116" t="s">
        <v>91</v>
      </c>
      <c r="B36" s="116"/>
      <c r="C36" s="116"/>
      <c r="D36" s="116"/>
      <c r="E36" s="116"/>
      <c r="F36" s="116"/>
      <c r="G36" s="116"/>
    </row>
    <row r="37" spans="1:24" ht="15.75" x14ac:dyDescent="0.3">
      <c r="A37" s="78" t="s">
        <v>130</v>
      </c>
      <c r="B37" s="78"/>
      <c r="C37" s="78"/>
      <c r="D37" s="78"/>
      <c r="E37" s="78"/>
      <c r="F37" s="78"/>
      <c r="G37" s="78"/>
    </row>
    <row r="38" spans="1:24" x14ac:dyDescent="0.3">
      <c r="A38" s="79" t="s">
        <v>88</v>
      </c>
      <c r="B38" s="79"/>
      <c r="C38" s="79"/>
      <c r="D38" s="79"/>
      <c r="E38" s="79"/>
      <c r="F38" s="79"/>
      <c r="G38" s="79"/>
    </row>
    <row r="39" spans="1:24" s="85" customFormat="1" ht="15.75" thickBot="1" x14ac:dyDescent="0.35">
      <c r="A39" s="86"/>
      <c r="B39" s="144">
        <v>2005</v>
      </c>
      <c r="C39" s="144">
        <v>2006</v>
      </c>
      <c r="D39" s="144">
        <v>2007</v>
      </c>
      <c r="E39" s="144">
        <v>2008</v>
      </c>
      <c r="F39" s="144">
        <v>2009</v>
      </c>
      <c r="G39" s="144">
        <v>2010</v>
      </c>
      <c r="H39" s="198">
        <v>2011</v>
      </c>
      <c r="I39" s="198">
        <v>2012</v>
      </c>
      <c r="J39" s="198">
        <v>2013</v>
      </c>
      <c r="K39" s="145" t="s">
        <v>95</v>
      </c>
      <c r="L39" s="145" t="s">
        <v>124</v>
      </c>
      <c r="M39" s="145" t="s">
        <v>100</v>
      </c>
      <c r="N39" s="146" t="s">
        <v>55</v>
      </c>
      <c r="O39" s="145" t="s">
        <v>127</v>
      </c>
      <c r="P39" s="146" t="s">
        <v>55</v>
      </c>
      <c r="Q39" s="147" t="s">
        <v>46</v>
      </c>
      <c r="R39" s="214" t="s">
        <v>109</v>
      </c>
      <c r="S39" s="215" t="s">
        <v>55</v>
      </c>
      <c r="T39" s="214" t="s">
        <v>128</v>
      </c>
      <c r="U39" s="215" t="s">
        <v>55</v>
      </c>
      <c r="V39" s="216" t="s">
        <v>46</v>
      </c>
      <c r="W39" s="144"/>
    </row>
    <row r="40" spans="1:24" s="95" customFormat="1" x14ac:dyDescent="0.3">
      <c r="A40" s="148" t="s">
        <v>4</v>
      </c>
      <c r="B40" s="110">
        <v>2297199</v>
      </c>
      <c r="C40" s="110">
        <v>2872015</v>
      </c>
      <c r="D40" s="110">
        <v>3449517</v>
      </c>
      <c r="E40" s="110">
        <v>4009727</v>
      </c>
      <c r="F40" s="110">
        <v>4588366</v>
      </c>
      <c r="G40" s="110">
        <v>4458858</v>
      </c>
      <c r="H40" s="204">
        <v>5057382.6182662696</v>
      </c>
      <c r="I40" s="204">
        <v>5305782</v>
      </c>
      <c r="J40" s="204">
        <v>5898466</v>
      </c>
      <c r="K40" s="132">
        <v>1242052</v>
      </c>
      <c r="L40" s="132">
        <v>1572825</v>
      </c>
      <c r="M40" s="132">
        <v>1370524</v>
      </c>
      <c r="N40" s="138">
        <v>1</v>
      </c>
      <c r="O40" s="132">
        <v>1429566</v>
      </c>
      <c r="P40" s="138">
        <v>1</v>
      </c>
      <c r="Q40" s="138">
        <f>(O40-M40)/M40</f>
        <v>4.3079873099631967E-2</v>
      </c>
      <c r="R40" s="217">
        <v>2612576</v>
      </c>
      <c r="S40" s="218">
        <v>1</v>
      </c>
      <c r="T40" s="217">
        <v>3002391</v>
      </c>
      <c r="U40" s="218">
        <v>1</v>
      </c>
      <c r="V40" s="219">
        <f t="shared" ref="V40:V57" si="4">IF(R40&lt;&gt;0,(T40-R40)/R40,0)</f>
        <v>0.14920714268216503</v>
      </c>
      <c r="W40" s="111"/>
      <c r="X40" s="85"/>
    </row>
    <row r="41" spans="1:24" s="85" customFormat="1" x14ac:dyDescent="0.3">
      <c r="A41" s="149" t="s">
        <v>50</v>
      </c>
      <c r="B41" s="112">
        <v>-1428204</v>
      </c>
      <c r="C41" s="112">
        <v>-1760636</v>
      </c>
      <c r="D41" s="112">
        <v>-2035308</v>
      </c>
      <c r="E41" s="112">
        <v>-2384094</v>
      </c>
      <c r="F41" s="112">
        <v>-2818189</v>
      </c>
      <c r="G41" s="112">
        <v>-2587907.8744791602</v>
      </c>
      <c r="H41" s="205">
        <v>-3030201.8461819952</v>
      </c>
      <c r="I41" s="205">
        <v>-3064460</v>
      </c>
      <c r="J41" s="205">
        <v>-3260968</v>
      </c>
      <c r="K41" s="133">
        <v>-682801</v>
      </c>
      <c r="L41" s="133">
        <v>-875730</v>
      </c>
      <c r="M41" s="133">
        <v>-750580</v>
      </c>
      <c r="N41" s="129">
        <f>+M41/$M$40</f>
        <v>-0.5476591435100735</v>
      </c>
      <c r="O41" s="133">
        <v>-772014</v>
      </c>
      <c r="P41" s="129">
        <f>+O41/$O$40</f>
        <v>-0.54003382844863401</v>
      </c>
      <c r="Q41" s="129">
        <f t="shared" ref="Q41:Q59" si="5">(O41-M41)/M41</f>
        <v>2.8556582909216872E-2</v>
      </c>
      <c r="R41" s="220">
        <v>-1433381</v>
      </c>
      <c r="S41" s="219">
        <f>+R41/$R$40</f>
        <v>-0.5486466231030217</v>
      </c>
      <c r="T41" s="220">
        <v>-1647744</v>
      </c>
      <c r="U41" s="219">
        <f>+T41/$T$40</f>
        <v>-0.54881059795343112</v>
      </c>
      <c r="V41" s="219">
        <f t="shared" si="4"/>
        <v>0.14955060796815361</v>
      </c>
      <c r="W41" s="101"/>
    </row>
    <row r="42" spans="1:24" s="95" customFormat="1" x14ac:dyDescent="0.3">
      <c r="A42" s="148" t="s">
        <v>6</v>
      </c>
      <c r="B42" s="80">
        <v>868995</v>
      </c>
      <c r="C42" s="80">
        <v>1111379</v>
      </c>
      <c r="D42" s="80">
        <v>1414209</v>
      </c>
      <c r="E42" s="80">
        <v>1625633</v>
      </c>
      <c r="F42" s="80">
        <v>1770177</v>
      </c>
      <c r="G42" s="80">
        <v>1870950.1255208398</v>
      </c>
      <c r="H42" s="202">
        <f t="shared" ref="H42:M42" si="6">SUM(H40:H41)</f>
        <v>2027180.7720842743</v>
      </c>
      <c r="I42" s="202">
        <f t="shared" si="6"/>
        <v>2241322</v>
      </c>
      <c r="J42" s="202">
        <f t="shared" si="6"/>
        <v>2637498</v>
      </c>
      <c r="K42" s="134">
        <f t="shared" si="6"/>
        <v>559251</v>
      </c>
      <c r="L42" s="134">
        <f t="shared" si="6"/>
        <v>697095</v>
      </c>
      <c r="M42" s="134">
        <f t="shared" si="6"/>
        <v>619944</v>
      </c>
      <c r="N42" s="138">
        <f t="shared" ref="N42:N59" si="7">+M42/$M$40</f>
        <v>0.4523408564899265</v>
      </c>
      <c r="O42" s="134">
        <f>SUM(O40:O41)</f>
        <v>657552</v>
      </c>
      <c r="P42" s="138">
        <f t="shared" ref="P42:P59" si="8">+O42/$O$40</f>
        <v>0.45996617155136593</v>
      </c>
      <c r="Q42" s="138">
        <f t="shared" si="5"/>
        <v>6.0663543803956485E-2</v>
      </c>
      <c r="R42" s="221">
        <f>SUM(R40:R41)</f>
        <v>1179195</v>
      </c>
      <c r="S42" s="218">
        <f t="shared" ref="S42:S59" si="9">+R42/$R$40</f>
        <v>0.4513533768969783</v>
      </c>
      <c r="T42" s="221">
        <f>SUM(T40:T41)</f>
        <v>1354647</v>
      </c>
      <c r="U42" s="218">
        <f t="shared" ref="U42:U59" si="10">+T42/$T$40</f>
        <v>0.45118940204656888</v>
      </c>
      <c r="V42" s="219">
        <f t="shared" si="4"/>
        <v>0.14878964039026624</v>
      </c>
      <c r="W42" s="111"/>
      <c r="X42" s="85"/>
    </row>
    <row r="43" spans="1:24" s="85" customFormat="1" x14ac:dyDescent="0.3">
      <c r="A43" s="149" t="s">
        <v>7</v>
      </c>
      <c r="B43" s="81">
        <v>-95853</v>
      </c>
      <c r="C43" s="81">
        <v>-127200</v>
      </c>
      <c r="D43" s="81">
        <v>-165507</v>
      </c>
      <c r="E43" s="81">
        <v>-183777</v>
      </c>
      <c r="F43" s="81">
        <v>-218875</v>
      </c>
      <c r="G43" s="81">
        <v>-212941</v>
      </c>
      <c r="H43" s="199">
        <v>-250061.17590559012</v>
      </c>
      <c r="I43" s="199">
        <v>-270303</v>
      </c>
      <c r="J43" s="199">
        <v>-347578</v>
      </c>
      <c r="K43" s="135">
        <v>-64873</v>
      </c>
      <c r="L43" s="135">
        <v>-103109</v>
      </c>
      <c r="M43" s="135">
        <v>-73939</v>
      </c>
      <c r="N43" s="129">
        <f t="shared" si="7"/>
        <v>-5.3949438317023271E-2</v>
      </c>
      <c r="O43" s="135">
        <v>-95056</v>
      </c>
      <c r="P43" s="129">
        <f t="shared" si="8"/>
        <v>-6.6492907637702631E-2</v>
      </c>
      <c r="Q43" s="129">
        <f t="shared" si="5"/>
        <v>0.28560029213270399</v>
      </c>
      <c r="R43" s="222">
        <v>-138812</v>
      </c>
      <c r="S43" s="219">
        <f t="shared" si="9"/>
        <v>-5.3132234239310169E-2</v>
      </c>
      <c r="T43" s="222">
        <v>-198165</v>
      </c>
      <c r="U43" s="219">
        <f t="shared" si="10"/>
        <v>-6.6002396090316023E-2</v>
      </c>
      <c r="V43" s="219">
        <f t="shared" si="4"/>
        <v>0.42757830735094948</v>
      </c>
      <c r="W43" s="101"/>
    </row>
    <row r="44" spans="1:24" s="85" customFormat="1" x14ac:dyDescent="0.3">
      <c r="A44" s="149" t="s">
        <v>8</v>
      </c>
      <c r="B44" s="81">
        <v>-509961</v>
      </c>
      <c r="C44" s="81">
        <v>-684105</v>
      </c>
      <c r="D44" s="81">
        <v>-815817</v>
      </c>
      <c r="E44" s="81">
        <v>-975970</v>
      </c>
      <c r="F44" s="81">
        <v>-1102578</v>
      </c>
      <c r="G44" s="81">
        <v>-1103652</v>
      </c>
      <c r="H44" s="199">
        <v>-1221301.5797654777</v>
      </c>
      <c r="I44" s="199">
        <v>-1326976</v>
      </c>
      <c r="J44" s="199">
        <v>-1505166</v>
      </c>
      <c r="K44" s="135">
        <v>-325559</v>
      </c>
      <c r="L44" s="135">
        <v>-400920</v>
      </c>
      <c r="M44" s="135">
        <v>-355546</v>
      </c>
      <c r="N44" s="129">
        <f t="shared" si="7"/>
        <v>-0.25942340301957501</v>
      </c>
      <c r="O44" s="135">
        <v>-396371</v>
      </c>
      <c r="P44" s="129">
        <f t="shared" si="8"/>
        <v>-0.27726666694647184</v>
      </c>
      <c r="Q44" s="129">
        <f t="shared" si="5"/>
        <v>0.11482339837883143</v>
      </c>
      <c r="R44" s="222">
        <v>-681105</v>
      </c>
      <c r="S44" s="219">
        <f t="shared" si="9"/>
        <v>-0.2607024637752165</v>
      </c>
      <c r="T44" s="222">
        <v>-797291</v>
      </c>
      <c r="U44" s="219">
        <f t="shared" si="10"/>
        <v>-0.26555202170536751</v>
      </c>
      <c r="V44" s="219">
        <f t="shared" si="4"/>
        <v>0.17058456478810169</v>
      </c>
      <c r="W44" s="101"/>
    </row>
    <row r="45" spans="1:24" s="85" customFormat="1" x14ac:dyDescent="0.3">
      <c r="A45" s="149" t="s">
        <v>84</v>
      </c>
      <c r="B45" s="81"/>
      <c r="C45" s="81"/>
      <c r="D45" s="81"/>
      <c r="E45" s="81"/>
      <c r="F45" s="81"/>
      <c r="G45" s="81">
        <v>-121613</v>
      </c>
      <c r="H45" s="199">
        <v>-123323</v>
      </c>
      <c r="I45" s="199">
        <v>-122931</v>
      </c>
      <c r="J45" s="199">
        <v>-134527</v>
      </c>
      <c r="K45" s="135">
        <v>-27738</v>
      </c>
      <c r="L45" s="135">
        <v>-29371</v>
      </c>
      <c r="M45" s="135">
        <v>-33697</v>
      </c>
      <c r="N45" s="129">
        <f t="shared" si="7"/>
        <v>-2.4586946306668106E-2</v>
      </c>
      <c r="O45" s="135">
        <v>-21941</v>
      </c>
      <c r="P45" s="129">
        <f t="shared" si="8"/>
        <v>-1.5348014712157396E-2</v>
      </c>
      <c r="Q45" s="129">
        <f t="shared" si="5"/>
        <v>-0.34887378698400451</v>
      </c>
      <c r="R45" s="222">
        <v>-61435</v>
      </c>
      <c r="S45" s="219">
        <f t="shared" si="9"/>
        <v>-2.3515105397890819E-2</v>
      </c>
      <c r="T45" s="222">
        <v>-51312</v>
      </c>
      <c r="U45" s="219">
        <f t="shared" si="10"/>
        <v>-1.7090378967962533E-2</v>
      </c>
      <c r="V45" s="219">
        <f t="shared" si="4"/>
        <v>-0.16477577927891268</v>
      </c>
      <c r="W45" s="101"/>
    </row>
    <row r="46" spans="1:24" s="95" customFormat="1" x14ac:dyDescent="0.3">
      <c r="A46" s="148" t="s">
        <v>9</v>
      </c>
      <c r="B46" s="80">
        <v>-605814</v>
      </c>
      <c r="C46" s="80">
        <v>-811305</v>
      </c>
      <c r="D46" s="80">
        <v>-981324</v>
      </c>
      <c r="E46" s="80">
        <v>-1159747</v>
      </c>
      <c r="F46" s="80">
        <v>-1321453</v>
      </c>
      <c r="G46" s="80">
        <v>-1438206</v>
      </c>
      <c r="H46" s="202">
        <f t="shared" ref="H46:M46" si="11">SUM(H43:H45)</f>
        <v>-1594685.7556710679</v>
      </c>
      <c r="I46" s="202">
        <f t="shared" si="11"/>
        <v>-1720210</v>
      </c>
      <c r="J46" s="202">
        <f t="shared" si="11"/>
        <v>-1987271</v>
      </c>
      <c r="K46" s="134">
        <f t="shared" si="11"/>
        <v>-418170</v>
      </c>
      <c r="L46" s="134">
        <f t="shared" si="11"/>
        <v>-533400</v>
      </c>
      <c r="M46" s="134">
        <f t="shared" si="11"/>
        <v>-463182</v>
      </c>
      <c r="N46" s="138">
        <f t="shared" si="7"/>
        <v>-0.3379597876432664</v>
      </c>
      <c r="O46" s="134">
        <f>SUM(O43:O45)</f>
        <v>-513368</v>
      </c>
      <c r="P46" s="138">
        <f t="shared" si="8"/>
        <v>-0.35910758929633191</v>
      </c>
      <c r="Q46" s="138">
        <f t="shared" si="5"/>
        <v>0.1083504972127587</v>
      </c>
      <c r="R46" s="221">
        <f>SUM(R43:R45)</f>
        <v>-881352</v>
      </c>
      <c r="S46" s="218">
        <f t="shared" si="9"/>
        <v>-0.33734980341241749</v>
      </c>
      <c r="T46" s="221">
        <f>SUM(T43:T45)</f>
        <v>-1046768</v>
      </c>
      <c r="U46" s="218">
        <f t="shared" si="10"/>
        <v>-0.34864479676364601</v>
      </c>
      <c r="V46" s="219">
        <f t="shared" si="4"/>
        <v>0.18768437582259984</v>
      </c>
      <c r="W46" s="111"/>
      <c r="X46" s="85"/>
    </row>
    <row r="47" spans="1:24" s="95" customFormat="1" x14ac:dyDescent="0.3">
      <c r="A47" s="148" t="s">
        <v>1</v>
      </c>
      <c r="B47" s="80">
        <v>263181</v>
      </c>
      <c r="C47" s="80">
        <v>300074</v>
      </c>
      <c r="D47" s="80">
        <v>432885</v>
      </c>
      <c r="E47" s="80">
        <v>465886</v>
      </c>
      <c r="F47" s="80">
        <v>448724</v>
      </c>
      <c r="G47" s="80">
        <v>432744.12552083982</v>
      </c>
      <c r="H47" s="202">
        <f t="shared" ref="H47:M47" si="12">+H42+H46</f>
        <v>432495.01641320647</v>
      </c>
      <c r="I47" s="202">
        <f t="shared" si="12"/>
        <v>521112</v>
      </c>
      <c r="J47" s="202">
        <f t="shared" si="12"/>
        <v>650227</v>
      </c>
      <c r="K47" s="134">
        <f t="shared" si="12"/>
        <v>141081</v>
      </c>
      <c r="L47" s="134">
        <f t="shared" si="12"/>
        <v>163695</v>
      </c>
      <c r="M47" s="134">
        <f t="shared" si="12"/>
        <v>156762</v>
      </c>
      <c r="N47" s="138">
        <f t="shared" si="7"/>
        <v>0.11438106884666011</v>
      </c>
      <c r="O47" s="134">
        <f>+O42+O46</f>
        <v>144184</v>
      </c>
      <c r="P47" s="138">
        <f t="shared" si="8"/>
        <v>0.10085858225503405</v>
      </c>
      <c r="Q47" s="138">
        <f t="shared" si="5"/>
        <v>-8.0236281751955199E-2</v>
      </c>
      <c r="R47" s="221">
        <f>+R42+R46</f>
        <v>297843</v>
      </c>
      <c r="S47" s="218">
        <f t="shared" si="9"/>
        <v>0.11400357348456083</v>
      </c>
      <c r="T47" s="221">
        <f>+T42+T46</f>
        <v>307879</v>
      </c>
      <c r="U47" s="218">
        <f t="shared" si="10"/>
        <v>0.10254460528292285</v>
      </c>
      <c r="V47" s="219">
        <f t="shared" si="4"/>
        <v>3.3695604731351754E-2</v>
      </c>
      <c r="W47" s="111"/>
      <c r="X47" s="85"/>
    </row>
    <row r="48" spans="1:24" s="85" customFormat="1" x14ac:dyDescent="0.3">
      <c r="A48" s="149" t="s">
        <v>51</v>
      </c>
      <c r="B48" s="81">
        <v>14213</v>
      </c>
      <c r="C48" s="81">
        <v>13821</v>
      </c>
      <c r="D48" s="81">
        <v>11386</v>
      </c>
      <c r="E48" s="81">
        <v>11580</v>
      </c>
      <c r="F48" s="81">
        <v>9537</v>
      </c>
      <c r="G48" s="81">
        <v>8084</v>
      </c>
      <c r="H48" s="199">
        <v>7592</v>
      </c>
      <c r="I48" s="199">
        <v>12296</v>
      </c>
      <c r="J48" s="199">
        <v>12207</v>
      </c>
      <c r="K48" s="135">
        <v>2375</v>
      </c>
      <c r="L48" s="135">
        <v>7447</v>
      </c>
      <c r="M48" s="135">
        <v>2770</v>
      </c>
      <c r="N48" s="129">
        <f t="shared" si="7"/>
        <v>2.0211247668774864E-3</v>
      </c>
      <c r="O48" s="135">
        <v>2628</v>
      </c>
      <c r="P48" s="129">
        <f t="shared" si="8"/>
        <v>1.8383201615035612E-3</v>
      </c>
      <c r="Q48" s="129">
        <f t="shared" si="5"/>
        <v>-5.1263537906137184E-2</v>
      </c>
      <c r="R48" s="222">
        <v>5145</v>
      </c>
      <c r="S48" s="219">
        <f t="shared" si="9"/>
        <v>1.9693207011011356E-3</v>
      </c>
      <c r="T48" s="222">
        <v>10075</v>
      </c>
      <c r="U48" s="219">
        <f t="shared" si="10"/>
        <v>3.3556588732113839E-3</v>
      </c>
      <c r="V48" s="219">
        <f t="shared" si="4"/>
        <v>0.95821185617103988</v>
      </c>
      <c r="W48" s="101"/>
    </row>
    <row r="49" spans="1:24" s="85" customFormat="1" x14ac:dyDescent="0.3">
      <c r="A49" s="149" t="s">
        <v>11</v>
      </c>
      <c r="B49" s="81">
        <v>-25197</v>
      </c>
      <c r="C49" s="81">
        <v>-64413</v>
      </c>
      <c r="D49" s="81">
        <v>-84176</v>
      </c>
      <c r="E49" s="81">
        <v>-88738</v>
      </c>
      <c r="F49" s="81">
        <v>-103331</v>
      </c>
      <c r="G49" s="81">
        <v>-79867</v>
      </c>
      <c r="H49" s="199">
        <v>-84666</v>
      </c>
      <c r="I49" s="199">
        <v>-70722</v>
      </c>
      <c r="J49" s="199">
        <v>-101111</v>
      </c>
      <c r="K49" s="135">
        <v>-16818</v>
      </c>
      <c r="L49" s="135">
        <v>-39145</v>
      </c>
      <c r="M49" s="135">
        <v>-17303</v>
      </c>
      <c r="N49" s="129">
        <f t="shared" si="7"/>
        <v>-1.2625098137646623E-2</v>
      </c>
      <c r="O49" s="135">
        <v>-38121</v>
      </c>
      <c r="P49" s="129">
        <f t="shared" si="8"/>
        <v>-2.666613503678739E-2</v>
      </c>
      <c r="Q49" s="129">
        <f t="shared" si="5"/>
        <v>1.203143963474542</v>
      </c>
      <c r="R49" s="222">
        <v>-34121</v>
      </c>
      <c r="S49" s="219">
        <f t="shared" si="9"/>
        <v>-1.3060289920752545E-2</v>
      </c>
      <c r="T49" s="222">
        <v>-77266</v>
      </c>
      <c r="U49" s="219">
        <f t="shared" si="10"/>
        <v>-2.5734822679657647E-2</v>
      </c>
      <c r="V49" s="219">
        <f t="shared" si="4"/>
        <v>1.2644705606517981</v>
      </c>
      <c r="W49" s="101"/>
    </row>
    <row r="50" spans="1:24" s="85" customFormat="1" x14ac:dyDescent="0.3">
      <c r="A50" s="149" t="s">
        <v>12</v>
      </c>
      <c r="B50" s="81">
        <v>-24458</v>
      </c>
      <c r="C50" s="81">
        <v>-32576</v>
      </c>
      <c r="D50" s="81">
        <v>-17533</v>
      </c>
      <c r="E50" s="81">
        <v>-27906</v>
      </c>
      <c r="F50" s="81">
        <v>-1787</v>
      </c>
      <c r="G50" s="81">
        <v>-28926</v>
      </c>
      <c r="H50" s="199">
        <v>-3636</v>
      </c>
      <c r="I50" s="199">
        <v>1782</v>
      </c>
      <c r="J50" s="199">
        <v>8732</v>
      </c>
      <c r="K50" s="135">
        <v>-1758</v>
      </c>
      <c r="L50" s="135">
        <v>7445</v>
      </c>
      <c r="M50" s="135">
        <v>4040</v>
      </c>
      <c r="N50" s="129">
        <f t="shared" si="7"/>
        <v>2.9477776383339512E-3</v>
      </c>
      <c r="O50" s="135">
        <v>-2408</v>
      </c>
      <c r="P50" s="129">
        <f t="shared" si="8"/>
        <v>-1.6844273017125478E-3</v>
      </c>
      <c r="Q50" s="129">
        <f t="shared" si="5"/>
        <v>-1.5960396039603961</v>
      </c>
      <c r="R50" s="222">
        <v>2282</v>
      </c>
      <c r="S50" s="219">
        <f t="shared" si="9"/>
        <v>8.7346741300540153E-4</v>
      </c>
      <c r="T50" s="222">
        <v>5037</v>
      </c>
      <c r="U50" s="219">
        <f t="shared" si="10"/>
        <v>1.6776629026665746E-3</v>
      </c>
      <c r="V50" s="219">
        <f t="shared" si="4"/>
        <v>1.2072743207712533</v>
      </c>
      <c r="W50" s="101"/>
    </row>
    <row r="51" spans="1:24" s="85" customFormat="1" x14ac:dyDescent="0.3">
      <c r="A51" s="149" t="s">
        <v>52</v>
      </c>
      <c r="B51" s="81">
        <v>-1493</v>
      </c>
      <c r="C51" s="81">
        <v>-70809</v>
      </c>
      <c r="D51" s="81">
        <v>-27554</v>
      </c>
      <c r="E51" s="81">
        <v>-96678</v>
      </c>
      <c r="F51" s="81">
        <v>-89202</v>
      </c>
      <c r="G51" s="81">
        <v>-23551</v>
      </c>
      <c r="H51" s="199">
        <v>-26933</v>
      </c>
      <c r="I51" s="199">
        <v>-13536</v>
      </c>
      <c r="J51" s="199">
        <v>-54534</v>
      </c>
      <c r="K51" s="135">
        <v>-7981</v>
      </c>
      <c r="L51" s="135">
        <v>-8069</v>
      </c>
      <c r="M51" s="135">
        <v>-15076</v>
      </c>
      <c r="N51" s="129">
        <f t="shared" si="7"/>
        <v>-1.1000172196911547E-2</v>
      </c>
      <c r="O51" s="135">
        <v>-7510</v>
      </c>
      <c r="P51" s="129">
        <f t="shared" si="8"/>
        <v>-5.2533426228659605E-3</v>
      </c>
      <c r="Q51" s="129">
        <f t="shared" si="5"/>
        <v>-0.50185725656672853</v>
      </c>
      <c r="R51" s="222">
        <v>-23057</v>
      </c>
      <c r="S51" s="219">
        <f t="shared" si="9"/>
        <v>-8.8253891944196066E-3</v>
      </c>
      <c r="T51" s="222">
        <v>-15579</v>
      </c>
      <c r="U51" s="219">
        <f t="shared" si="10"/>
        <v>-5.1888644750134145E-3</v>
      </c>
      <c r="V51" s="219">
        <f t="shared" si="4"/>
        <v>-0.32432666869063626</v>
      </c>
      <c r="W51" s="101"/>
    </row>
    <row r="52" spans="1:24" s="85" customFormat="1" x14ac:dyDescent="0.3">
      <c r="A52" s="149" t="s">
        <v>14</v>
      </c>
      <c r="B52" s="81">
        <v>22218</v>
      </c>
      <c r="C52" s="81">
        <v>29348</v>
      </c>
      <c r="D52" s="81">
        <v>25763</v>
      </c>
      <c r="E52" s="81">
        <v>27907</v>
      </c>
      <c r="F52" s="81">
        <v>28975</v>
      </c>
      <c r="G52" s="81">
        <v>30996</v>
      </c>
      <c r="H52" s="199">
        <v>33531</v>
      </c>
      <c r="I52" s="199">
        <v>35188</v>
      </c>
      <c r="J52" s="199">
        <v>39510</v>
      </c>
      <c r="K52" s="135">
        <v>8803</v>
      </c>
      <c r="L52" s="135">
        <v>9657</v>
      </c>
      <c r="M52" s="135">
        <v>9924</v>
      </c>
      <c r="N52" s="129">
        <f t="shared" si="7"/>
        <v>7.2410260601054781E-3</v>
      </c>
      <c r="O52" s="135">
        <v>10926</v>
      </c>
      <c r="P52" s="129">
        <f t="shared" si="8"/>
        <v>7.6428790276209706E-3</v>
      </c>
      <c r="Q52" s="129">
        <f t="shared" si="5"/>
        <v>0.10096735187424426</v>
      </c>
      <c r="R52" s="222">
        <v>18727</v>
      </c>
      <c r="S52" s="219">
        <f t="shared" si="9"/>
        <v>7.1680211408204006E-3</v>
      </c>
      <c r="T52" s="222">
        <v>20583</v>
      </c>
      <c r="U52" s="219">
        <f t="shared" si="10"/>
        <v>6.8555361376982545E-3</v>
      </c>
      <c r="V52" s="219">
        <f t="shared" si="4"/>
        <v>9.9108239440380205E-2</v>
      </c>
      <c r="W52" s="101"/>
    </row>
    <row r="53" spans="1:24" s="85" customFormat="1" x14ac:dyDescent="0.3">
      <c r="A53" s="149" t="s">
        <v>16</v>
      </c>
      <c r="B53" s="81">
        <v>18955</v>
      </c>
      <c r="C53" s="81">
        <v>71319</v>
      </c>
      <c r="D53" s="81">
        <v>6759</v>
      </c>
      <c r="E53" s="81">
        <v>80511</v>
      </c>
      <c r="F53" s="81">
        <v>2124</v>
      </c>
      <c r="G53" s="81">
        <v>1513.7364279999999</v>
      </c>
      <c r="H53" s="199">
        <v>11185</v>
      </c>
      <c r="I53" s="199">
        <v>0</v>
      </c>
      <c r="J53" s="199">
        <v>107</v>
      </c>
      <c r="K53" s="135">
        <v>0</v>
      </c>
      <c r="L53" s="135">
        <v>0</v>
      </c>
      <c r="M53" s="135">
        <v>107</v>
      </c>
      <c r="N53" s="129">
        <f t="shared" si="7"/>
        <v>7.807232854003286E-5</v>
      </c>
      <c r="O53" s="135">
        <v>0</v>
      </c>
      <c r="P53" s="129">
        <f t="shared" si="8"/>
        <v>0</v>
      </c>
      <c r="Q53" s="129">
        <f t="shared" si="5"/>
        <v>-1</v>
      </c>
      <c r="R53" s="222">
        <v>107</v>
      </c>
      <c r="S53" s="219">
        <f t="shared" si="9"/>
        <v>4.095574635914898E-5</v>
      </c>
      <c r="T53" s="222">
        <v>0</v>
      </c>
      <c r="U53" s="219">
        <f t="shared" si="10"/>
        <v>0</v>
      </c>
      <c r="V53" s="219">
        <f t="shared" si="4"/>
        <v>-1</v>
      </c>
      <c r="W53" s="101"/>
    </row>
    <row r="54" spans="1:24" s="95" customFormat="1" x14ac:dyDescent="0.3">
      <c r="A54" s="148" t="s">
        <v>2</v>
      </c>
      <c r="B54" s="80">
        <v>4238</v>
      </c>
      <c r="C54" s="80">
        <v>-53310</v>
      </c>
      <c r="D54" s="80">
        <v>-85355</v>
      </c>
      <c r="E54" s="80">
        <v>-93324</v>
      </c>
      <c r="F54" s="80">
        <v>-153684</v>
      </c>
      <c r="G54" s="80">
        <v>-91750.263571999996</v>
      </c>
      <c r="H54" s="202">
        <f t="shared" ref="H54:M54" si="13">SUM(H48:H53)</f>
        <v>-62927</v>
      </c>
      <c r="I54" s="202">
        <f t="shared" si="13"/>
        <v>-34992</v>
      </c>
      <c r="J54" s="202">
        <f t="shared" si="13"/>
        <v>-95089</v>
      </c>
      <c r="K54" s="134">
        <f t="shared" si="13"/>
        <v>-15379</v>
      </c>
      <c r="L54" s="134">
        <f t="shared" si="13"/>
        <v>-22665</v>
      </c>
      <c r="M54" s="134">
        <f t="shared" si="13"/>
        <v>-15538</v>
      </c>
      <c r="N54" s="138">
        <f t="shared" si="7"/>
        <v>-1.133726954070122E-2</v>
      </c>
      <c r="O54" s="134">
        <f>SUM(O48:O53)</f>
        <v>-34485</v>
      </c>
      <c r="P54" s="138">
        <f t="shared" si="8"/>
        <v>-2.4122705772241366E-2</v>
      </c>
      <c r="Q54" s="138">
        <f t="shared" si="5"/>
        <v>1.2193976058694813</v>
      </c>
      <c r="R54" s="221">
        <f>SUM(R48:R53)</f>
        <v>-30917</v>
      </c>
      <c r="S54" s="218">
        <f t="shared" si="9"/>
        <v>-1.1833914113886065E-2</v>
      </c>
      <c r="T54" s="221">
        <f>SUM(T48:T53)</f>
        <v>-57150</v>
      </c>
      <c r="U54" s="218">
        <f t="shared" si="10"/>
        <v>-1.9034829241094849E-2</v>
      </c>
      <c r="V54" s="219">
        <f t="shared" si="4"/>
        <v>0.84849759032247629</v>
      </c>
      <c r="W54" s="111"/>
      <c r="X54" s="85"/>
    </row>
    <row r="55" spans="1:24" s="95" customFormat="1" x14ac:dyDescent="0.3">
      <c r="A55" s="148" t="s">
        <v>41</v>
      </c>
      <c r="B55" s="80">
        <v>267419</v>
      </c>
      <c r="C55" s="80">
        <v>246764</v>
      </c>
      <c r="D55" s="80">
        <v>347530</v>
      </c>
      <c r="E55" s="80">
        <v>372562</v>
      </c>
      <c r="F55" s="80">
        <v>295040</v>
      </c>
      <c r="G55" s="80">
        <v>340993.86194883985</v>
      </c>
      <c r="H55" s="202">
        <f t="shared" ref="H55:M55" si="14">+H47+H54</f>
        <v>369568.01641320647</v>
      </c>
      <c r="I55" s="202">
        <f t="shared" si="14"/>
        <v>486120</v>
      </c>
      <c r="J55" s="202">
        <f t="shared" si="14"/>
        <v>555138</v>
      </c>
      <c r="K55" s="134">
        <f t="shared" si="14"/>
        <v>125702</v>
      </c>
      <c r="L55" s="134">
        <f t="shared" si="14"/>
        <v>141030</v>
      </c>
      <c r="M55" s="134">
        <f t="shared" si="14"/>
        <v>141224</v>
      </c>
      <c r="N55" s="138">
        <f t="shared" si="7"/>
        <v>0.10304379930595889</v>
      </c>
      <c r="O55" s="134">
        <f>+O47+O54</f>
        <v>109699</v>
      </c>
      <c r="P55" s="138">
        <f t="shared" si="8"/>
        <v>7.6735876482792675E-2</v>
      </c>
      <c r="Q55" s="138">
        <f t="shared" si="5"/>
        <v>-0.22322693026681018</v>
      </c>
      <c r="R55" s="221">
        <f>+R47+R54</f>
        <v>266926</v>
      </c>
      <c r="S55" s="218">
        <f t="shared" si="9"/>
        <v>0.10216965937067476</v>
      </c>
      <c r="T55" s="221">
        <f>+T47+T54</f>
        <v>250729</v>
      </c>
      <c r="U55" s="218">
        <f t="shared" si="10"/>
        <v>8.3509776041827993E-2</v>
      </c>
      <c r="V55" s="219">
        <f t="shared" si="4"/>
        <v>-6.0679738953867364E-2</v>
      </c>
      <c r="W55" s="111"/>
      <c r="X55" s="85"/>
    </row>
    <row r="56" spans="1:24" s="85" customFormat="1" x14ac:dyDescent="0.3">
      <c r="A56" s="149" t="s">
        <v>15</v>
      </c>
      <c r="B56" s="81">
        <v>-84076</v>
      </c>
      <c r="C56" s="81">
        <v>-70246</v>
      </c>
      <c r="D56" s="81">
        <v>-99987</v>
      </c>
      <c r="E56" s="81">
        <v>-73232</v>
      </c>
      <c r="F56" s="81">
        <v>-81309</v>
      </c>
      <c r="G56" s="81">
        <v>-76992.534036829995</v>
      </c>
      <c r="H56" s="199">
        <v>-113919.04882074999</v>
      </c>
      <c r="I56" s="199">
        <v>-138457</v>
      </c>
      <c r="J56" s="199">
        <v>-174487</v>
      </c>
      <c r="K56" s="135">
        <v>-46692</v>
      </c>
      <c r="L56" s="135">
        <v>-54819</v>
      </c>
      <c r="M56" s="135">
        <v>-44055</v>
      </c>
      <c r="N56" s="129">
        <f t="shared" si="7"/>
        <v>-3.2144639568515397E-2</v>
      </c>
      <c r="O56" s="135">
        <v>-25831</v>
      </c>
      <c r="P56" s="129">
        <f t="shared" si="8"/>
        <v>-1.8069120278462136E-2</v>
      </c>
      <c r="Q56" s="129">
        <f t="shared" si="5"/>
        <v>-0.41366473726024289</v>
      </c>
      <c r="R56" s="222">
        <v>-90747</v>
      </c>
      <c r="S56" s="219">
        <f t="shared" si="9"/>
        <v>-3.4734683316389646E-2</v>
      </c>
      <c r="T56" s="222">
        <v>-80650</v>
      </c>
      <c r="U56" s="219">
        <f t="shared" si="10"/>
        <v>-2.6861924379602789E-2</v>
      </c>
      <c r="V56" s="219">
        <f t="shared" si="4"/>
        <v>-0.1112653861835653</v>
      </c>
      <c r="W56" s="101"/>
    </row>
    <row r="57" spans="1:24" s="85" customFormat="1" x14ac:dyDescent="0.3">
      <c r="A57" s="149" t="s">
        <v>18</v>
      </c>
      <c r="B57" s="81">
        <v>-23</v>
      </c>
      <c r="C57" s="81">
        <v>17</v>
      </c>
      <c r="D57" s="81">
        <v>-230</v>
      </c>
      <c r="E57" s="81">
        <v>-279</v>
      </c>
      <c r="F57" s="81">
        <v>-457</v>
      </c>
      <c r="G57" s="81">
        <v>-762.45166136</v>
      </c>
      <c r="H57" s="199">
        <v>-2137.6216936399992</v>
      </c>
      <c r="I57" s="199">
        <v>-2156</v>
      </c>
      <c r="J57" s="199">
        <v>-416</v>
      </c>
      <c r="K57" s="135">
        <v>276</v>
      </c>
      <c r="L57" s="135">
        <v>-1156</v>
      </c>
      <c r="M57" s="135">
        <v>-50</v>
      </c>
      <c r="N57" s="129">
        <f t="shared" si="7"/>
        <v>-3.648239651403405E-5</v>
      </c>
      <c r="O57" s="135">
        <v>-496</v>
      </c>
      <c r="P57" s="129">
        <f t="shared" si="8"/>
        <v>-3.4695844752883042E-4</v>
      </c>
      <c r="Q57" s="129">
        <f t="shared" si="5"/>
        <v>8.92</v>
      </c>
      <c r="R57" s="222">
        <v>226</v>
      </c>
      <c r="S57" s="219">
        <f t="shared" si="9"/>
        <v>8.6504660534277283E-5</v>
      </c>
      <c r="T57" s="222">
        <v>-1652</v>
      </c>
      <c r="U57" s="219">
        <f t="shared" si="10"/>
        <v>-5.5022813484319666E-4</v>
      </c>
      <c r="V57" s="219">
        <f t="shared" si="4"/>
        <v>-8.3097345132743357</v>
      </c>
      <c r="W57" s="101"/>
    </row>
    <row r="58" spans="1:24" s="95" customFormat="1" x14ac:dyDescent="0.3">
      <c r="A58" s="150" t="s">
        <v>17</v>
      </c>
      <c r="B58" s="113">
        <v>183320</v>
      </c>
      <c r="C58" s="113">
        <v>176535</v>
      </c>
      <c r="D58" s="113">
        <v>247313</v>
      </c>
      <c r="E58" s="113">
        <v>299051</v>
      </c>
      <c r="F58" s="113">
        <v>213274</v>
      </c>
      <c r="G58" s="113">
        <v>263238.87625064986</v>
      </c>
      <c r="H58" s="206">
        <f t="shared" ref="H58:M58" si="15">+H55+H56+H57</f>
        <v>253511.34589881651</v>
      </c>
      <c r="I58" s="206">
        <f t="shared" si="15"/>
        <v>345507</v>
      </c>
      <c r="J58" s="206">
        <f t="shared" si="15"/>
        <v>380235</v>
      </c>
      <c r="K58" s="136">
        <f t="shared" si="15"/>
        <v>79286</v>
      </c>
      <c r="L58" s="136">
        <f t="shared" si="15"/>
        <v>85055</v>
      </c>
      <c r="M58" s="136">
        <f t="shared" si="15"/>
        <v>97119</v>
      </c>
      <c r="N58" s="139">
        <f t="shared" si="7"/>
        <v>7.086267734092945E-2</v>
      </c>
      <c r="O58" s="136">
        <f>+O55+O56+O57</f>
        <v>83372</v>
      </c>
      <c r="P58" s="139">
        <f t="shared" si="8"/>
        <v>5.8319797756801711E-2</v>
      </c>
      <c r="Q58" s="139">
        <f t="shared" si="5"/>
        <v>-0.14154799781711097</v>
      </c>
      <c r="R58" s="223">
        <f>+R55+R56+R57</f>
        <v>176405</v>
      </c>
      <c r="S58" s="224">
        <f t="shared" si="9"/>
        <v>6.7521480714819393E-2</v>
      </c>
      <c r="T58" s="223">
        <f>+T55+T56+T57</f>
        <v>168427</v>
      </c>
      <c r="U58" s="224">
        <f t="shared" si="10"/>
        <v>5.6097623527382012E-2</v>
      </c>
      <c r="V58" s="224">
        <f>+(T58-R58)/R58</f>
        <v>-4.5225475468382417E-2</v>
      </c>
      <c r="W58" s="111"/>
      <c r="X58" s="85"/>
    </row>
    <row r="59" spans="1:24" s="95" customFormat="1" ht="15.75" thickBot="1" x14ac:dyDescent="0.35">
      <c r="A59" s="151" t="s">
        <v>19</v>
      </c>
      <c r="B59" s="91">
        <v>317502</v>
      </c>
      <c r="C59" s="91">
        <v>382594</v>
      </c>
      <c r="D59" s="91">
        <v>528754</v>
      </c>
      <c r="E59" s="91">
        <v>569823</v>
      </c>
      <c r="F59" s="91">
        <v>551034</v>
      </c>
      <c r="G59" s="91">
        <v>538165</v>
      </c>
      <c r="H59" s="200">
        <v>568131.17041880696</v>
      </c>
      <c r="I59" s="200">
        <v>671095</v>
      </c>
      <c r="J59" s="200">
        <v>832827</v>
      </c>
      <c r="K59" s="137">
        <v>179705</v>
      </c>
      <c r="L59" s="137">
        <v>218965</v>
      </c>
      <c r="M59" s="137">
        <v>196119</v>
      </c>
      <c r="N59" s="130">
        <f t="shared" si="7"/>
        <v>0.14309782243871688</v>
      </c>
      <c r="O59" s="137">
        <v>198720</v>
      </c>
      <c r="P59" s="130">
        <f t="shared" si="8"/>
        <v>0.13900722317122818</v>
      </c>
      <c r="Q59" s="130">
        <f t="shared" si="5"/>
        <v>1.3262356018539765E-2</v>
      </c>
      <c r="R59" s="225">
        <v>375824</v>
      </c>
      <c r="S59" s="226">
        <f t="shared" si="9"/>
        <v>0.14385189177271782</v>
      </c>
      <c r="T59" s="225">
        <v>417685</v>
      </c>
      <c r="U59" s="226">
        <f t="shared" si="10"/>
        <v>0.13911745672032724</v>
      </c>
      <c r="V59" s="226">
        <f>+(T59-R59)/R59</f>
        <v>0.11138458427348971</v>
      </c>
      <c r="W59" s="111"/>
      <c r="X59" s="85"/>
    </row>
    <row r="60" spans="1:24" s="85" customFormat="1" x14ac:dyDescent="0.3">
      <c r="A60" s="81"/>
      <c r="B60" s="81"/>
      <c r="C60" s="81"/>
      <c r="D60" s="81"/>
      <c r="E60" s="81"/>
      <c r="F60" s="81"/>
      <c r="G60" s="81"/>
      <c r="H60" s="81"/>
      <c r="I60" s="82"/>
      <c r="J60" s="82"/>
      <c r="K60" s="82"/>
      <c r="L60" s="112"/>
      <c r="M60" s="82"/>
      <c r="N60" s="101"/>
      <c r="O60" s="101"/>
    </row>
    <row r="61" spans="1:24" s="85" customFormat="1" x14ac:dyDescent="0.3">
      <c r="A61" s="85" t="s">
        <v>53</v>
      </c>
      <c r="H61" s="112"/>
      <c r="I61" s="112"/>
      <c r="J61" s="112"/>
      <c r="K61" s="112"/>
      <c r="L61" s="112"/>
      <c r="M61" s="82"/>
      <c r="N61" s="101"/>
      <c r="O61" s="101"/>
    </row>
    <row r="62" spans="1:24" s="85" customFormat="1" x14ac:dyDescent="0.3">
      <c r="H62" s="81"/>
      <c r="I62" s="81"/>
      <c r="J62" s="81"/>
      <c r="K62" s="81"/>
      <c r="L62" s="112"/>
      <c r="M62" s="82"/>
      <c r="N62" s="101"/>
      <c r="O62" s="101"/>
    </row>
    <row r="63" spans="1:24" s="85" customFormat="1" x14ac:dyDescent="0.3">
      <c r="H63" s="81"/>
      <c r="I63" s="81"/>
      <c r="J63" s="81"/>
      <c r="K63" s="81"/>
      <c r="L63" s="82"/>
      <c r="M63" s="82"/>
      <c r="N63" s="101"/>
      <c r="O63" s="101"/>
    </row>
    <row r="64" spans="1:24" s="85" customFormat="1" x14ac:dyDescent="0.3">
      <c r="H64" s="81"/>
      <c r="I64" s="81"/>
      <c r="J64" s="81"/>
      <c r="K64" s="81"/>
      <c r="L64" s="89"/>
      <c r="M64" s="82"/>
      <c r="N64" s="101"/>
      <c r="O64" s="101"/>
    </row>
    <row r="65" spans="13:13" x14ac:dyDescent="0.3">
      <c r="M65" s="77"/>
    </row>
    <row r="82" spans="13:13" x14ac:dyDescent="0.3">
      <c r="M82" s="77"/>
    </row>
  </sheetData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8"/>
  <sheetViews>
    <sheetView zoomScale="99" zoomScaleNormal="99" workbookViewId="0">
      <pane xSplit="1" ySplit="10" topLeftCell="J11" activePane="bottomRight" state="frozen"/>
      <selection pane="topRight" activeCell="B1" sqref="B1"/>
      <selection pane="bottomLeft" activeCell="A11" sqref="A11"/>
      <selection pane="bottomRight" activeCell="L17" sqref="L17"/>
    </sheetView>
  </sheetViews>
  <sheetFormatPr baseColWidth="10" defaultColWidth="11.42578125" defaultRowHeight="15" x14ac:dyDescent="0.3"/>
  <cols>
    <col min="1" max="1" width="43.7109375" style="73" customWidth="1"/>
    <col min="2" max="2" width="14.42578125" style="73" customWidth="1"/>
    <col min="3" max="7" width="11.42578125" style="73" bestFit="1" customWidth="1"/>
    <col min="8" max="8" width="13" style="74" bestFit="1" customWidth="1"/>
    <col min="9" max="9" width="12.7109375" style="74" bestFit="1" customWidth="1"/>
    <col min="10" max="11" width="12.7109375" style="74" customWidth="1"/>
    <col min="12" max="12" width="13.42578125" style="75" bestFit="1" customWidth="1"/>
    <col min="13" max="16384" width="11.42578125" style="73"/>
  </cols>
  <sheetData>
    <row r="1" spans="1:20" x14ac:dyDescent="0.3">
      <c r="M1" s="75"/>
      <c r="N1" s="76"/>
      <c r="O1" s="76"/>
    </row>
    <row r="2" spans="1:20" x14ac:dyDescent="0.3">
      <c r="M2" s="75"/>
      <c r="N2" s="76"/>
      <c r="O2" s="76"/>
    </row>
    <row r="3" spans="1:20" x14ac:dyDescent="0.3">
      <c r="M3" s="75"/>
      <c r="N3" s="76"/>
      <c r="O3" s="76"/>
    </row>
    <row r="4" spans="1:20" x14ac:dyDescent="0.3">
      <c r="M4" s="75"/>
      <c r="N4" s="76"/>
      <c r="O4" s="76"/>
    </row>
    <row r="5" spans="1:20" x14ac:dyDescent="0.3">
      <c r="M5" s="75"/>
      <c r="N5" s="76"/>
      <c r="O5" s="76"/>
    </row>
    <row r="6" spans="1:20" ht="21" x14ac:dyDescent="0.35">
      <c r="A6" s="116" t="s">
        <v>90</v>
      </c>
      <c r="B6" s="116"/>
      <c r="C6" s="116"/>
      <c r="D6" s="116"/>
      <c r="E6" s="116"/>
      <c r="F6" s="116"/>
      <c r="G6" s="116"/>
      <c r="M6" s="75"/>
      <c r="N6" s="76"/>
      <c r="O6" s="76"/>
    </row>
    <row r="7" spans="1:20" ht="15.75" x14ac:dyDescent="0.3">
      <c r="A7" s="78" t="s">
        <v>114</v>
      </c>
      <c r="B7" s="78"/>
      <c r="C7" s="78"/>
      <c r="D7" s="78"/>
      <c r="E7" s="78"/>
      <c r="F7" s="78"/>
      <c r="G7" s="78"/>
      <c r="M7" s="75"/>
      <c r="N7" s="76"/>
      <c r="O7" s="76"/>
    </row>
    <row r="8" spans="1:20" x14ac:dyDescent="0.3">
      <c r="A8" s="79" t="s">
        <v>88</v>
      </c>
      <c r="B8" s="79"/>
      <c r="C8" s="79"/>
      <c r="D8" s="79"/>
      <c r="E8" s="79"/>
      <c r="F8" s="79"/>
      <c r="G8" s="79"/>
      <c r="M8" s="75"/>
      <c r="N8" s="76"/>
      <c r="O8" s="76"/>
    </row>
    <row r="9" spans="1:20" s="85" customFormat="1" x14ac:dyDescent="0.3">
      <c r="A9" s="80"/>
      <c r="B9" s="80"/>
      <c r="C9" s="80"/>
      <c r="D9" s="80"/>
      <c r="E9" s="80"/>
      <c r="F9" s="80"/>
      <c r="G9" s="80"/>
      <c r="H9" s="81"/>
      <c r="I9" s="81"/>
      <c r="J9" s="81"/>
      <c r="K9" s="81"/>
      <c r="L9" s="82"/>
      <c r="M9" s="82"/>
      <c r="N9" s="83"/>
      <c r="O9" s="83"/>
      <c r="P9" s="84"/>
      <c r="Q9" s="84"/>
      <c r="R9" s="84"/>
      <c r="S9" s="84"/>
    </row>
    <row r="10" spans="1:20" s="85" customFormat="1" ht="15.75" thickBot="1" x14ac:dyDescent="0.35">
      <c r="A10" s="104" t="s">
        <v>20</v>
      </c>
      <c r="B10" s="156">
        <v>2005</v>
      </c>
      <c r="C10" s="156">
        <v>2006</v>
      </c>
      <c r="D10" s="156">
        <v>2007</v>
      </c>
      <c r="E10" s="156">
        <v>2008</v>
      </c>
      <c r="F10" s="156">
        <v>2009</v>
      </c>
      <c r="G10" s="156">
        <v>2010</v>
      </c>
      <c r="H10" s="198">
        <v>2011</v>
      </c>
      <c r="I10" s="157">
        <v>2012</v>
      </c>
      <c r="J10" s="145">
        <v>2013</v>
      </c>
      <c r="K10" s="158" t="s">
        <v>46</v>
      </c>
      <c r="L10" s="145">
        <v>2013</v>
      </c>
      <c r="M10" s="145">
        <v>2014</v>
      </c>
      <c r="N10" s="158" t="s">
        <v>46</v>
      </c>
    </row>
    <row r="11" spans="1:20" s="85" customFormat="1" x14ac:dyDescent="0.3">
      <c r="A11" s="88" t="s">
        <v>21</v>
      </c>
      <c r="B11" s="81">
        <v>5989</v>
      </c>
      <c r="C11" s="81">
        <v>915</v>
      </c>
      <c r="D11" s="81">
        <v>1835</v>
      </c>
      <c r="E11" s="81">
        <v>382</v>
      </c>
      <c r="F11" s="81">
        <v>191</v>
      </c>
      <c r="G11" s="81">
        <v>225</v>
      </c>
      <c r="H11" s="199">
        <v>94</v>
      </c>
      <c r="I11" s="135">
        <v>74</v>
      </c>
      <c r="J11" s="135">
        <v>58</v>
      </c>
      <c r="K11" s="129">
        <f>(J11-I11)/I11</f>
        <v>-0.21621621621621623</v>
      </c>
      <c r="L11" s="135">
        <v>186</v>
      </c>
      <c r="M11" s="135">
        <v>227</v>
      </c>
      <c r="N11" s="129">
        <f>IF(L11&lt;&gt;0,(M11-L11)/L11,0)</f>
        <v>0.22043010752688172</v>
      </c>
      <c r="O11" s="82"/>
    </row>
    <row r="12" spans="1:20" s="85" customFormat="1" x14ac:dyDescent="0.3">
      <c r="A12" s="88" t="s">
        <v>22</v>
      </c>
      <c r="B12" s="81">
        <v>2353634</v>
      </c>
      <c r="C12" s="81">
        <v>2658218</v>
      </c>
      <c r="D12" s="81">
        <v>2904738</v>
      </c>
      <c r="E12" s="81">
        <v>3041332</v>
      </c>
      <c r="F12" s="81">
        <v>3601952</v>
      </c>
      <c r="G12" s="81">
        <v>2716228</v>
      </c>
      <c r="H12" s="199">
        <v>3554895</v>
      </c>
      <c r="I12" s="135">
        <v>3748346</v>
      </c>
      <c r="J12" s="135">
        <v>4126523</v>
      </c>
      <c r="K12" s="129">
        <f>(J12-I12)/I12</f>
        <v>0.10089169996579825</v>
      </c>
      <c r="L12" s="135">
        <v>3944362</v>
      </c>
      <c r="M12" s="135">
        <v>3988589</v>
      </c>
      <c r="N12" s="129">
        <f t="shared" ref="N12:N17" si="0">IF(L12&lt;&gt;0,(M12-L12)/L12,0)</f>
        <v>1.1212713234738596E-2</v>
      </c>
      <c r="O12" s="82"/>
    </row>
    <row r="13" spans="1:20" s="89" customFormat="1" ht="14.25" customHeight="1" x14ac:dyDescent="0.3">
      <c r="A13" s="88" t="s">
        <v>23</v>
      </c>
      <c r="B13" s="81">
        <v>5093</v>
      </c>
      <c r="C13" s="81">
        <v>21107</v>
      </c>
      <c r="D13" s="81">
        <v>10187</v>
      </c>
      <c r="E13" s="81">
        <v>24218</v>
      </c>
      <c r="F13" s="81">
        <v>43410</v>
      </c>
      <c r="G13" s="81">
        <v>90361</v>
      </c>
      <c r="H13" s="199">
        <v>10662</v>
      </c>
      <c r="I13" s="135">
        <v>14922</v>
      </c>
      <c r="J13" s="135">
        <v>18191</v>
      </c>
      <c r="K13" s="129">
        <f>(J13-I13)/I13</f>
        <v>0.21907251038734754</v>
      </c>
      <c r="L13" s="135">
        <v>27401</v>
      </c>
      <c r="M13" s="135">
        <v>28809</v>
      </c>
      <c r="N13" s="129">
        <f t="shared" si="0"/>
        <v>5.1384985949417906E-2</v>
      </c>
      <c r="O13" s="82"/>
      <c r="P13" s="85"/>
      <c r="R13" s="85"/>
      <c r="S13" s="85"/>
      <c r="T13" s="85"/>
    </row>
    <row r="14" spans="1:20" s="89" customFormat="1" x14ac:dyDescent="0.3">
      <c r="A14" s="88" t="s">
        <v>37</v>
      </c>
      <c r="B14" s="81"/>
      <c r="C14" s="81"/>
      <c r="D14" s="81">
        <v>0</v>
      </c>
      <c r="E14" s="81">
        <v>50</v>
      </c>
      <c r="F14" s="81"/>
      <c r="G14" s="81"/>
      <c r="H14" s="199">
        <v>0</v>
      </c>
      <c r="I14" s="135">
        <v>0</v>
      </c>
      <c r="J14" s="135">
        <v>0</v>
      </c>
      <c r="K14" s="129">
        <v>0</v>
      </c>
      <c r="L14" s="135">
        <v>0</v>
      </c>
      <c r="M14" s="135">
        <v>0</v>
      </c>
      <c r="N14" s="129">
        <f t="shared" si="0"/>
        <v>0</v>
      </c>
      <c r="O14" s="82"/>
      <c r="P14" s="85"/>
      <c r="R14" s="85"/>
      <c r="S14" s="85"/>
      <c r="T14" s="85"/>
    </row>
    <row r="15" spans="1:20" s="89" customFormat="1" x14ac:dyDescent="0.3">
      <c r="A15" s="88" t="s">
        <v>83</v>
      </c>
      <c r="B15" s="81">
        <v>23371</v>
      </c>
      <c r="C15" s="81">
        <v>1095</v>
      </c>
      <c r="D15" s="81">
        <v>209</v>
      </c>
      <c r="E15" s="81">
        <v>209</v>
      </c>
      <c r="F15" s="81">
        <v>209</v>
      </c>
      <c r="G15" s="81">
        <v>155</v>
      </c>
      <c r="H15" s="199">
        <f>503+155</f>
        <v>658</v>
      </c>
      <c r="I15" s="135">
        <v>118</v>
      </c>
      <c r="J15" s="135">
        <v>4612</v>
      </c>
      <c r="K15" s="197" t="s">
        <v>116</v>
      </c>
      <c r="L15" s="135">
        <v>4751</v>
      </c>
      <c r="M15" s="135">
        <v>7341</v>
      </c>
      <c r="N15" s="129">
        <f t="shared" si="0"/>
        <v>0.545148389812671</v>
      </c>
      <c r="O15" s="82"/>
      <c r="P15" s="85"/>
      <c r="R15" s="85"/>
      <c r="S15" s="85"/>
      <c r="T15" s="85"/>
    </row>
    <row r="16" spans="1:20" s="89" customFormat="1" x14ac:dyDescent="0.3">
      <c r="A16" s="88" t="s">
        <v>26</v>
      </c>
      <c r="B16" s="81">
        <v>1356015</v>
      </c>
      <c r="C16" s="81">
        <v>1347305</v>
      </c>
      <c r="D16" s="81">
        <v>1324771</v>
      </c>
      <c r="E16" s="81">
        <v>891321</v>
      </c>
      <c r="F16" s="81">
        <v>1869198</v>
      </c>
      <c r="G16" s="81">
        <v>3596772</v>
      </c>
      <c r="H16" s="199">
        <v>2979150</v>
      </c>
      <c r="I16" s="135">
        <v>3733696</v>
      </c>
      <c r="J16" s="135">
        <v>3357714</v>
      </c>
      <c r="K16" s="129">
        <f>(J16-I16)/I16</f>
        <v>-0.10069968203088843</v>
      </c>
      <c r="L16" s="135">
        <v>3866241</v>
      </c>
      <c r="M16" s="135">
        <v>4000383</v>
      </c>
      <c r="N16" s="129">
        <f t="shared" si="0"/>
        <v>3.4695716071502007E-2</v>
      </c>
      <c r="O16" s="82"/>
      <c r="P16" s="85"/>
      <c r="R16" s="85"/>
      <c r="S16" s="85"/>
      <c r="T16" s="85"/>
    </row>
    <row r="17" spans="1:20" s="89" customFormat="1" ht="15.75" thickBot="1" x14ac:dyDescent="0.35">
      <c r="A17" s="90" t="s">
        <v>27</v>
      </c>
      <c r="B17" s="91">
        <f t="shared" ref="B17:J17" si="1">SUM(B11:B16)</f>
        <v>3744102</v>
      </c>
      <c r="C17" s="91">
        <f t="shared" si="1"/>
        <v>4028640</v>
      </c>
      <c r="D17" s="91">
        <f t="shared" si="1"/>
        <v>4241740</v>
      </c>
      <c r="E17" s="91">
        <f t="shared" si="1"/>
        <v>3957512</v>
      </c>
      <c r="F17" s="91">
        <f t="shared" si="1"/>
        <v>5514960</v>
      </c>
      <c r="G17" s="91">
        <f t="shared" si="1"/>
        <v>6403741</v>
      </c>
      <c r="H17" s="200">
        <f t="shared" si="1"/>
        <v>6545459</v>
      </c>
      <c r="I17" s="137">
        <f t="shared" si="1"/>
        <v>7497156</v>
      </c>
      <c r="J17" s="137">
        <f t="shared" si="1"/>
        <v>7507098</v>
      </c>
      <c r="K17" s="159">
        <f>(J17-I17)/I17</f>
        <v>1.3261028582038309E-3</v>
      </c>
      <c r="L17" s="137">
        <f>SUM(L11:L16)</f>
        <v>7842941</v>
      </c>
      <c r="M17" s="137">
        <f>SUM(M11:M16)</f>
        <v>8025349</v>
      </c>
      <c r="N17" s="159">
        <f t="shared" si="0"/>
        <v>2.3257601963345129E-2</v>
      </c>
      <c r="O17" s="82"/>
      <c r="P17" s="85"/>
      <c r="R17" s="85"/>
      <c r="S17" s="85"/>
      <c r="T17" s="85"/>
    </row>
    <row r="18" spans="1:20" s="85" customFormat="1" x14ac:dyDescent="0.3">
      <c r="B18" s="81"/>
      <c r="C18" s="81"/>
      <c r="D18" s="81"/>
      <c r="E18" s="81"/>
      <c r="F18" s="81"/>
      <c r="G18" s="81"/>
      <c r="H18" s="199"/>
      <c r="I18" s="135"/>
      <c r="J18" s="135"/>
      <c r="K18" s="129"/>
      <c r="L18" s="135"/>
      <c r="M18" s="135"/>
      <c r="N18" s="129"/>
      <c r="O18" s="107"/>
    </row>
    <row r="19" spans="1:20" s="89" customFormat="1" x14ac:dyDescent="0.3">
      <c r="A19" s="104" t="s">
        <v>48</v>
      </c>
      <c r="B19" s="86"/>
      <c r="C19" s="86"/>
      <c r="D19" s="86"/>
      <c r="E19" s="86"/>
      <c r="F19" s="86"/>
      <c r="G19" s="86"/>
      <c r="H19" s="207"/>
      <c r="I19" s="161"/>
      <c r="J19" s="161"/>
      <c r="K19" s="162"/>
      <c r="L19" s="161"/>
      <c r="M19" s="161"/>
      <c r="N19" s="162"/>
      <c r="O19" s="107"/>
      <c r="P19" s="85"/>
      <c r="R19" s="85"/>
      <c r="S19" s="85"/>
      <c r="T19" s="85"/>
    </row>
    <row r="20" spans="1:20" s="89" customFormat="1" x14ac:dyDescent="0.3">
      <c r="A20" s="88" t="s">
        <v>28</v>
      </c>
      <c r="B20" s="81"/>
      <c r="C20" s="81"/>
      <c r="D20" s="81">
        <v>7000</v>
      </c>
      <c r="E20" s="81">
        <v>7000</v>
      </c>
      <c r="F20" s="81">
        <v>0</v>
      </c>
      <c r="G20" s="81">
        <v>445</v>
      </c>
      <c r="H20" s="199">
        <v>0</v>
      </c>
      <c r="I20" s="135">
        <v>7</v>
      </c>
      <c r="J20" s="135">
        <v>0</v>
      </c>
      <c r="K20" s="129">
        <f>(J20-I20)/I20</f>
        <v>-1</v>
      </c>
      <c r="L20" s="135">
        <v>0</v>
      </c>
      <c r="M20" s="135">
        <v>0</v>
      </c>
      <c r="N20" s="129">
        <f t="shared" ref="N20:N28" si="2">IF(L20&lt;&gt;0,(M20-L20)/L20,0)</f>
        <v>0</v>
      </c>
      <c r="O20" s="82"/>
      <c r="P20" s="85"/>
      <c r="R20" s="85"/>
      <c r="S20" s="85"/>
      <c r="T20" s="85"/>
    </row>
    <row r="21" spans="1:20" s="89" customFormat="1" x14ac:dyDescent="0.3">
      <c r="A21" s="88" t="s">
        <v>29</v>
      </c>
      <c r="B21" s="81">
        <v>37598</v>
      </c>
      <c r="C21" s="81">
        <v>60127</v>
      </c>
      <c r="D21" s="81">
        <v>62571</v>
      </c>
      <c r="E21" s="81">
        <v>71267</v>
      </c>
      <c r="F21" s="81">
        <v>111498</v>
      </c>
      <c r="G21" s="81">
        <v>70420</v>
      </c>
      <c r="H21" s="199">
        <v>59466</v>
      </c>
      <c r="I21" s="135">
        <v>65083</v>
      </c>
      <c r="J21" s="135">
        <v>70701</v>
      </c>
      <c r="K21" s="129">
        <f>(J21-I21)/I21</f>
        <v>8.6320544535439359E-2</v>
      </c>
      <c r="L21" s="135">
        <v>119625</v>
      </c>
      <c r="M21" s="135">
        <v>124033</v>
      </c>
      <c r="N21" s="129">
        <f t="shared" si="2"/>
        <v>3.6848484848484846E-2</v>
      </c>
      <c r="O21" s="82"/>
      <c r="P21" s="85"/>
      <c r="R21" s="85"/>
      <c r="S21" s="85"/>
      <c r="T21" s="85"/>
    </row>
    <row r="22" spans="1:20" s="85" customFormat="1" x14ac:dyDescent="0.3">
      <c r="A22" s="88" t="s">
        <v>30</v>
      </c>
      <c r="B22" s="81">
        <v>3128</v>
      </c>
      <c r="C22" s="81">
        <v>98</v>
      </c>
      <c r="D22" s="81">
        <v>645</v>
      </c>
      <c r="E22" s="81">
        <v>1762</v>
      </c>
      <c r="F22" s="81">
        <v>430</v>
      </c>
      <c r="G22" s="81">
        <v>604</v>
      </c>
      <c r="H22" s="199">
        <v>585</v>
      </c>
      <c r="I22" s="135">
        <v>657</v>
      </c>
      <c r="J22" s="135">
        <v>2299</v>
      </c>
      <c r="K22" s="129">
        <f>(J22-I22)/I22</f>
        <v>2.4992389649923896</v>
      </c>
      <c r="L22" s="135">
        <v>1901</v>
      </c>
      <c r="M22" s="135">
        <v>1425</v>
      </c>
      <c r="N22" s="129">
        <f t="shared" si="2"/>
        <v>-0.25039452919516042</v>
      </c>
      <c r="O22" s="82"/>
    </row>
    <row r="23" spans="1:20" s="85" customFormat="1" x14ac:dyDescent="0.3">
      <c r="A23" s="88" t="s">
        <v>31</v>
      </c>
      <c r="B23" s="81">
        <v>247</v>
      </c>
      <c r="C23" s="81">
        <v>501</v>
      </c>
      <c r="D23" s="81">
        <v>686</v>
      </c>
      <c r="E23" s="81">
        <v>940</v>
      </c>
      <c r="F23" s="81">
        <v>650</v>
      </c>
      <c r="G23" s="81">
        <v>947</v>
      </c>
      <c r="H23" s="199">
        <v>872</v>
      </c>
      <c r="I23" s="135">
        <v>481</v>
      </c>
      <c r="J23" s="135">
        <v>932</v>
      </c>
      <c r="K23" s="129">
        <f>(J23-I23)/I23</f>
        <v>0.93762993762993763</v>
      </c>
      <c r="L23" s="135">
        <v>111</v>
      </c>
      <c r="M23" s="135">
        <v>72</v>
      </c>
      <c r="N23" s="129">
        <f t="shared" si="2"/>
        <v>-0.35135135135135137</v>
      </c>
      <c r="O23" s="82"/>
    </row>
    <row r="24" spans="1:20" s="85" customFormat="1" x14ac:dyDescent="0.3">
      <c r="A24" s="88" t="s">
        <v>32</v>
      </c>
      <c r="B24" s="81"/>
      <c r="C24" s="81"/>
      <c r="D24" s="81"/>
      <c r="E24" s="81"/>
      <c r="F24" s="81"/>
      <c r="G24" s="81"/>
      <c r="H24" s="199">
        <v>0</v>
      </c>
      <c r="I24" s="135">
        <v>0</v>
      </c>
      <c r="J24" s="135">
        <v>0</v>
      </c>
      <c r="K24" s="129">
        <v>0</v>
      </c>
      <c r="L24" s="135">
        <v>2370</v>
      </c>
      <c r="M24" s="135">
        <v>1028</v>
      </c>
      <c r="N24" s="129">
        <f t="shared" si="2"/>
        <v>-0.56624472573839657</v>
      </c>
      <c r="O24" s="82"/>
    </row>
    <row r="25" spans="1:20" s="85" customFormat="1" x14ac:dyDescent="0.3">
      <c r="A25" s="88" t="s">
        <v>87</v>
      </c>
      <c r="B25" s="81">
        <v>2356</v>
      </c>
      <c r="C25" s="81">
        <v>2509</v>
      </c>
      <c r="D25" s="81">
        <v>2679</v>
      </c>
      <c r="E25" s="81">
        <v>2934</v>
      </c>
      <c r="F25" s="81">
        <v>3179</v>
      </c>
      <c r="G25" s="81">
        <v>7650</v>
      </c>
      <c r="H25" s="199">
        <v>8296</v>
      </c>
      <c r="I25" s="135">
        <v>8803</v>
      </c>
      <c r="J25" s="135">
        <v>9622</v>
      </c>
      <c r="K25" s="129">
        <f>(J25-I25)/I25</f>
        <v>9.3036464841531302E-2</v>
      </c>
      <c r="L25" s="135">
        <v>19244</v>
      </c>
      <c r="M25" s="135">
        <v>21476</v>
      </c>
      <c r="N25" s="129">
        <f t="shared" si="2"/>
        <v>0.11598420286842652</v>
      </c>
      <c r="O25" s="82"/>
    </row>
    <row r="26" spans="1:20" s="95" customFormat="1" x14ac:dyDescent="0.3">
      <c r="A26" s="93" t="s">
        <v>33</v>
      </c>
      <c r="B26" s="80">
        <f t="shared" ref="B26:G26" si="3">SUM(B20:B25)</f>
        <v>43329</v>
      </c>
      <c r="C26" s="80">
        <f t="shared" si="3"/>
        <v>63235</v>
      </c>
      <c r="D26" s="80">
        <f t="shared" si="3"/>
        <v>73581</v>
      </c>
      <c r="E26" s="80">
        <f t="shared" si="3"/>
        <v>83903</v>
      </c>
      <c r="F26" s="80">
        <f t="shared" si="3"/>
        <v>115757</v>
      </c>
      <c r="G26" s="80">
        <f t="shared" si="3"/>
        <v>80066</v>
      </c>
      <c r="H26" s="202">
        <f>SUM(H20:H25)</f>
        <v>69219</v>
      </c>
      <c r="I26" s="134">
        <f>SUM(I20:I25)</f>
        <v>75031</v>
      </c>
      <c r="J26" s="134">
        <f>SUM(J20:J25)</f>
        <v>83554</v>
      </c>
      <c r="K26" s="129">
        <f>(J26-I26)/I26</f>
        <v>0.11359304820674121</v>
      </c>
      <c r="L26" s="134">
        <f>SUM(L20:L25)</f>
        <v>143251</v>
      </c>
      <c r="M26" s="134">
        <f>SUM(M20:M25)</f>
        <v>148034</v>
      </c>
      <c r="N26" s="138">
        <f t="shared" si="2"/>
        <v>3.3388946674019725E-2</v>
      </c>
      <c r="O26" s="82"/>
      <c r="P26" s="85"/>
      <c r="R26" s="85"/>
      <c r="S26" s="85"/>
      <c r="T26" s="85"/>
    </row>
    <row r="27" spans="1:20" s="95" customFormat="1" x14ac:dyDescent="0.3">
      <c r="A27" s="96" t="s">
        <v>34</v>
      </c>
      <c r="B27" s="97">
        <v>3700773</v>
      </c>
      <c r="C27" s="97">
        <v>3965405</v>
      </c>
      <c r="D27" s="97">
        <v>4168159</v>
      </c>
      <c r="E27" s="97">
        <v>3873609</v>
      </c>
      <c r="F27" s="97">
        <v>5399203</v>
      </c>
      <c r="G27" s="97">
        <v>6323675</v>
      </c>
      <c r="H27" s="203">
        <v>6476240</v>
      </c>
      <c r="I27" s="163">
        <f>+I17-I26</f>
        <v>7422125</v>
      </c>
      <c r="J27" s="163">
        <f>+J17-J26</f>
        <v>7423544</v>
      </c>
      <c r="K27" s="131">
        <f>(J27-I27)/I27</f>
        <v>1.9118513902689595E-4</v>
      </c>
      <c r="L27" s="163">
        <f>+L17-L26</f>
        <v>7699690</v>
      </c>
      <c r="M27" s="163">
        <f>+M17-M26</f>
        <v>7877315</v>
      </c>
      <c r="N27" s="131">
        <f t="shared" si="2"/>
        <v>2.3069110574581574E-2</v>
      </c>
      <c r="O27" s="82"/>
      <c r="P27" s="85"/>
      <c r="R27" s="85"/>
      <c r="S27" s="85"/>
      <c r="T27" s="85"/>
    </row>
    <row r="28" spans="1:20" s="95" customFormat="1" ht="15.75" thickBot="1" x14ac:dyDescent="0.35">
      <c r="A28" s="90" t="s">
        <v>35</v>
      </c>
      <c r="B28" s="91">
        <f t="shared" ref="B28:G28" si="4">+B26+B27</f>
        <v>3744102</v>
      </c>
      <c r="C28" s="91">
        <f t="shared" si="4"/>
        <v>4028640</v>
      </c>
      <c r="D28" s="91">
        <f t="shared" si="4"/>
        <v>4241740</v>
      </c>
      <c r="E28" s="91">
        <f t="shared" si="4"/>
        <v>3957512</v>
      </c>
      <c r="F28" s="91">
        <f t="shared" si="4"/>
        <v>5514960</v>
      </c>
      <c r="G28" s="91">
        <f t="shared" si="4"/>
        <v>6403741</v>
      </c>
      <c r="H28" s="200">
        <f>+H26+H27</f>
        <v>6545459</v>
      </c>
      <c r="I28" s="137">
        <f>+I26+I27</f>
        <v>7497156</v>
      </c>
      <c r="J28" s="137">
        <f>+J26+J27</f>
        <v>7507098</v>
      </c>
      <c r="K28" s="130">
        <f>(J28-I28)/I28</f>
        <v>1.3261028582038309E-3</v>
      </c>
      <c r="L28" s="137">
        <f>+L26+L27</f>
        <v>7842941</v>
      </c>
      <c r="M28" s="137">
        <f>+M26+M27</f>
        <v>8025349</v>
      </c>
      <c r="N28" s="130">
        <f t="shared" si="2"/>
        <v>2.3257601963345129E-2</v>
      </c>
      <c r="O28" s="82"/>
      <c r="P28" s="85"/>
      <c r="R28" s="85"/>
      <c r="S28" s="85"/>
      <c r="T28" s="85"/>
    </row>
    <row r="29" spans="1:20" s="85" customFormat="1" x14ac:dyDescent="0.3">
      <c r="A29" s="88" t="s">
        <v>54</v>
      </c>
      <c r="B29" s="81">
        <v>435123458</v>
      </c>
      <c r="C29" s="81">
        <v>435123458</v>
      </c>
      <c r="D29" s="81">
        <v>435123458</v>
      </c>
      <c r="E29" s="81">
        <v>435123458</v>
      </c>
      <c r="F29" s="81">
        <v>435123458</v>
      </c>
      <c r="G29" s="81">
        <v>435123458</v>
      </c>
      <c r="H29" s="199">
        <f>435123458+25000000</f>
        <v>460123458</v>
      </c>
      <c r="I29" s="135">
        <f>435123458+25000000</f>
        <v>460123458</v>
      </c>
      <c r="J29" s="135">
        <f>435123458+25000000</f>
        <v>460123458</v>
      </c>
      <c r="K29" s="129"/>
      <c r="L29" s="135">
        <f>435123458+25000000</f>
        <v>460123458</v>
      </c>
      <c r="M29" s="135">
        <f>435123458+25000000</f>
        <v>460123458</v>
      </c>
      <c r="N29" s="129"/>
      <c r="O29" s="107"/>
    </row>
    <row r="30" spans="1:20" s="85" customFormat="1" x14ac:dyDescent="0.3">
      <c r="A30" s="88" t="s">
        <v>71</v>
      </c>
      <c r="B30" s="100">
        <f t="shared" ref="B30:J30" si="5">+B27/+(B29/1000000)</f>
        <v>8505.1102898708796</v>
      </c>
      <c r="C30" s="100">
        <f t="shared" si="5"/>
        <v>9113.2871075868297</v>
      </c>
      <c r="D30" s="100">
        <f t="shared" si="5"/>
        <v>9579.2560096817397</v>
      </c>
      <c r="E30" s="100">
        <f t="shared" si="5"/>
        <v>8902.3216946395933</v>
      </c>
      <c r="F30" s="100">
        <f t="shared" si="5"/>
        <v>12408.439261851976</v>
      </c>
      <c r="G30" s="100">
        <f t="shared" si="5"/>
        <v>14533.059258781675</v>
      </c>
      <c r="H30" s="208">
        <f t="shared" si="5"/>
        <v>14075.005060924323</v>
      </c>
      <c r="I30" s="165">
        <f t="shared" si="5"/>
        <v>16130.725071617626</v>
      </c>
      <c r="J30" s="165">
        <f t="shared" si="5"/>
        <v>16133.809026533047</v>
      </c>
      <c r="K30" s="129"/>
      <c r="L30" s="165">
        <f>+L27/+(L29/1000000)</f>
        <v>16733.965343709991</v>
      </c>
      <c r="M30" s="165">
        <f>+M27/+(M29/1000000)</f>
        <v>17120.003040575251</v>
      </c>
      <c r="N30" s="129"/>
      <c r="O30" s="107"/>
    </row>
    <row r="31" spans="1:20" s="85" customFormat="1" x14ac:dyDescent="0.3">
      <c r="A31" s="115"/>
      <c r="B31" s="115"/>
      <c r="C31" s="115"/>
      <c r="D31" s="115"/>
      <c r="E31" s="115"/>
      <c r="F31" s="81"/>
      <c r="G31" s="115"/>
      <c r="H31" s="100"/>
      <c r="I31" s="100"/>
      <c r="J31" s="100"/>
      <c r="K31" s="100"/>
      <c r="L31" s="82"/>
      <c r="N31" s="107"/>
    </row>
    <row r="32" spans="1:20" s="85" customFormat="1" x14ac:dyDescent="0.3">
      <c r="A32" s="115"/>
      <c r="B32" s="115"/>
      <c r="C32" s="115"/>
      <c r="D32" s="115"/>
      <c r="E32" s="115"/>
      <c r="F32" s="100"/>
      <c r="G32" s="115"/>
      <c r="H32" s="100"/>
      <c r="I32" s="100"/>
      <c r="J32" s="100"/>
      <c r="K32" s="100"/>
      <c r="L32" s="82"/>
      <c r="N32" s="107"/>
    </row>
    <row r="33" spans="1:24" ht="21" x14ac:dyDescent="0.35">
      <c r="A33" s="116" t="s">
        <v>92</v>
      </c>
      <c r="B33" s="116"/>
      <c r="C33" s="116"/>
      <c r="D33" s="116"/>
      <c r="E33" s="116"/>
      <c r="F33" s="116"/>
      <c r="G33" s="116"/>
      <c r="M33" s="75"/>
      <c r="N33" s="109"/>
      <c r="O33" s="76"/>
    </row>
    <row r="34" spans="1:24" ht="15.75" x14ac:dyDescent="0.3">
      <c r="A34" s="78" t="s">
        <v>133</v>
      </c>
      <c r="B34" s="78"/>
      <c r="C34" s="78"/>
      <c r="D34" s="78"/>
      <c r="E34" s="78"/>
      <c r="F34" s="78"/>
      <c r="G34" s="78"/>
      <c r="M34" s="75"/>
      <c r="N34" s="109"/>
      <c r="O34" s="76"/>
    </row>
    <row r="35" spans="1:24" x14ac:dyDescent="0.3">
      <c r="A35" s="79" t="s">
        <v>88</v>
      </c>
      <c r="B35" s="79"/>
      <c r="C35" s="79"/>
      <c r="D35" s="79"/>
      <c r="E35" s="79"/>
      <c r="F35" s="79"/>
      <c r="G35" s="79"/>
      <c r="M35" s="75"/>
      <c r="N35" s="109"/>
      <c r="O35" s="76"/>
    </row>
    <row r="36" spans="1:24" s="85" customFormat="1" x14ac:dyDescent="0.3">
      <c r="H36" s="81"/>
      <c r="I36" s="81"/>
      <c r="J36" s="81"/>
      <c r="K36" s="81"/>
      <c r="L36" s="82"/>
      <c r="N36" s="107"/>
    </row>
    <row r="37" spans="1:24" s="85" customFormat="1" ht="15.75" thickBot="1" x14ac:dyDescent="0.35">
      <c r="B37" s="156">
        <v>2005</v>
      </c>
      <c r="C37" s="156">
        <v>2006</v>
      </c>
      <c r="D37" s="156">
        <v>2007</v>
      </c>
      <c r="E37" s="156">
        <v>2008</v>
      </c>
      <c r="F37" s="156">
        <v>2009</v>
      </c>
      <c r="G37" s="156">
        <v>2010</v>
      </c>
      <c r="H37" s="198">
        <v>2011</v>
      </c>
      <c r="I37" s="156">
        <v>2012</v>
      </c>
      <c r="J37" s="210">
        <v>2013</v>
      </c>
      <c r="K37" s="145" t="s">
        <v>95</v>
      </c>
      <c r="L37" s="145" t="s">
        <v>124</v>
      </c>
      <c r="M37" s="145" t="s">
        <v>100</v>
      </c>
      <c r="N37" s="145" t="s">
        <v>127</v>
      </c>
      <c r="O37" s="145" t="s">
        <v>112</v>
      </c>
      <c r="P37" s="145" t="s">
        <v>132</v>
      </c>
      <c r="Q37" s="167" t="s">
        <v>46</v>
      </c>
      <c r="R37" s="145" t="s">
        <v>109</v>
      </c>
      <c r="S37" s="145" t="s">
        <v>128</v>
      </c>
      <c r="T37" s="167" t="s">
        <v>46</v>
      </c>
      <c r="V37" s="107"/>
    </row>
    <row r="38" spans="1:24" s="95" customFormat="1" x14ac:dyDescent="0.3">
      <c r="A38" s="85" t="s">
        <v>72</v>
      </c>
      <c r="B38" s="80">
        <v>158869</v>
      </c>
      <c r="C38" s="80">
        <v>163042</v>
      </c>
      <c r="D38" s="80">
        <v>231987</v>
      </c>
      <c r="E38" s="80">
        <v>268897</v>
      </c>
      <c r="F38" s="80">
        <v>212895</v>
      </c>
      <c r="G38" s="80">
        <v>239836</v>
      </c>
      <c r="H38" s="202">
        <v>223644</v>
      </c>
      <c r="I38" s="80">
        <v>312990</v>
      </c>
      <c r="J38" s="211">
        <v>344939</v>
      </c>
      <c r="K38" s="134">
        <v>77093</v>
      </c>
      <c r="L38" s="134">
        <v>78232</v>
      </c>
      <c r="M38" s="134">
        <v>88356</v>
      </c>
      <c r="N38" s="134">
        <v>74755</v>
      </c>
      <c r="O38" s="134">
        <v>91080</v>
      </c>
      <c r="P38" s="134">
        <f>+S38-L38-N38</f>
        <v>84646</v>
      </c>
      <c r="Q38" s="129">
        <f>(P38-O38)/O38</f>
        <v>-7.0641194554238035E-2</v>
      </c>
      <c r="R38" s="134">
        <v>256529</v>
      </c>
      <c r="S38" s="134">
        <v>237633</v>
      </c>
      <c r="T38" s="129">
        <f t="shared" ref="T38:T44" si="6">IF(R38&lt;&gt;0,(S38-R38)/R38,0)</f>
        <v>-7.3660287920663939E-2</v>
      </c>
      <c r="U38" s="169"/>
      <c r="V38" s="85"/>
      <c r="W38" s="85"/>
      <c r="X38" s="85"/>
    </row>
    <row r="39" spans="1:24" s="85" customFormat="1" x14ac:dyDescent="0.3">
      <c r="A39" s="85" t="s">
        <v>5</v>
      </c>
      <c r="B39" s="81">
        <v>17762</v>
      </c>
      <c r="C39" s="81">
        <v>56828</v>
      </c>
      <c r="D39" s="81">
        <v>2685</v>
      </c>
      <c r="E39" s="81">
        <v>2704</v>
      </c>
      <c r="F39" s="81">
        <v>0</v>
      </c>
      <c r="G39" s="81">
        <v>1579</v>
      </c>
      <c r="H39" s="199">
        <v>11024</v>
      </c>
      <c r="I39" s="81">
        <v>0</v>
      </c>
      <c r="J39" s="212">
        <v>-176</v>
      </c>
      <c r="K39" s="135">
        <v>0</v>
      </c>
      <c r="L39" s="135">
        <v>640</v>
      </c>
      <c r="M39" s="135">
        <v>-176</v>
      </c>
      <c r="N39" s="135">
        <v>0</v>
      </c>
      <c r="O39" s="135">
        <v>0</v>
      </c>
      <c r="P39" s="135">
        <f>+S39-L39-N39</f>
        <v>0</v>
      </c>
      <c r="Q39" s="197" t="s">
        <v>131</v>
      </c>
      <c r="R39" s="135">
        <v>-176</v>
      </c>
      <c r="S39" s="135">
        <v>640</v>
      </c>
      <c r="T39" s="129">
        <f t="shared" si="6"/>
        <v>-4.6363636363636367</v>
      </c>
      <c r="U39" s="169"/>
    </row>
    <row r="40" spans="1:24" s="95" customFormat="1" x14ac:dyDescent="0.3">
      <c r="A40" s="85" t="s">
        <v>57</v>
      </c>
      <c r="B40" s="81">
        <v>11795</v>
      </c>
      <c r="C40" s="81">
        <v>16684</v>
      </c>
      <c r="D40" s="81">
        <v>11678</v>
      </c>
      <c r="E40" s="81">
        <v>14746</v>
      </c>
      <c r="F40" s="81">
        <v>12979</v>
      </c>
      <c r="G40" s="81">
        <v>30953</v>
      </c>
      <c r="H40" s="199">
        <v>33432</v>
      </c>
      <c r="I40" s="81">
        <v>35105</v>
      </c>
      <c r="J40" s="212">
        <v>39426</v>
      </c>
      <c r="K40" s="135">
        <v>8803</v>
      </c>
      <c r="L40" s="135">
        <v>9622</v>
      </c>
      <c r="M40" s="135">
        <v>9861</v>
      </c>
      <c r="N40" s="135">
        <v>10926</v>
      </c>
      <c r="O40" s="135">
        <v>11140</v>
      </c>
      <c r="P40" s="135">
        <f>+S40-L40-N40</f>
        <v>10926</v>
      </c>
      <c r="Q40" s="129">
        <f t="shared" ref="Q40:Q49" si="7">(P40-O40)/O40</f>
        <v>-1.9210053859964094E-2</v>
      </c>
      <c r="R40" s="135">
        <v>29804</v>
      </c>
      <c r="S40" s="135">
        <v>31474</v>
      </c>
      <c r="T40" s="129">
        <f t="shared" si="6"/>
        <v>5.6032747282243993E-2</v>
      </c>
      <c r="U40" s="169"/>
      <c r="V40" s="85"/>
      <c r="W40" s="85"/>
      <c r="X40" s="85"/>
    </row>
    <row r="41" spans="1:24" s="95" customFormat="1" x14ac:dyDescent="0.3">
      <c r="A41" s="85" t="s">
        <v>56</v>
      </c>
      <c r="B41" s="81">
        <v>2490</v>
      </c>
      <c r="C41" s="81">
        <v>7447</v>
      </c>
      <c r="D41" s="81">
        <v>5519</v>
      </c>
      <c r="E41" s="81">
        <v>13179</v>
      </c>
      <c r="F41" s="81">
        <v>10094</v>
      </c>
      <c r="G41" s="81">
        <v>13131</v>
      </c>
      <c r="H41" s="199">
        <v>7221</v>
      </c>
      <c r="I41" s="81">
        <v>8379</v>
      </c>
      <c r="J41" s="212">
        <v>14465</v>
      </c>
      <c r="K41" s="135">
        <v>2650</v>
      </c>
      <c r="L41" s="135">
        <v>3254</v>
      </c>
      <c r="M41" s="135">
        <v>2920</v>
      </c>
      <c r="N41" s="135">
        <v>3379</v>
      </c>
      <c r="O41" s="135">
        <v>3537</v>
      </c>
      <c r="P41" s="135">
        <f>+S41-L41-N41</f>
        <v>2644</v>
      </c>
      <c r="Q41" s="129">
        <f t="shared" si="7"/>
        <v>-0.2524738478936952</v>
      </c>
      <c r="R41" s="135">
        <v>9107</v>
      </c>
      <c r="S41" s="135">
        <v>9277</v>
      </c>
      <c r="T41" s="129">
        <f t="shared" si="6"/>
        <v>1.8666959481717361E-2</v>
      </c>
      <c r="U41" s="169"/>
      <c r="V41" s="85"/>
      <c r="W41" s="85"/>
      <c r="X41" s="85"/>
    </row>
    <row r="42" spans="1:24" s="95" customFormat="1" x14ac:dyDescent="0.3">
      <c r="A42" s="95" t="s">
        <v>4</v>
      </c>
      <c r="B42" s="80">
        <f t="shared" ref="B42:G42" si="8">SUM(B38:B41)</f>
        <v>190916</v>
      </c>
      <c r="C42" s="80">
        <f t="shared" si="8"/>
        <v>244001</v>
      </c>
      <c r="D42" s="80">
        <f t="shared" si="8"/>
        <v>251869</v>
      </c>
      <c r="E42" s="80">
        <f>SUM(E38:E41)</f>
        <v>299526</v>
      </c>
      <c r="F42" s="80">
        <f t="shared" si="8"/>
        <v>235968</v>
      </c>
      <c r="G42" s="80">
        <f t="shared" si="8"/>
        <v>285499</v>
      </c>
      <c r="H42" s="202">
        <f>SUM(H38:H41)</f>
        <v>275321</v>
      </c>
      <c r="I42" s="80">
        <f>SUM(I38:I41)</f>
        <v>356474</v>
      </c>
      <c r="J42" s="211">
        <f>SUM(J38:J41)</f>
        <v>398654</v>
      </c>
      <c r="K42" s="134">
        <f t="shared" ref="K42:P42" si="9">SUM(K38:K41)</f>
        <v>88546</v>
      </c>
      <c r="L42" s="134">
        <f t="shared" si="9"/>
        <v>91748</v>
      </c>
      <c r="M42" s="134">
        <f t="shared" si="9"/>
        <v>100961</v>
      </c>
      <c r="N42" s="134">
        <f t="shared" si="9"/>
        <v>89060</v>
      </c>
      <c r="O42" s="134">
        <f t="shared" si="9"/>
        <v>105757</v>
      </c>
      <c r="P42" s="134">
        <f t="shared" si="9"/>
        <v>98216</v>
      </c>
      <c r="Q42" s="129">
        <f t="shared" si="7"/>
        <v>-7.1304972720481863E-2</v>
      </c>
      <c r="R42" s="134">
        <f>SUM(R38:R41)</f>
        <v>295264</v>
      </c>
      <c r="S42" s="134">
        <f>SUM(S38:S41)</f>
        <v>279024</v>
      </c>
      <c r="T42" s="129">
        <f t="shared" si="6"/>
        <v>-5.5001625663812725E-2</v>
      </c>
      <c r="U42" s="169"/>
      <c r="V42" s="85"/>
      <c r="W42" s="85"/>
      <c r="X42" s="85"/>
    </row>
    <row r="43" spans="1:24" s="85" customFormat="1" x14ac:dyDescent="0.3">
      <c r="A43" s="85" t="s">
        <v>58</v>
      </c>
      <c r="B43" s="81">
        <v>-22106</v>
      </c>
      <c r="C43" s="81">
        <v>-41421</v>
      </c>
      <c r="D43" s="81">
        <v>-7188</v>
      </c>
      <c r="E43" s="81">
        <v>-8773</v>
      </c>
      <c r="F43" s="81">
        <v>-8740</v>
      </c>
      <c r="G43" s="81">
        <v>-11563</v>
      </c>
      <c r="H43" s="199">
        <v>-9004</v>
      </c>
      <c r="I43" s="81">
        <v>-10090</v>
      </c>
      <c r="J43" s="212">
        <v>-13551</v>
      </c>
      <c r="K43" s="135">
        <f>-2393-5938</f>
        <v>-8331</v>
      </c>
      <c r="L43" s="135">
        <v>-6805</v>
      </c>
      <c r="M43" s="135">
        <v>1646</v>
      </c>
      <c r="N43" s="135">
        <v>-6216</v>
      </c>
      <c r="O43" s="135">
        <v>-3043</v>
      </c>
      <c r="P43" s="135">
        <f>+S43-L43-N43</f>
        <v>-6145</v>
      </c>
      <c r="Q43" s="129">
        <f t="shared" si="7"/>
        <v>1.0193887610910286</v>
      </c>
      <c r="R43" s="135">
        <v>-9728</v>
      </c>
      <c r="S43" s="135">
        <v>-19166</v>
      </c>
      <c r="T43" s="129">
        <f t="shared" si="6"/>
        <v>0.97018914473684215</v>
      </c>
      <c r="U43" s="169"/>
    </row>
    <row r="44" spans="1:24" s="95" customFormat="1" x14ac:dyDescent="0.3">
      <c r="A44" s="95" t="s">
        <v>42</v>
      </c>
      <c r="B44" s="80">
        <f t="shared" ref="B44:G44" si="10">SUM(B42:B43)</f>
        <v>168810</v>
      </c>
      <c r="C44" s="80">
        <f t="shared" si="10"/>
        <v>202580</v>
      </c>
      <c r="D44" s="80">
        <f t="shared" si="10"/>
        <v>244681</v>
      </c>
      <c r="E44" s="80">
        <f t="shared" si="10"/>
        <v>290753</v>
      </c>
      <c r="F44" s="80">
        <f t="shared" si="10"/>
        <v>227228</v>
      </c>
      <c r="G44" s="80">
        <f t="shared" si="10"/>
        <v>273936</v>
      </c>
      <c r="H44" s="202">
        <f>SUM(H42:H43)</f>
        <v>266317</v>
      </c>
      <c r="I44" s="80">
        <f>SUM(I42:I43)</f>
        <v>346384</v>
      </c>
      <c r="J44" s="211">
        <f>SUM(J42:J43)</f>
        <v>385103</v>
      </c>
      <c r="K44" s="134">
        <f t="shared" ref="K44:P44" si="11">SUM(K42:K43)</f>
        <v>80215</v>
      </c>
      <c r="L44" s="134">
        <f t="shared" si="11"/>
        <v>84943</v>
      </c>
      <c r="M44" s="134">
        <f t="shared" si="11"/>
        <v>102607</v>
      </c>
      <c r="N44" s="134">
        <f t="shared" si="11"/>
        <v>82844</v>
      </c>
      <c r="O44" s="134">
        <f t="shared" si="11"/>
        <v>102714</v>
      </c>
      <c r="P44" s="134">
        <f t="shared" si="11"/>
        <v>92071</v>
      </c>
      <c r="Q44" s="129">
        <f t="shared" si="7"/>
        <v>-0.10361781256693342</v>
      </c>
      <c r="R44" s="134">
        <f>SUM(R42:R43)</f>
        <v>285536</v>
      </c>
      <c r="S44" s="134">
        <f>SUM(S42:S43)</f>
        <v>259858</v>
      </c>
      <c r="T44" s="129">
        <f t="shared" si="6"/>
        <v>-8.9929115768239379E-2</v>
      </c>
      <c r="U44" s="169"/>
      <c r="V44" s="85"/>
      <c r="W44" s="85"/>
      <c r="X44" s="85"/>
    </row>
    <row r="45" spans="1:24" s="95" customFormat="1" x14ac:dyDescent="0.3">
      <c r="A45" s="85" t="s">
        <v>10</v>
      </c>
      <c r="B45" s="81">
        <v>4490</v>
      </c>
      <c r="C45" s="81">
        <v>8391</v>
      </c>
      <c r="D45" s="81">
        <v>80</v>
      </c>
      <c r="E45" s="81">
        <v>960</v>
      </c>
      <c r="F45" s="81">
        <v>214</v>
      </c>
      <c r="G45" s="81">
        <v>7839</v>
      </c>
      <c r="H45" s="199">
        <v>814</v>
      </c>
      <c r="I45" s="81">
        <v>851</v>
      </c>
      <c r="J45" s="212">
        <v>203</v>
      </c>
      <c r="K45" s="135">
        <v>61</v>
      </c>
      <c r="L45" s="135">
        <v>7</v>
      </c>
      <c r="M45" s="135">
        <v>51</v>
      </c>
      <c r="N45" s="135">
        <v>1655</v>
      </c>
      <c r="O45" s="135">
        <v>130</v>
      </c>
      <c r="P45" s="135">
        <f>+S45-L45-N45</f>
        <v>24</v>
      </c>
      <c r="Q45" s="197">
        <f t="shared" si="7"/>
        <v>-0.81538461538461537</v>
      </c>
      <c r="R45" s="135">
        <v>242</v>
      </c>
      <c r="S45" s="135">
        <v>1686</v>
      </c>
      <c r="T45" s="197" t="s">
        <v>131</v>
      </c>
      <c r="U45" s="169"/>
      <c r="V45" s="85"/>
      <c r="W45" s="85"/>
      <c r="X45" s="85"/>
    </row>
    <row r="46" spans="1:24" s="85" customFormat="1" x14ac:dyDescent="0.3">
      <c r="A46" s="85" t="s">
        <v>13</v>
      </c>
      <c r="B46" s="81">
        <v>-388</v>
      </c>
      <c r="C46" s="81">
        <v>-60</v>
      </c>
      <c r="D46" s="81">
        <v>-279</v>
      </c>
      <c r="E46" s="81">
        <v>-633</v>
      </c>
      <c r="F46" s="81">
        <v>-1741</v>
      </c>
      <c r="G46" s="81">
        <v>-1496</v>
      </c>
      <c r="H46" s="199">
        <v>-11022</v>
      </c>
      <c r="I46" s="81">
        <v>-1390</v>
      </c>
      <c r="J46" s="212">
        <v>-2974</v>
      </c>
      <c r="K46" s="135">
        <v>-127</v>
      </c>
      <c r="L46" s="135">
        <v>-10</v>
      </c>
      <c r="M46" s="135">
        <v>-2839</v>
      </c>
      <c r="N46" s="135">
        <v>-8</v>
      </c>
      <c r="O46" s="135">
        <v>-18</v>
      </c>
      <c r="P46" s="135">
        <f>+S46-L46-N46</f>
        <v>0</v>
      </c>
      <c r="Q46" s="129">
        <f t="shared" si="7"/>
        <v>-1</v>
      </c>
      <c r="R46" s="135">
        <v>-2984</v>
      </c>
      <c r="S46" s="135">
        <v>-18</v>
      </c>
      <c r="T46" s="129">
        <f>IF(R46&lt;&gt;0,(S46-R46)/R46,0)</f>
        <v>-0.99396782841823061</v>
      </c>
      <c r="U46" s="169"/>
    </row>
    <row r="47" spans="1:24" s="95" customFormat="1" x14ac:dyDescent="0.3">
      <c r="A47" s="95" t="s">
        <v>43</v>
      </c>
      <c r="B47" s="80">
        <f t="shared" ref="B47:G47" si="12">SUM(B44:B46)</f>
        <v>172912</v>
      </c>
      <c r="C47" s="80">
        <f t="shared" si="12"/>
        <v>210911</v>
      </c>
      <c r="D47" s="80">
        <f t="shared" si="12"/>
        <v>244482</v>
      </c>
      <c r="E47" s="80">
        <f t="shared" si="12"/>
        <v>291080</v>
      </c>
      <c r="F47" s="80">
        <f t="shared" si="12"/>
        <v>225701</v>
      </c>
      <c r="G47" s="80">
        <f t="shared" si="12"/>
        <v>280279</v>
      </c>
      <c r="H47" s="202">
        <f>SUM(H44:H46)</f>
        <v>256109</v>
      </c>
      <c r="I47" s="80">
        <f>SUM(I44:I46)</f>
        <v>345845</v>
      </c>
      <c r="J47" s="211">
        <f>SUM(J44:J46)</f>
        <v>382332</v>
      </c>
      <c r="K47" s="134">
        <f t="shared" ref="K47:P47" si="13">SUM(K44:K46)</f>
        <v>80149</v>
      </c>
      <c r="L47" s="134">
        <f t="shared" si="13"/>
        <v>84940</v>
      </c>
      <c r="M47" s="134">
        <f t="shared" si="13"/>
        <v>99819</v>
      </c>
      <c r="N47" s="134">
        <f t="shared" si="13"/>
        <v>84491</v>
      </c>
      <c r="O47" s="134">
        <f t="shared" si="13"/>
        <v>102826</v>
      </c>
      <c r="P47" s="134">
        <f t="shared" si="13"/>
        <v>92095</v>
      </c>
      <c r="Q47" s="129">
        <f t="shared" si="7"/>
        <v>-0.1043607647871161</v>
      </c>
      <c r="R47" s="134">
        <f>SUM(R44:R46)</f>
        <v>282794</v>
      </c>
      <c r="S47" s="134">
        <f>SUM(S44:S46)</f>
        <v>261526</v>
      </c>
      <c r="T47" s="129">
        <f>IF(R47&lt;&gt;0,(S47-R47)/R47,0)</f>
        <v>-7.5206687553484156E-2</v>
      </c>
      <c r="U47" s="169"/>
      <c r="V47" s="85"/>
      <c r="W47" s="85"/>
      <c r="X47" s="85"/>
    </row>
    <row r="48" spans="1:24" s="85" customFormat="1" x14ac:dyDescent="0.3">
      <c r="A48" s="85" t="s">
        <v>15</v>
      </c>
      <c r="B48" s="81">
        <v>-3501</v>
      </c>
      <c r="C48" s="81">
        <v>-214</v>
      </c>
      <c r="D48" s="81">
        <v>-190</v>
      </c>
      <c r="E48" s="81">
        <v>-74</v>
      </c>
      <c r="F48" s="81">
        <v>-205</v>
      </c>
      <c r="G48" s="81">
        <v>-1876</v>
      </c>
      <c r="H48" s="199">
        <v>-127</v>
      </c>
      <c r="I48" s="81">
        <v>-361</v>
      </c>
      <c r="J48" s="212">
        <v>-2436</v>
      </c>
      <c r="K48" s="135">
        <v>-2289</v>
      </c>
      <c r="L48" s="135">
        <v>-54</v>
      </c>
      <c r="M48" s="135">
        <v>911</v>
      </c>
      <c r="N48" s="135">
        <v>-26</v>
      </c>
      <c r="O48" s="135">
        <v>-496</v>
      </c>
      <c r="P48" s="135">
        <f>+S48-L48-N48</f>
        <v>-27</v>
      </c>
      <c r="Q48" s="129">
        <f t="shared" si="7"/>
        <v>-0.94556451612903225</v>
      </c>
      <c r="R48" s="135">
        <v>-1874</v>
      </c>
      <c r="S48" s="135">
        <v>-107</v>
      </c>
      <c r="T48" s="129">
        <f>IF(R48&lt;&gt;0,(S48-R48)/R48,0)</f>
        <v>-0.94290288153681967</v>
      </c>
      <c r="U48" s="169"/>
    </row>
    <row r="49" spans="1:21" s="85" customFormat="1" ht="15.75" thickBot="1" x14ac:dyDescent="0.35">
      <c r="A49" s="102" t="s">
        <v>17</v>
      </c>
      <c r="B49" s="103">
        <f t="shared" ref="B49:G49" si="14">SUM(B47:B48)</f>
        <v>169411</v>
      </c>
      <c r="C49" s="103">
        <f t="shared" si="14"/>
        <v>210697</v>
      </c>
      <c r="D49" s="103">
        <f t="shared" si="14"/>
        <v>244292</v>
      </c>
      <c r="E49" s="103">
        <f t="shared" si="14"/>
        <v>291006</v>
      </c>
      <c r="F49" s="103">
        <f t="shared" si="14"/>
        <v>225496</v>
      </c>
      <c r="G49" s="103">
        <f t="shared" si="14"/>
        <v>278403</v>
      </c>
      <c r="H49" s="209">
        <f>SUM(H47:H48)</f>
        <v>255982</v>
      </c>
      <c r="I49" s="103">
        <f>SUM(I47:I48)</f>
        <v>345484</v>
      </c>
      <c r="J49" s="213">
        <f>SUM(J47:J48)</f>
        <v>379896</v>
      </c>
      <c r="K49" s="166">
        <f t="shared" ref="K49:P49" si="15">SUM(K47:K48)</f>
        <v>77860</v>
      </c>
      <c r="L49" s="166">
        <f t="shared" si="15"/>
        <v>84886</v>
      </c>
      <c r="M49" s="166">
        <f t="shared" si="15"/>
        <v>100730</v>
      </c>
      <c r="N49" s="166">
        <f t="shared" si="15"/>
        <v>84465</v>
      </c>
      <c r="O49" s="166">
        <f t="shared" si="15"/>
        <v>102330</v>
      </c>
      <c r="P49" s="166">
        <f t="shared" si="15"/>
        <v>92068</v>
      </c>
      <c r="Q49" s="130">
        <f t="shared" si="7"/>
        <v>-0.10028339685331769</v>
      </c>
      <c r="R49" s="166">
        <f>SUM(R47:R48)</f>
        <v>280920</v>
      </c>
      <c r="S49" s="166">
        <f>SUM(S47:S48)</f>
        <v>261419</v>
      </c>
      <c r="T49" s="130">
        <f>IF(R49&lt;&gt;0,(S49-R49)/R49,0)</f>
        <v>-6.9418339740851487E-2</v>
      </c>
      <c r="U49" s="169"/>
    </row>
    <row r="50" spans="1:21" s="85" customFormat="1" x14ac:dyDescent="0.3">
      <c r="C50" s="80"/>
      <c r="H50" s="81"/>
      <c r="I50" s="81"/>
      <c r="J50" s="81"/>
      <c r="K50" s="81"/>
      <c r="L50" s="82"/>
    </row>
    <row r="51" spans="1:21" s="85" customFormat="1" x14ac:dyDescent="0.3">
      <c r="A51" s="85" t="s">
        <v>53</v>
      </c>
      <c r="C51" s="81"/>
      <c r="H51" s="81"/>
      <c r="I51" s="81"/>
      <c r="J51" s="81"/>
      <c r="K51" s="81"/>
      <c r="L51" s="82"/>
    </row>
    <row r="52" spans="1:21" s="85" customFormat="1" x14ac:dyDescent="0.3">
      <c r="C52" s="81"/>
      <c r="E52" s="80"/>
      <c r="H52" s="81"/>
      <c r="I52" s="81"/>
      <c r="J52" s="81"/>
      <c r="K52" s="81"/>
      <c r="L52" s="82"/>
    </row>
    <row r="53" spans="1:21" s="85" customFormat="1" x14ac:dyDescent="0.3">
      <c r="C53" s="81"/>
      <c r="E53" s="81"/>
      <c r="H53" s="81"/>
      <c r="I53" s="81"/>
      <c r="J53" s="81"/>
      <c r="K53" s="81"/>
      <c r="L53" s="82"/>
    </row>
    <row r="54" spans="1:21" s="85" customFormat="1" x14ac:dyDescent="0.3">
      <c r="C54" s="80"/>
      <c r="E54" s="81"/>
      <c r="H54" s="81"/>
      <c r="I54" s="81"/>
      <c r="J54" s="81"/>
      <c r="K54" s="81"/>
      <c r="L54" s="82"/>
    </row>
    <row r="55" spans="1:21" s="85" customFormat="1" x14ac:dyDescent="0.3">
      <c r="C55" s="81"/>
      <c r="E55" s="81"/>
      <c r="H55" s="81"/>
      <c r="I55" s="81"/>
      <c r="J55" s="81"/>
      <c r="K55" s="81"/>
      <c r="L55" s="82"/>
    </row>
    <row r="56" spans="1:21" x14ac:dyDescent="0.3">
      <c r="C56" s="80"/>
      <c r="E56" s="80"/>
    </row>
    <row r="57" spans="1:21" x14ac:dyDescent="0.3">
      <c r="C57" s="81"/>
      <c r="E57" s="81"/>
    </row>
    <row r="58" spans="1:21" x14ac:dyDescent="0.3">
      <c r="C58" s="81"/>
      <c r="E58" s="80"/>
    </row>
  </sheetData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Z82"/>
  <sheetViews>
    <sheetView topLeftCell="G19" workbookViewId="0">
      <selection activeCell="O39" sqref="O39"/>
    </sheetView>
  </sheetViews>
  <sheetFormatPr baseColWidth="10" defaultColWidth="11.42578125" defaultRowHeight="15" x14ac:dyDescent="0.3"/>
  <cols>
    <col min="1" max="1" width="32.140625" style="73" customWidth="1"/>
    <col min="2" max="4" width="10.42578125" style="73" bestFit="1" customWidth="1"/>
    <col min="5" max="7" width="11.140625" style="73" bestFit="1" customWidth="1"/>
    <col min="8" max="9" width="11.140625" style="74" bestFit="1" customWidth="1"/>
    <col min="10" max="10" width="11.5703125" style="74" bestFit="1" customWidth="1"/>
    <col min="11" max="11" width="11.140625" style="74" bestFit="1" customWidth="1"/>
    <col min="12" max="12" width="11.5703125" style="75" bestFit="1" customWidth="1"/>
    <col min="13" max="13" width="11.7109375" style="75" customWidth="1"/>
    <col min="14" max="15" width="10.42578125" style="76" bestFit="1" customWidth="1"/>
    <col min="16" max="16" width="10.28515625" style="73" bestFit="1" customWidth="1"/>
    <col min="17" max="16384" width="11.42578125" style="73"/>
  </cols>
  <sheetData>
    <row r="6" spans="1:20" ht="21" x14ac:dyDescent="0.35">
      <c r="A6" s="116" t="s">
        <v>40</v>
      </c>
      <c r="B6" s="116"/>
      <c r="C6" s="116"/>
      <c r="D6" s="116"/>
      <c r="E6" s="116"/>
      <c r="F6" s="116"/>
      <c r="G6" s="116"/>
    </row>
    <row r="7" spans="1:20" ht="15.75" x14ac:dyDescent="0.3">
      <c r="A7" s="78" t="s">
        <v>134</v>
      </c>
      <c r="B7" s="78"/>
      <c r="C7" s="78"/>
      <c r="D7" s="78"/>
      <c r="E7" s="78"/>
      <c r="F7" s="78"/>
      <c r="G7" s="78"/>
    </row>
    <row r="8" spans="1:20" x14ac:dyDescent="0.3">
      <c r="A8" s="79" t="s">
        <v>88</v>
      </c>
      <c r="B8" s="79"/>
      <c r="C8" s="79"/>
      <c r="D8" s="79"/>
      <c r="E8" s="79"/>
      <c r="F8" s="79"/>
      <c r="G8" s="79"/>
    </row>
    <row r="9" spans="1:20" s="85" customFormat="1" x14ac:dyDescent="0.3">
      <c r="H9" s="81"/>
      <c r="I9" s="81"/>
      <c r="J9" s="81"/>
      <c r="K9" s="81"/>
      <c r="L9" s="82"/>
      <c r="M9" s="82"/>
      <c r="N9" s="83"/>
      <c r="O9" s="83"/>
      <c r="P9" s="84"/>
      <c r="Q9" s="84"/>
      <c r="R9" s="84"/>
      <c r="S9" s="84"/>
    </row>
    <row r="10" spans="1:20" s="85" customFormat="1" ht="15.75" thickBot="1" x14ac:dyDescent="0.35">
      <c r="A10" s="152" t="s">
        <v>20</v>
      </c>
      <c r="B10" s="144">
        <v>2005</v>
      </c>
      <c r="C10" s="144">
        <v>2006</v>
      </c>
      <c r="D10" s="144">
        <v>2007</v>
      </c>
      <c r="E10" s="144">
        <v>2008</v>
      </c>
      <c r="F10" s="144">
        <v>2009</v>
      </c>
      <c r="G10" s="144">
        <v>2010</v>
      </c>
      <c r="H10" s="198">
        <v>2011</v>
      </c>
      <c r="I10" s="145">
        <v>2012</v>
      </c>
      <c r="J10" s="145">
        <v>2013</v>
      </c>
      <c r="K10" s="146" t="s">
        <v>46</v>
      </c>
      <c r="L10" s="145">
        <v>2013</v>
      </c>
      <c r="M10" s="145">
        <v>2014</v>
      </c>
      <c r="N10" s="146" t="s">
        <v>46</v>
      </c>
      <c r="O10" s="83"/>
      <c r="P10" s="83"/>
      <c r="Q10" s="106"/>
      <c r="R10" s="84"/>
      <c r="S10" s="84"/>
      <c r="T10" s="84"/>
    </row>
    <row r="11" spans="1:20" s="85" customFormat="1" x14ac:dyDescent="0.3">
      <c r="A11" s="153" t="s">
        <v>21</v>
      </c>
      <c r="B11" s="81">
        <v>121469</v>
      </c>
      <c r="C11" s="81">
        <v>147021</v>
      </c>
      <c r="D11" s="81">
        <v>141066</v>
      </c>
      <c r="E11" s="81">
        <v>200123</v>
      </c>
      <c r="F11" s="81">
        <v>152572</v>
      </c>
      <c r="G11" s="81">
        <v>133389</v>
      </c>
      <c r="H11" s="199">
        <v>193087</v>
      </c>
      <c r="I11" s="117">
        <v>291812</v>
      </c>
      <c r="J11" s="117">
        <v>415478</v>
      </c>
      <c r="K11" s="129">
        <f t="shared" ref="K11:K20" si="0">+(J11-I11)/I11</f>
        <v>0.42378654750318701</v>
      </c>
      <c r="L11" s="117">
        <v>345435</v>
      </c>
      <c r="M11" s="117">
        <v>206875</v>
      </c>
      <c r="N11" s="129">
        <f>+(M11-L11)/L11</f>
        <v>-0.40111743164415881</v>
      </c>
      <c r="O11" s="83"/>
      <c r="P11" s="83"/>
      <c r="Q11" s="108"/>
      <c r="R11" s="84"/>
      <c r="S11" s="84"/>
      <c r="T11" s="84"/>
    </row>
    <row r="12" spans="1:20" s="85" customFormat="1" x14ac:dyDescent="0.3">
      <c r="A12" s="153" t="s">
        <v>22</v>
      </c>
      <c r="B12" s="81">
        <v>328742</v>
      </c>
      <c r="C12" s="81">
        <v>323226</v>
      </c>
      <c r="D12" s="81">
        <v>322254</v>
      </c>
      <c r="E12" s="81">
        <v>299414</v>
      </c>
      <c r="F12" s="81">
        <v>335272</v>
      </c>
      <c r="G12" s="81">
        <v>330481</v>
      </c>
      <c r="H12" s="199">
        <v>329071</v>
      </c>
      <c r="I12" s="117">
        <v>330090</v>
      </c>
      <c r="J12" s="117">
        <v>357830</v>
      </c>
      <c r="K12" s="129">
        <f t="shared" si="0"/>
        <v>8.4037686691508379E-2</v>
      </c>
      <c r="L12" s="117">
        <v>357305</v>
      </c>
      <c r="M12" s="117">
        <v>382341</v>
      </c>
      <c r="N12" s="129">
        <f t="shared" ref="N12:N19" si="1">+(M12-L12)/L12</f>
        <v>7.0068988679139674E-2</v>
      </c>
      <c r="O12" s="170"/>
      <c r="P12" s="83"/>
      <c r="Q12" s="106"/>
      <c r="R12" s="84"/>
      <c r="S12" s="84"/>
      <c r="T12" s="84"/>
    </row>
    <row r="13" spans="1:20" s="85" customFormat="1" x14ac:dyDescent="0.3">
      <c r="A13" s="153" t="s">
        <v>23</v>
      </c>
      <c r="B13" s="81">
        <v>292269</v>
      </c>
      <c r="C13" s="81">
        <v>381730</v>
      </c>
      <c r="D13" s="81">
        <v>426683</v>
      </c>
      <c r="E13" s="81">
        <v>656631</v>
      </c>
      <c r="F13" s="81">
        <v>523529</v>
      </c>
      <c r="G13" s="81">
        <v>586256</v>
      </c>
      <c r="H13" s="199">
        <v>650631</v>
      </c>
      <c r="I13" s="117">
        <v>681860</v>
      </c>
      <c r="J13" s="117">
        <v>857299</v>
      </c>
      <c r="K13" s="129">
        <f t="shared" si="0"/>
        <v>0.25729475258850792</v>
      </c>
      <c r="L13" s="117">
        <v>931013</v>
      </c>
      <c r="M13" s="117">
        <v>939344</v>
      </c>
      <c r="N13" s="129">
        <f t="shared" si="1"/>
        <v>8.9483175852539121E-3</v>
      </c>
      <c r="O13" s="83"/>
      <c r="P13" s="83"/>
      <c r="Q13" s="106"/>
      <c r="R13" s="84"/>
      <c r="S13" s="84"/>
      <c r="T13" s="84"/>
    </row>
    <row r="14" spans="1:20" s="85" customFormat="1" x14ac:dyDescent="0.3">
      <c r="A14" s="153" t="s">
        <v>36</v>
      </c>
      <c r="B14" s="81">
        <v>274553</v>
      </c>
      <c r="C14" s="81">
        <v>371699</v>
      </c>
      <c r="D14" s="81">
        <v>434839</v>
      </c>
      <c r="E14" s="81">
        <v>528465</v>
      </c>
      <c r="F14" s="81">
        <v>494120</v>
      </c>
      <c r="G14" s="81">
        <v>553016</v>
      </c>
      <c r="H14" s="199">
        <v>601866</v>
      </c>
      <c r="I14" s="117">
        <v>555796</v>
      </c>
      <c r="J14" s="117">
        <v>725323</v>
      </c>
      <c r="K14" s="129">
        <f t="shared" si="0"/>
        <v>0.30501658882035854</v>
      </c>
      <c r="L14" s="117">
        <v>751151</v>
      </c>
      <c r="M14" s="117">
        <v>830981</v>
      </c>
      <c r="N14" s="129">
        <f t="shared" si="1"/>
        <v>0.10627690038354472</v>
      </c>
      <c r="O14" s="83"/>
      <c r="P14" s="83"/>
      <c r="Q14" s="106"/>
      <c r="R14" s="84"/>
      <c r="S14" s="84"/>
      <c r="T14" s="84"/>
    </row>
    <row r="15" spans="1:20" s="85" customFormat="1" x14ac:dyDescent="0.3">
      <c r="A15" s="153" t="s">
        <v>60</v>
      </c>
      <c r="B15" s="81">
        <v>456824</v>
      </c>
      <c r="C15" s="81">
        <v>561031</v>
      </c>
      <c r="D15" s="81">
        <v>653908</v>
      </c>
      <c r="E15" s="81">
        <v>767527</v>
      </c>
      <c r="F15" s="81">
        <v>977261</v>
      </c>
      <c r="G15" s="81">
        <v>988793</v>
      </c>
      <c r="H15" s="199">
        <v>1009855</v>
      </c>
      <c r="I15" s="117">
        <v>1135785</v>
      </c>
      <c r="J15" s="117">
        <v>1456074</v>
      </c>
      <c r="K15" s="129">
        <f t="shared" si="0"/>
        <v>0.28199791333747143</v>
      </c>
      <c r="L15" s="117">
        <v>1379531</v>
      </c>
      <c r="M15" s="117">
        <v>1428263</v>
      </c>
      <c r="N15" s="129">
        <f t="shared" si="1"/>
        <v>3.5325048875306173E-2</v>
      </c>
      <c r="O15" s="83"/>
      <c r="P15" s="83"/>
      <c r="Q15" s="106"/>
      <c r="R15" s="84"/>
      <c r="S15" s="84"/>
      <c r="T15" s="84"/>
    </row>
    <row r="16" spans="1:20" s="85" customFormat="1" x14ac:dyDescent="0.3">
      <c r="A16" s="153" t="s">
        <v>47</v>
      </c>
      <c r="B16" s="81">
        <v>63266</v>
      </c>
      <c r="C16" s="81">
        <v>621440</v>
      </c>
      <c r="D16" s="81">
        <v>564218</v>
      </c>
      <c r="E16" s="81">
        <v>543336</v>
      </c>
      <c r="F16" s="81">
        <v>748013</v>
      </c>
      <c r="G16" s="81">
        <v>853564</v>
      </c>
      <c r="H16" s="199">
        <v>900384</v>
      </c>
      <c r="I16" s="117">
        <v>1025441</v>
      </c>
      <c r="J16" s="117">
        <v>2038332</v>
      </c>
      <c r="K16" s="129">
        <f t="shared" si="0"/>
        <v>0.9877613631598503</v>
      </c>
      <c r="L16" s="117">
        <v>2118695</v>
      </c>
      <c r="M16" s="117">
        <v>1879364</v>
      </c>
      <c r="N16" s="129">
        <f t="shared" si="1"/>
        <v>-0.11296151640514562</v>
      </c>
      <c r="O16" s="83"/>
      <c r="P16" s="83"/>
      <c r="Q16" s="106"/>
      <c r="R16" s="84"/>
      <c r="S16" s="84"/>
      <c r="T16" s="84"/>
    </row>
    <row r="17" spans="1:20" s="85" customFormat="1" x14ac:dyDescent="0.3">
      <c r="A17" s="153" t="s">
        <v>24</v>
      </c>
      <c r="B17" s="81">
        <v>12635</v>
      </c>
      <c r="C17" s="81">
        <v>23420</v>
      </c>
      <c r="D17" s="81">
        <v>57260</v>
      </c>
      <c r="E17" s="81">
        <v>28175</v>
      </c>
      <c r="F17" s="81">
        <v>79348</v>
      </c>
      <c r="G17" s="81">
        <v>67002</v>
      </c>
      <c r="H17" s="199">
        <v>130401</v>
      </c>
      <c r="I17" s="117">
        <v>57452</v>
      </c>
      <c r="J17" s="117">
        <v>101223</v>
      </c>
      <c r="K17" s="129">
        <f t="shared" si="0"/>
        <v>0.76187077908514933</v>
      </c>
      <c r="L17" s="117">
        <v>103310</v>
      </c>
      <c r="M17" s="117">
        <v>78501</v>
      </c>
      <c r="N17" s="129">
        <f t="shared" si="1"/>
        <v>-0.24014132223405285</v>
      </c>
      <c r="O17" s="83"/>
      <c r="P17" s="83"/>
      <c r="Q17" s="106"/>
      <c r="R17" s="84"/>
      <c r="S17" s="84"/>
      <c r="T17" s="84"/>
    </row>
    <row r="18" spans="1:20" s="85" customFormat="1" x14ac:dyDescent="0.3">
      <c r="A18" s="153" t="s">
        <v>25</v>
      </c>
      <c r="B18" s="81">
        <v>3714</v>
      </c>
      <c r="C18" s="81">
        <v>11893</v>
      </c>
      <c r="D18" s="81">
        <v>12073</v>
      </c>
      <c r="E18" s="81">
        <v>44095</v>
      </c>
      <c r="F18" s="81">
        <v>19094</v>
      </c>
      <c r="G18" s="81">
        <v>16902</v>
      </c>
      <c r="H18" s="199">
        <v>18323</v>
      </c>
      <c r="I18" s="117">
        <v>6913</v>
      </c>
      <c r="J18" s="117">
        <v>16502</v>
      </c>
      <c r="K18" s="129">
        <f t="shared" si="0"/>
        <v>1.3870967741935485</v>
      </c>
      <c r="L18" s="117">
        <v>14047</v>
      </c>
      <c r="M18" s="117">
        <v>24188</v>
      </c>
      <c r="N18" s="129">
        <f t="shared" si="1"/>
        <v>0.72193350893429198</v>
      </c>
      <c r="O18" s="83"/>
      <c r="P18" s="83"/>
      <c r="Q18" s="106"/>
      <c r="R18" s="84"/>
      <c r="S18" s="84"/>
      <c r="T18" s="84"/>
    </row>
    <row r="19" spans="1:20" s="85" customFormat="1" x14ac:dyDescent="0.3">
      <c r="A19" s="153" t="s">
        <v>26</v>
      </c>
      <c r="B19" s="81">
        <v>2468685</v>
      </c>
      <c r="C19" s="81">
        <v>2591441</v>
      </c>
      <c r="D19" s="81">
        <v>2736001</v>
      </c>
      <c r="E19" s="81">
        <v>2268787</v>
      </c>
      <c r="F19" s="81">
        <v>3599917</v>
      </c>
      <c r="G19" s="81">
        <v>4555288</v>
      </c>
      <c r="H19" s="199">
        <v>4097551</v>
      </c>
      <c r="I19" s="117">
        <v>4866415</v>
      </c>
      <c r="J19" s="117">
        <v>4612437</v>
      </c>
      <c r="K19" s="129">
        <f t="shared" si="0"/>
        <v>-5.2189959138297902E-2</v>
      </c>
      <c r="L19" s="117">
        <v>4989555</v>
      </c>
      <c r="M19" s="117">
        <v>5296045</v>
      </c>
      <c r="N19" s="129">
        <f t="shared" si="1"/>
        <v>6.1426319581605972E-2</v>
      </c>
      <c r="O19" s="83"/>
      <c r="P19" s="83"/>
      <c r="Q19" s="106"/>
      <c r="R19" s="84"/>
      <c r="S19" s="84"/>
      <c r="T19" s="84"/>
    </row>
    <row r="20" spans="1:20" s="85" customFormat="1" ht="15.75" thickBot="1" x14ac:dyDescent="0.35">
      <c r="A20" s="154" t="s">
        <v>27</v>
      </c>
      <c r="B20" s="91">
        <v>4022157</v>
      </c>
      <c r="C20" s="91">
        <v>5032901</v>
      </c>
      <c r="D20" s="91">
        <v>5348302</v>
      </c>
      <c r="E20" s="91">
        <v>5336553</v>
      </c>
      <c r="F20" s="91">
        <v>6929126</v>
      </c>
      <c r="G20" s="91">
        <v>8084691</v>
      </c>
      <c r="H20" s="200">
        <f>SUM(H11:H19)</f>
        <v>7931169</v>
      </c>
      <c r="I20" s="118">
        <f>SUM(I11:I19)</f>
        <v>8951564</v>
      </c>
      <c r="J20" s="118">
        <f>SUM(J11:J19)</f>
        <v>10580498</v>
      </c>
      <c r="K20" s="130">
        <f t="shared" si="0"/>
        <v>0.18197199952991455</v>
      </c>
      <c r="L20" s="118">
        <f>SUM(L11:L19)</f>
        <v>10990042</v>
      </c>
      <c r="M20" s="118">
        <f>SUM(M11:M19)</f>
        <v>11065902</v>
      </c>
      <c r="N20" s="130">
        <f>+(M20-L20)/L20</f>
        <v>6.9026123831009926E-3</v>
      </c>
      <c r="O20" s="83"/>
      <c r="P20" s="83"/>
      <c r="Q20" s="106"/>
      <c r="R20" s="84"/>
      <c r="S20" s="84"/>
      <c r="T20" s="84"/>
    </row>
    <row r="21" spans="1:20" s="85" customFormat="1" x14ac:dyDescent="0.3">
      <c r="A21" s="153"/>
      <c r="B21" s="81"/>
      <c r="C21" s="81"/>
      <c r="D21" s="81"/>
      <c r="E21" s="81"/>
      <c r="F21" s="81"/>
      <c r="G21" s="81"/>
      <c r="H21" s="199"/>
      <c r="I21" s="117"/>
      <c r="J21" s="117"/>
      <c r="K21" s="129"/>
      <c r="L21" s="117"/>
      <c r="M21" s="117"/>
      <c r="N21" s="129"/>
      <c r="O21" s="83"/>
      <c r="P21" s="83"/>
      <c r="Q21" s="106"/>
      <c r="R21" s="84"/>
      <c r="S21" s="84"/>
      <c r="T21" s="84"/>
    </row>
    <row r="22" spans="1:20" s="85" customFormat="1" x14ac:dyDescent="0.3">
      <c r="A22" s="152" t="s">
        <v>48</v>
      </c>
      <c r="B22" s="125">
        <v>2005</v>
      </c>
      <c r="C22" s="125">
        <v>2006</v>
      </c>
      <c r="D22" s="125">
        <v>2007</v>
      </c>
      <c r="E22" s="125">
        <v>2008</v>
      </c>
      <c r="F22" s="125">
        <v>2009</v>
      </c>
      <c r="G22" s="125">
        <v>2010</v>
      </c>
      <c r="H22" s="201">
        <v>2011</v>
      </c>
      <c r="I22" s="127">
        <v>2012</v>
      </c>
      <c r="J22" s="127">
        <v>2013</v>
      </c>
      <c r="K22" s="128" t="s">
        <v>123</v>
      </c>
      <c r="L22" s="127">
        <v>2013</v>
      </c>
      <c r="M22" s="127">
        <v>2014</v>
      </c>
      <c r="N22" s="128" t="s">
        <v>46</v>
      </c>
      <c r="O22" s="83"/>
      <c r="P22" s="83"/>
      <c r="Q22" s="108"/>
      <c r="R22" s="84"/>
      <c r="S22" s="84"/>
      <c r="T22" s="84"/>
    </row>
    <row r="23" spans="1:20" s="85" customFormat="1" x14ac:dyDescent="0.3">
      <c r="A23" s="153" t="s">
        <v>28</v>
      </c>
      <c r="B23" s="81">
        <v>41040</v>
      </c>
      <c r="C23" s="81">
        <v>705877</v>
      </c>
      <c r="D23" s="81">
        <v>718503</v>
      </c>
      <c r="E23" s="81">
        <v>884817</v>
      </c>
      <c r="F23" s="81">
        <v>1015157</v>
      </c>
      <c r="G23" s="81">
        <v>1126326</v>
      </c>
      <c r="H23" s="199">
        <v>679598</v>
      </c>
      <c r="I23" s="117">
        <v>690354</v>
      </c>
      <c r="J23" s="117">
        <v>1996737</v>
      </c>
      <c r="K23" s="129">
        <f t="shared" ref="K23:K34" si="2">+(J23-I23)/I23</f>
        <v>1.8923378440626113</v>
      </c>
      <c r="L23" s="117">
        <v>2021108</v>
      </c>
      <c r="M23" s="117">
        <v>2013963</v>
      </c>
      <c r="N23" s="129">
        <f t="shared" ref="N23:N34" si="3">+(M23-L23)/L23</f>
        <v>-3.535189608868007E-3</v>
      </c>
      <c r="O23" s="83"/>
      <c r="P23" s="83"/>
      <c r="Q23" s="106"/>
      <c r="R23" s="84"/>
      <c r="S23" s="84"/>
      <c r="T23" s="84"/>
    </row>
    <row r="24" spans="1:20" s="85" customFormat="1" x14ac:dyDescent="0.3">
      <c r="A24" s="153" t="s">
        <v>49</v>
      </c>
      <c r="B24" s="81">
        <v>111023</v>
      </c>
      <c r="C24" s="81">
        <v>146194</v>
      </c>
      <c r="D24" s="81">
        <v>146091</v>
      </c>
      <c r="E24" s="81">
        <v>163812</v>
      </c>
      <c r="F24" s="81">
        <v>124270</v>
      </c>
      <c r="G24" s="81">
        <v>165155</v>
      </c>
      <c r="H24" s="199">
        <v>163168</v>
      </c>
      <c r="I24" s="117">
        <v>170648</v>
      </c>
      <c r="J24" s="117">
        <v>299136</v>
      </c>
      <c r="K24" s="129">
        <f t="shared" si="2"/>
        <v>0.75294172800150017</v>
      </c>
      <c r="L24" s="117">
        <v>206620</v>
      </c>
      <c r="M24" s="117">
        <v>219468</v>
      </c>
      <c r="N24" s="129">
        <f t="shared" si="3"/>
        <v>6.2181782983254281E-2</v>
      </c>
      <c r="O24" s="83"/>
      <c r="P24" s="83"/>
      <c r="Q24" s="108"/>
      <c r="R24" s="84"/>
      <c r="S24" s="84"/>
      <c r="T24" s="84"/>
    </row>
    <row r="25" spans="1:20" s="85" customFormat="1" x14ac:dyDescent="0.3">
      <c r="A25" s="153" t="s">
        <v>38</v>
      </c>
      <c r="B25" s="81">
        <v>59396</v>
      </c>
      <c r="C25" s="81">
        <v>108992</v>
      </c>
      <c r="D25" s="81">
        <v>140644</v>
      </c>
      <c r="E25" s="81">
        <v>173147</v>
      </c>
      <c r="F25" s="81">
        <v>141613</v>
      </c>
      <c r="G25" s="81">
        <v>209038</v>
      </c>
      <c r="H25" s="199">
        <v>217244</v>
      </c>
      <c r="I25" s="117">
        <v>259622</v>
      </c>
      <c r="J25" s="117">
        <v>339737</v>
      </c>
      <c r="K25" s="129">
        <f t="shared" si="2"/>
        <v>0.30858324795279291</v>
      </c>
      <c r="L25" s="117">
        <v>358785</v>
      </c>
      <c r="M25" s="117">
        <v>333371</v>
      </c>
      <c r="N25" s="129">
        <f t="shared" si="3"/>
        <v>-7.0833507532366183E-2</v>
      </c>
      <c r="O25" s="83"/>
      <c r="P25" s="83"/>
      <c r="Q25" s="106"/>
      <c r="R25" s="84"/>
      <c r="S25" s="84"/>
      <c r="T25" s="84"/>
    </row>
    <row r="26" spans="1:20" s="85" customFormat="1" x14ac:dyDescent="0.3">
      <c r="A26" s="153" t="s">
        <v>30</v>
      </c>
      <c r="B26" s="81">
        <v>55165</v>
      </c>
      <c r="C26" s="81">
        <v>54299</v>
      </c>
      <c r="D26" s="81">
        <v>55981</v>
      </c>
      <c r="E26" s="81">
        <v>61484</v>
      </c>
      <c r="F26" s="81">
        <v>52025</v>
      </c>
      <c r="G26" s="81">
        <v>68247</v>
      </c>
      <c r="H26" s="199">
        <v>132822</v>
      </c>
      <c r="I26" s="117">
        <v>138203</v>
      </c>
      <c r="J26" s="117">
        <v>159523</v>
      </c>
      <c r="K26" s="129">
        <f t="shared" si="2"/>
        <v>0.15426582635688083</v>
      </c>
      <c r="L26" s="117">
        <v>69570</v>
      </c>
      <c r="M26" s="117">
        <v>47144</v>
      </c>
      <c r="N26" s="129">
        <f t="shared" si="3"/>
        <v>-0.32235158832830241</v>
      </c>
      <c r="O26" s="83"/>
      <c r="P26" s="83"/>
      <c r="Q26" s="106"/>
      <c r="R26" s="84"/>
      <c r="S26" s="84"/>
      <c r="T26" s="84"/>
    </row>
    <row r="27" spans="1:20" s="85" customFormat="1" x14ac:dyDescent="0.3">
      <c r="A27" s="153" t="s">
        <v>31</v>
      </c>
      <c r="B27" s="81">
        <v>34448</v>
      </c>
      <c r="C27" s="81">
        <v>46282</v>
      </c>
      <c r="D27" s="81">
        <v>58521</v>
      </c>
      <c r="E27" s="81">
        <v>75362</v>
      </c>
      <c r="F27" s="81">
        <v>77811</v>
      </c>
      <c r="G27" s="81">
        <v>88387</v>
      </c>
      <c r="H27" s="199">
        <v>96429</v>
      </c>
      <c r="I27" s="117">
        <v>109969</v>
      </c>
      <c r="J27" s="117">
        <v>138378</v>
      </c>
      <c r="K27" s="129">
        <f t="shared" si="2"/>
        <v>0.25833644026953051</v>
      </c>
      <c r="L27" s="117">
        <v>56114</v>
      </c>
      <c r="M27" s="117">
        <v>49171</v>
      </c>
      <c r="N27" s="129">
        <f t="shared" si="3"/>
        <v>-0.1237302633923798</v>
      </c>
      <c r="O27" s="83"/>
      <c r="P27" s="83"/>
      <c r="Q27" s="106"/>
      <c r="R27" s="84"/>
      <c r="S27" s="84"/>
      <c r="T27" s="84"/>
    </row>
    <row r="28" spans="1:20" s="85" customFormat="1" x14ac:dyDescent="0.3">
      <c r="A28" s="153" t="s">
        <v>32</v>
      </c>
      <c r="B28" s="81">
        <v>33024</v>
      </c>
      <c r="C28" s="81">
        <v>38698</v>
      </c>
      <c r="D28" s="81">
        <v>57731</v>
      </c>
      <c r="E28" s="81">
        <v>63828</v>
      </c>
      <c r="F28" s="81">
        <v>65860</v>
      </c>
      <c r="G28" s="81">
        <v>31651</v>
      </c>
      <c r="H28" s="199">
        <v>33608</v>
      </c>
      <c r="I28" s="117">
        <v>28288</v>
      </c>
      <c r="J28" s="117">
        <v>54184</v>
      </c>
      <c r="K28" s="129">
        <f t="shared" si="2"/>
        <v>0.9154411764705882</v>
      </c>
      <c r="L28" s="117">
        <v>384377</v>
      </c>
      <c r="M28" s="117">
        <v>296239</v>
      </c>
      <c r="N28" s="129">
        <f t="shared" si="3"/>
        <v>-0.22930092071065647</v>
      </c>
      <c r="O28" s="83"/>
      <c r="P28" s="83"/>
      <c r="Q28" s="106"/>
      <c r="R28" s="84"/>
      <c r="S28" s="84"/>
      <c r="T28" s="84"/>
    </row>
    <row r="29" spans="1:20" s="85" customFormat="1" x14ac:dyDescent="0.3">
      <c r="A29" s="153" t="s">
        <v>24</v>
      </c>
      <c r="B29" s="81">
        <v>12261</v>
      </c>
      <c r="C29" s="81">
        <v>10307</v>
      </c>
      <c r="D29" s="81">
        <v>36889</v>
      </c>
      <c r="E29" s="81">
        <v>44153</v>
      </c>
      <c r="F29" s="81">
        <v>59601</v>
      </c>
      <c r="G29" s="81">
        <v>58990</v>
      </c>
      <c r="H29" s="199">
        <v>112430</v>
      </c>
      <c r="I29" s="117">
        <v>125466</v>
      </c>
      <c r="J29" s="117">
        <v>159573</v>
      </c>
      <c r="K29" s="129">
        <f t="shared" si="2"/>
        <v>0.27184257089570085</v>
      </c>
      <c r="L29" s="117">
        <v>162220</v>
      </c>
      <c r="M29" s="117">
        <v>203513</v>
      </c>
      <c r="N29" s="129">
        <f t="shared" si="3"/>
        <v>0.25454937738873135</v>
      </c>
      <c r="O29" s="83"/>
      <c r="P29" s="83"/>
      <c r="Q29" s="106"/>
      <c r="R29" s="84"/>
      <c r="S29" s="84"/>
      <c r="T29" s="84"/>
    </row>
    <row r="30" spans="1:20" s="85" customFormat="1" x14ac:dyDescent="0.3">
      <c r="A30" s="153" t="s">
        <v>0</v>
      </c>
      <c r="B30" s="81">
        <v>938</v>
      </c>
      <c r="C30" s="81">
        <v>1750</v>
      </c>
      <c r="D30" s="81">
        <v>1583</v>
      </c>
      <c r="E30" s="81">
        <v>2766</v>
      </c>
      <c r="F30" s="81">
        <v>2549</v>
      </c>
      <c r="G30" s="81">
        <v>1983</v>
      </c>
      <c r="H30" s="199">
        <v>5031</v>
      </c>
      <c r="I30" s="117">
        <v>3762</v>
      </c>
      <c r="J30" s="117">
        <v>3159</v>
      </c>
      <c r="K30" s="129">
        <f t="shared" si="2"/>
        <v>-0.16028708133971292</v>
      </c>
      <c r="L30" s="117">
        <v>22494</v>
      </c>
      <c r="M30" s="117">
        <v>6432</v>
      </c>
      <c r="N30" s="129">
        <f t="shared" si="3"/>
        <v>-0.71405708188850359</v>
      </c>
      <c r="O30" s="83"/>
      <c r="P30" s="83"/>
      <c r="Q30" s="106"/>
      <c r="R30" s="84"/>
      <c r="S30" s="84"/>
      <c r="T30" s="84"/>
    </row>
    <row r="31" spans="1:20" s="85" customFormat="1" x14ac:dyDescent="0.3">
      <c r="A31" s="153" t="s">
        <v>33</v>
      </c>
      <c r="B31" s="80">
        <v>347295</v>
      </c>
      <c r="C31" s="80">
        <v>1112399</v>
      </c>
      <c r="D31" s="80">
        <v>1215943</v>
      </c>
      <c r="E31" s="80">
        <v>1469369</v>
      </c>
      <c r="F31" s="80">
        <v>1538886</v>
      </c>
      <c r="G31" s="80">
        <v>1749777</v>
      </c>
      <c r="H31" s="202">
        <f>SUM(H23:H30)</f>
        <v>1440330</v>
      </c>
      <c r="I31" s="119">
        <f>SUM(I23:I30)</f>
        <v>1526312</v>
      </c>
      <c r="J31" s="119">
        <f>SUM(J23:J30)</f>
        <v>3150427</v>
      </c>
      <c r="K31" s="129">
        <f t="shared" si="2"/>
        <v>1.0640779866763808</v>
      </c>
      <c r="L31" s="119">
        <f>SUM(L23:L30)</f>
        <v>3281288</v>
      </c>
      <c r="M31" s="119">
        <f>SUM(M23:M30)</f>
        <v>3169301</v>
      </c>
      <c r="N31" s="129">
        <f t="shared" si="3"/>
        <v>-3.4128976182523446E-2</v>
      </c>
      <c r="O31" s="83"/>
      <c r="P31" s="83"/>
      <c r="Q31" s="106"/>
      <c r="R31" s="84"/>
      <c r="S31" s="84"/>
      <c r="T31" s="84"/>
    </row>
    <row r="32" spans="1:20" s="85" customFormat="1" x14ac:dyDescent="0.3">
      <c r="A32" s="153" t="s">
        <v>39</v>
      </c>
      <c r="B32" s="81">
        <v>2519</v>
      </c>
      <c r="C32" s="81">
        <v>2618</v>
      </c>
      <c r="D32" s="81">
        <v>2964</v>
      </c>
      <c r="E32" s="81">
        <v>2751</v>
      </c>
      <c r="F32" s="81">
        <v>3611</v>
      </c>
      <c r="G32" s="81">
        <v>11268</v>
      </c>
      <c r="H32" s="199">
        <v>16209</v>
      </c>
      <c r="I32" s="117">
        <v>16294</v>
      </c>
      <c r="J32" s="117">
        <v>19208</v>
      </c>
      <c r="K32" s="129">
        <f t="shared" si="2"/>
        <v>0.17883883638149012</v>
      </c>
      <c r="L32" s="117">
        <v>20353</v>
      </c>
      <c r="M32" s="117">
        <v>19558</v>
      </c>
      <c r="N32" s="129">
        <f t="shared" si="3"/>
        <v>-3.9060580749766621E-2</v>
      </c>
      <c r="O32" s="83"/>
      <c r="P32" s="83"/>
      <c r="Q32" s="106"/>
      <c r="R32" s="84"/>
      <c r="S32" s="84"/>
      <c r="T32" s="84"/>
    </row>
    <row r="33" spans="1:26" s="85" customFormat="1" x14ac:dyDescent="0.3">
      <c r="A33" s="155" t="s">
        <v>34</v>
      </c>
      <c r="B33" s="97">
        <v>3672343</v>
      </c>
      <c r="C33" s="97">
        <v>3917884</v>
      </c>
      <c r="D33" s="97">
        <v>4129395</v>
      </c>
      <c r="E33" s="97">
        <v>3864433</v>
      </c>
      <c r="F33" s="97">
        <v>5386629</v>
      </c>
      <c r="G33" s="97">
        <v>6323646</v>
      </c>
      <c r="H33" s="203">
        <v>6474630</v>
      </c>
      <c r="I33" s="120">
        <f>I20-I31-I32</f>
        <v>7408958</v>
      </c>
      <c r="J33" s="120">
        <f>J20-J31-J32</f>
        <v>7410863</v>
      </c>
      <c r="K33" s="131">
        <f t="shared" si="2"/>
        <v>2.5712117682405542E-4</v>
      </c>
      <c r="L33" s="120">
        <f>+L20-L31-L32</f>
        <v>7688401</v>
      </c>
      <c r="M33" s="120">
        <f>M20-M31-M32</f>
        <v>7877043</v>
      </c>
      <c r="N33" s="131">
        <f t="shared" si="3"/>
        <v>2.4535921058227841E-2</v>
      </c>
      <c r="O33" s="83"/>
      <c r="P33" s="83"/>
      <c r="Q33" s="108"/>
      <c r="R33" s="84"/>
      <c r="S33" s="84"/>
      <c r="T33" s="84"/>
    </row>
    <row r="34" spans="1:26" s="85" customFormat="1" ht="15.75" thickBot="1" x14ac:dyDescent="0.35">
      <c r="A34" s="151" t="s">
        <v>35</v>
      </c>
      <c r="B34" s="91">
        <v>4022157</v>
      </c>
      <c r="C34" s="91">
        <v>5032901</v>
      </c>
      <c r="D34" s="91">
        <v>5348302</v>
      </c>
      <c r="E34" s="91">
        <v>5336553</v>
      </c>
      <c r="F34" s="91">
        <v>6929126</v>
      </c>
      <c r="G34" s="91">
        <v>8084691</v>
      </c>
      <c r="H34" s="200">
        <f>+H31+H32+H33</f>
        <v>7931169</v>
      </c>
      <c r="I34" s="118">
        <f>+I31+I32+I33</f>
        <v>8951564</v>
      </c>
      <c r="J34" s="118">
        <f>+J31+J32+J33</f>
        <v>10580498</v>
      </c>
      <c r="K34" s="130">
        <f t="shared" si="2"/>
        <v>0.18197199952991455</v>
      </c>
      <c r="L34" s="118">
        <f>+L31+L32+L33</f>
        <v>10990042</v>
      </c>
      <c r="M34" s="118">
        <f>+M31+M32+M33</f>
        <v>11065902</v>
      </c>
      <c r="N34" s="130">
        <f t="shared" si="3"/>
        <v>6.9026123831009926E-3</v>
      </c>
      <c r="O34" s="83"/>
      <c r="P34" s="83"/>
      <c r="Q34" s="108"/>
      <c r="R34" s="84"/>
      <c r="S34" s="84"/>
      <c r="T34" s="84"/>
    </row>
    <row r="35" spans="1:26" s="85" customFormat="1" x14ac:dyDescent="0.3">
      <c r="H35" s="81"/>
      <c r="I35" s="81"/>
      <c r="J35" s="81"/>
      <c r="K35" s="81"/>
      <c r="L35" s="82"/>
      <c r="M35" s="107"/>
      <c r="N35" s="83"/>
      <c r="O35" s="83"/>
      <c r="P35" s="108"/>
      <c r="Q35" s="84"/>
      <c r="R35" s="84"/>
      <c r="S35" s="84"/>
    </row>
    <row r="36" spans="1:26" ht="21" x14ac:dyDescent="0.35">
      <c r="A36" s="116" t="s">
        <v>91</v>
      </c>
      <c r="B36" s="116"/>
      <c r="C36" s="116"/>
      <c r="D36" s="116"/>
      <c r="E36" s="116"/>
      <c r="F36" s="116"/>
      <c r="G36" s="116"/>
    </row>
    <row r="37" spans="1:26" ht="15.75" x14ac:dyDescent="0.3">
      <c r="A37" s="78" t="s">
        <v>133</v>
      </c>
      <c r="B37" s="78"/>
      <c r="C37" s="78"/>
      <c r="D37" s="78"/>
      <c r="E37" s="78"/>
      <c r="F37" s="78"/>
      <c r="G37" s="78"/>
    </row>
    <row r="38" spans="1:26" x14ac:dyDescent="0.3">
      <c r="A38" s="79" t="s">
        <v>88</v>
      </c>
      <c r="B38" s="79"/>
      <c r="C38" s="79"/>
      <c r="D38" s="79"/>
      <c r="E38" s="79"/>
      <c r="F38" s="79"/>
      <c r="G38" s="79"/>
    </row>
    <row r="39" spans="1:26" s="85" customFormat="1" ht="15.75" thickBot="1" x14ac:dyDescent="0.35">
      <c r="A39" s="86"/>
      <c r="B39" s="144">
        <v>2005</v>
      </c>
      <c r="C39" s="144">
        <v>2006</v>
      </c>
      <c r="D39" s="144">
        <v>2007</v>
      </c>
      <c r="E39" s="144">
        <v>2008</v>
      </c>
      <c r="F39" s="144">
        <v>2009</v>
      </c>
      <c r="G39" s="144">
        <v>2010</v>
      </c>
      <c r="H39" s="198">
        <v>2011</v>
      </c>
      <c r="I39" s="198">
        <v>2012</v>
      </c>
      <c r="J39" s="198">
        <v>2013</v>
      </c>
      <c r="K39" s="145" t="s">
        <v>95</v>
      </c>
      <c r="L39" s="145" t="s">
        <v>124</v>
      </c>
      <c r="M39" s="145" t="s">
        <v>100</v>
      </c>
      <c r="N39" s="145" t="s">
        <v>127</v>
      </c>
      <c r="O39" s="145" t="s">
        <v>112</v>
      </c>
      <c r="P39" s="146" t="s">
        <v>55</v>
      </c>
      <c r="Q39" s="145" t="s">
        <v>132</v>
      </c>
      <c r="R39" s="146" t="s">
        <v>55</v>
      </c>
      <c r="S39" s="147" t="s">
        <v>46</v>
      </c>
      <c r="T39" s="214" t="s">
        <v>109</v>
      </c>
      <c r="U39" s="215" t="s">
        <v>55</v>
      </c>
      <c r="V39" s="214" t="s">
        <v>128</v>
      </c>
      <c r="W39" s="215" t="s">
        <v>55</v>
      </c>
      <c r="X39" s="216" t="s">
        <v>46</v>
      </c>
      <c r="Y39" s="144"/>
    </row>
    <row r="40" spans="1:26" s="95" customFormat="1" x14ac:dyDescent="0.3">
      <c r="A40" s="148" t="s">
        <v>4</v>
      </c>
      <c r="B40" s="110">
        <v>2297199</v>
      </c>
      <c r="C40" s="110">
        <v>2872015</v>
      </c>
      <c r="D40" s="110">
        <v>3449517</v>
      </c>
      <c r="E40" s="110">
        <v>4009727</v>
      </c>
      <c r="F40" s="110">
        <v>4588366</v>
      </c>
      <c r="G40" s="110">
        <v>4458858</v>
      </c>
      <c r="H40" s="204">
        <v>5057382.6182662696</v>
      </c>
      <c r="I40" s="204">
        <v>5305782</v>
      </c>
      <c r="J40" s="204">
        <v>5898466</v>
      </c>
      <c r="K40" s="132">
        <v>1242052</v>
      </c>
      <c r="L40" s="132">
        <v>1572825</v>
      </c>
      <c r="M40" s="132">
        <v>1370524</v>
      </c>
      <c r="N40" s="132">
        <v>1429566</v>
      </c>
      <c r="O40" s="132">
        <v>1488896</v>
      </c>
      <c r="P40" s="138">
        <v>1</v>
      </c>
      <c r="Q40" s="132">
        <f>+V40-L40-N40</f>
        <v>1643763</v>
      </c>
      <c r="R40" s="138">
        <v>1</v>
      </c>
      <c r="S40" s="138">
        <f>(Q40-O40)/O40</f>
        <v>0.10401465246733151</v>
      </c>
      <c r="T40" s="217">
        <v>4101472</v>
      </c>
      <c r="U40" s="218">
        <v>1</v>
      </c>
      <c r="V40" s="217">
        <v>4646154</v>
      </c>
      <c r="W40" s="218">
        <v>1</v>
      </c>
      <c r="X40" s="219">
        <f t="shared" ref="X40:X56" si="4">IF(T40&lt;&gt;0,(V40-T40)/T40,0)</f>
        <v>0.13280158928306715</v>
      </c>
      <c r="Y40" s="111"/>
      <c r="Z40" s="81"/>
    </row>
    <row r="41" spans="1:26" s="85" customFormat="1" x14ac:dyDescent="0.3">
      <c r="A41" s="149" t="s">
        <v>50</v>
      </c>
      <c r="B41" s="112">
        <v>-1428204</v>
      </c>
      <c r="C41" s="112">
        <v>-1760636</v>
      </c>
      <c r="D41" s="112">
        <v>-2035308</v>
      </c>
      <c r="E41" s="112">
        <v>-2384094</v>
      </c>
      <c r="F41" s="112">
        <v>-2818189</v>
      </c>
      <c r="G41" s="112">
        <v>-2587907.8744791602</v>
      </c>
      <c r="H41" s="205">
        <v>-3030201.8461819952</v>
      </c>
      <c r="I41" s="205">
        <v>-3064460</v>
      </c>
      <c r="J41" s="205">
        <v>-3260968</v>
      </c>
      <c r="K41" s="133">
        <v>-682801</v>
      </c>
      <c r="L41" s="133">
        <v>-875730</v>
      </c>
      <c r="M41" s="133">
        <v>-750580</v>
      </c>
      <c r="N41" s="133">
        <v>-772014</v>
      </c>
      <c r="O41" s="133">
        <v>-823869</v>
      </c>
      <c r="P41" s="129">
        <f>+O41/$O$40</f>
        <v>-0.55334220791781297</v>
      </c>
      <c r="Q41" s="133">
        <f>+V41-L41-N41</f>
        <v>-915716</v>
      </c>
      <c r="R41" s="129">
        <f>+Q41/$Q$40</f>
        <v>-0.55708517590431228</v>
      </c>
      <c r="S41" s="129">
        <f t="shared" ref="S41:S59" si="5">(Q41-O41)/O41</f>
        <v>0.11148252938270525</v>
      </c>
      <c r="T41" s="220">
        <v>-2257250</v>
      </c>
      <c r="U41" s="219">
        <f>+T41/$T$40</f>
        <v>-0.55035119098704077</v>
      </c>
      <c r="V41" s="220">
        <v>-2563460</v>
      </c>
      <c r="W41" s="219">
        <f>+V41/$V$40</f>
        <v>-0.55173806120072644</v>
      </c>
      <c r="X41" s="219">
        <f t="shared" si="4"/>
        <v>0.13565621885037102</v>
      </c>
      <c r="Y41" s="101"/>
      <c r="Z41" s="81"/>
    </row>
    <row r="42" spans="1:26" s="95" customFormat="1" x14ac:dyDescent="0.3">
      <c r="A42" s="148" t="s">
        <v>6</v>
      </c>
      <c r="B42" s="80">
        <v>868995</v>
      </c>
      <c r="C42" s="80">
        <v>1111379</v>
      </c>
      <c r="D42" s="80">
        <v>1414209</v>
      </c>
      <c r="E42" s="80">
        <v>1625633</v>
      </c>
      <c r="F42" s="80">
        <v>1770177</v>
      </c>
      <c r="G42" s="80">
        <v>1870950.1255208398</v>
      </c>
      <c r="H42" s="202">
        <f t="shared" ref="H42:O42" si="6">SUM(H40:H41)</f>
        <v>2027180.7720842743</v>
      </c>
      <c r="I42" s="202">
        <f t="shared" si="6"/>
        <v>2241322</v>
      </c>
      <c r="J42" s="202">
        <f t="shared" si="6"/>
        <v>2637498</v>
      </c>
      <c r="K42" s="134">
        <f t="shared" si="6"/>
        <v>559251</v>
      </c>
      <c r="L42" s="134">
        <f t="shared" si="6"/>
        <v>697095</v>
      </c>
      <c r="M42" s="134">
        <f>SUM(M40:M41)</f>
        <v>619944</v>
      </c>
      <c r="N42" s="134">
        <f>SUM(N40:N41)</f>
        <v>657552</v>
      </c>
      <c r="O42" s="134">
        <f t="shared" si="6"/>
        <v>665027</v>
      </c>
      <c r="P42" s="138">
        <f t="shared" ref="P42:P59" si="7">+O42/$O$40</f>
        <v>0.44665779208218709</v>
      </c>
      <c r="Q42" s="134">
        <f>SUM(Q40:Q41)</f>
        <v>728047</v>
      </c>
      <c r="R42" s="138">
        <f t="shared" ref="R42:R59" si="8">+Q42/$Q$40</f>
        <v>0.44291482409568778</v>
      </c>
      <c r="S42" s="138">
        <f t="shared" si="5"/>
        <v>9.4763069770099559E-2</v>
      </c>
      <c r="T42" s="221">
        <f>SUM(T40:T41)</f>
        <v>1844222</v>
      </c>
      <c r="U42" s="218">
        <f t="shared" ref="U42:U59" si="9">+T42/$T$40</f>
        <v>0.44964880901295923</v>
      </c>
      <c r="V42" s="221">
        <f>SUM(V40:V41)</f>
        <v>2082694</v>
      </c>
      <c r="W42" s="218">
        <f t="shared" ref="W42:W59" si="10">+V42/$V$40</f>
        <v>0.44826193879927356</v>
      </c>
      <c r="X42" s="219">
        <f t="shared" si="4"/>
        <v>0.12930764300610231</v>
      </c>
      <c r="Y42" s="111"/>
      <c r="Z42" s="81"/>
    </row>
    <row r="43" spans="1:26" s="85" customFormat="1" x14ac:dyDescent="0.3">
      <c r="A43" s="149" t="s">
        <v>7</v>
      </c>
      <c r="B43" s="81">
        <v>-95853</v>
      </c>
      <c r="C43" s="81">
        <v>-127200</v>
      </c>
      <c r="D43" s="81">
        <v>-165507</v>
      </c>
      <c r="E43" s="81">
        <v>-183777</v>
      </c>
      <c r="F43" s="81">
        <v>-218875</v>
      </c>
      <c r="G43" s="81">
        <v>-212941</v>
      </c>
      <c r="H43" s="199">
        <v>-250061.17590559012</v>
      </c>
      <c r="I43" s="199">
        <v>-270303</v>
      </c>
      <c r="J43" s="199">
        <v>-347578</v>
      </c>
      <c r="K43" s="135">
        <v>-64873</v>
      </c>
      <c r="L43" s="135">
        <v>-103109</v>
      </c>
      <c r="M43" s="135">
        <v>-73939</v>
      </c>
      <c r="N43" s="135">
        <v>-95056</v>
      </c>
      <c r="O43" s="135">
        <v>-103428</v>
      </c>
      <c r="P43" s="129">
        <f t="shared" si="7"/>
        <v>-6.9466235385144431E-2</v>
      </c>
      <c r="Q43" s="135">
        <f>+V43-L43-N43</f>
        <v>-99719</v>
      </c>
      <c r="R43" s="129">
        <f t="shared" si="8"/>
        <v>-6.0665071546202223E-2</v>
      </c>
      <c r="S43" s="129">
        <f t="shared" si="5"/>
        <v>-3.5860695362957808E-2</v>
      </c>
      <c r="T43" s="222">
        <v>-242240</v>
      </c>
      <c r="U43" s="219">
        <f t="shared" si="9"/>
        <v>-5.9061722230457747E-2</v>
      </c>
      <c r="V43" s="222">
        <v>-297884</v>
      </c>
      <c r="W43" s="219">
        <f t="shared" si="10"/>
        <v>-6.4114103837281333E-2</v>
      </c>
      <c r="X43" s="219">
        <f t="shared" si="4"/>
        <v>0.22970607661822987</v>
      </c>
      <c r="Y43" s="101"/>
      <c r="Z43" s="81"/>
    </row>
    <row r="44" spans="1:26" s="85" customFormat="1" x14ac:dyDescent="0.3">
      <c r="A44" s="149" t="s">
        <v>8</v>
      </c>
      <c r="B44" s="81">
        <v>-509961</v>
      </c>
      <c r="C44" s="81">
        <v>-684105</v>
      </c>
      <c r="D44" s="81">
        <v>-815817</v>
      </c>
      <c r="E44" s="81">
        <v>-975970</v>
      </c>
      <c r="F44" s="81">
        <v>-1102578</v>
      </c>
      <c r="G44" s="81">
        <v>-1103652</v>
      </c>
      <c r="H44" s="199">
        <v>-1221301.5797654777</v>
      </c>
      <c r="I44" s="199">
        <v>-1326976</v>
      </c>
      <c r="J44" s="199">
        <v>-1505166</v>
      </c>
      <c r="K44" s="135">
        <v>-325559</v>
      </c>
      <c r="L44" s="135">
        <v>-400920</v>
      </c>
      <c r="M44" s="135">
        <v>-355546</v>
      </c>
      <c r="N44" s="135">
        <v>-396371</v>
      </c>
      <c r="O44" s="135">
        <v>-375490</v>
      </c>
      <c r="P44" s="129">
        <f t="shared" si="7"/>
        <v>-0.25219357161279232</v>
      </c>
      <c r="Q44" s="135">
        <f>+V44-L44-N44</f>
        <v>-427694</v>
      </c>
      <c r="R44" s="129">
        <f t="shared" si="8"/>
        <v>-0.26019201064873709</v>
      </c>
      <c r="S44" s="129">
        <f t="shared" si="5"/>
        <v>0.13902900210391755</v>
      </c>
      <c r="T44" s="222">
        <v>-1056595</v>
      </c>
      <c r="U44" s="219">
        <f t="shared" si="9"/>
        <v>-0.25761360799244759</v>
      </c>
      <c r="V44" s="222">
        <v>-1224985</v>
      </c>
      <c r="W44" s="219">
        <f t="shared" si="10"/>
        <v>-0.26365570319020848</v>
      </c>
      <c r="X44" s="219">
        <f t="shared" si="4"/>
        <v>0.15937043048661029</v>
      </c>
      <c r="Y44" s="101"/>
      <c r="Z44" s="81"/>
    </row>
    <row r="45" spans="1:26" s="85" customFormat="1" x14ac:dyDescent="0.3">
      <c r="A45" s="149" t="s">
        <v>84</v>
      </c>
      <c r="B45" s="81"/>
      <c r="C45" s="81"/>
      <c r="D45" s="81"/>
      <c r="E45" s="81"/>
      <c r="F45" s="81"/>
      <c r="G45" s="81">
        <v>-121613</v>
      </c>
      <c r="H45" s="199">
        <v>-123323</v>
      </c>
      <c r="I45" s="199">
        <v>-122931</v>
      </c>
      <c r="J45" s="199">
        <v>-134527</v>
      </c>
      <c r="K45" s="135">
        <v>-27738</v>
      </c>
      <c r="L45" s="135">
        <v>-29371</v>
      </c>
      <c r="M45" s="135">
        <v>-33697</v>
      </c>
      <c r="N45" s="135">
        <v>-21941</v>
      </c>
      <c r="O45" s="135">
        <v>-32082</v>
      </c>
      <c r="P45" s="129">
        <f t="shared" si="7"/>
        <v>-2.1547509026822557E-2</v>
      </c>
      <c r="Q45" s="135">
        <f>+V45-L45-N45</f>
        <v>-30812</v>
      </c>
      <c r="R45" s="129">
        <f t="shared" si="8"/>
        <v>-1.8744794717973332E-2</v>
      </c>
      <c r="S45" s="129">
        <f t="shared" si="5"/>
        <v>-3.958606071940652E-2</v>
      </c>
      <c r="T45" s="222">
        <v>-93517</v>
      </c>
      <c r="U45" s="219">
        <f t="shared" si="9"/>
        <v>-2.2800838333164288E-2</v>
      </c>
      <c r="V45" s="222">
        <v>-82124</v>
      </c>
      <c r="W45" s="219">
        <f t="shared" si="10"/>
        <v>-1.7675694778950504E-2</v>
      </c>
      <c r="X45" s="219">
        <f t="shared" si="4"/>
        <v>-0.12182811681298587</v>
      </c>
      <c r="Y45" s="101"/>
      <c r="Z45" s="81"/>
    </row>
    <row r="46" spans="1:26" s="95" customFormat="1" x14ac:dyDescent="0.3">
      <c r="A46" s="148" t="s">
        <v>9</v>
      </c>
      <c r="B46" s="80">
        <v>-605814</v>
      </c>
      <c r="C46" s="80">
        <v>-811305</v>
      </c>
      <c r="D46" s="80">
        <v>-981324</v>
      </c>
      <c r="E46" s="80">
        <v>-1159747</v>
      </c>
      <c r="F46" s="80">
        <v>-1321453</v>
      </c>
      <c r="G46" s="80">
        <v>-1438206</v>
      </c>
      <c r="H46" s="202">
        <f t="shared" ref="H46:O46" si="11">SUM(H43:H45)</f>
        <v>-1594685.7556710679</v>
      </c>
      <c r="I46" s="202">
        <f t="shared" si="11"/>
        <v>-1720210</v>
      </c>
      <c r="J46" s="202">
        <f t="shared" si="11"/>
        <v>-1987271</v>
      </c>
      <c r="K46" s="134">
        <f t="shared" si="11"/>
        <v>-418170</v>
      </c>
      <c r="L46" s="134">
        <f t="shared" si="11"/>
        <v>-533400</v>
      </c>
      <c r="M46" s="134">
        <f>SUM(M43:M45)</f>
        <v>-463182</v>
      </c>
      <c r="N46" s="134">
        <f>SUM(N43:N45)</f>
        <v>-513368</v>
      </c>
      <c r="O46" s="134">
        <f t="shared" si="11"/>
        <v>-511000</v>
      </c>
      <c r="P46" s="138">
        <f t="shared" si="7"/>
        <v>-0.34320731602475929</v>
      </c>
      <c r="Q46" s="134">
        <f>SUM(Q43:Q45)</f>
        <v>-558225</v>
      </c>
      <c r="R46" s="138">
        <f t="shared" si="8"/>
        <v>-0.3396018769129126</v>
      </c>
      <c r="S46" s="138">
        <f t="shared" si="5"/>
        <v>9.2416829745596868E-2</v>
      </c>
      <c r="T46" s="221">
        <f>SUM(T43:T45)</f>
        <v>-1392352</v>
      </c>
      <c r="U46" s="218">
        <f t="shared" si="9"/>
        <v>-0.3394761685560696</v>
      </c>
      <c r="V46" s="221">
        <f>SUM(V43:V45)</f>
        <v>-1604993</v>
      </c>
      <c r="W46" s="218">
        <f t="shared" si="10"/>
        <v>-0.34544550180644035</v>
      </c>
      <c r="X46" s="219">
        <f t="shared" si="4"/>
        <v>0.15272072004780401</v>
      </c>
      <c r="Y46" s="111"/>
      <c r="Z46" s="81"/>
    </row>
    <row r="47" spans="1:26" s="95" customFormat="1" x14ac:dyDescent="0.3">
      <c r="A47" s="148" t="s">
        <v>1</v>
      </c>
      <c r="B47" s="80">
        <v>263181</v>
      </c>
      <c r="C47" s="80">
        <v>300074</v>
      </c>
      <c r="D47" s="80">
        <v>432885</v>
      </c>
      <c r="E47" s="80">
        <v>465886</v>
      </c>
      <c r="F47" s="80">
        <v>448724</v>
      </c>
      <c r="G47" s="80">
        <v>432744.12552083982</v>
      </c>
      <c r="H47" s="202">
        <f t="shared" ref="H47:O47" si="12">+H42+H46</f>
        <v>432495.01641320647</v>
      </c>
      <c r="I47" s="202">
        <f t="shared" si="12"/>
        <v>521112</v>
      </c>
      <c r="J47" s="202">
        <f t="shared" si="12"/>
        <v>650227</v>
      </c>
      <c r="K47" s="134">
        <f t="shared" si="12"/>
        <v>141081</v>
      </c>
      <c r="L47" s="134">
        <f t="shared" si="12"/>
        <v>163695</v>
      </c>
      <c r="M47" s="134">
        <f>+M42+M46</f>
        <v>156762</v>
      </c>
      <c r="N47" s="134">
        <f>+N42+N46</f>
        <v>144184</v>
      </c>
      <c r="O47" s="134">
        <f t="shared" si="12"/>
        <v>154027</v>
      </c>
      <c r="P47" s="138">
        <f t="shared" si="7"/>
        <v>0.10345047605742778</v>
      </c>
      <c r="Q47" s="134">
        <f>+Q42+Q46</f>
        <v>169822</v>
      </c>
      <c r="R47" s="138">
        <f t="shared" si="8"/>
        <v>0.10331294718277513</v>
      </c>
      <c r="S47" s="138">
        <f t="shared" si="5"/>
        <v>0.10254695605315951</v>
      </c>
      <c r="T47" s="221">
        <f>+T42+T46</f>
        <v>451870</v>
      </c>
      <c r="U47" s="218">
        <f t="shared" si="9"/>
        <v>0.11017264045688963</v>
      </c>
      <c r="V47" s="221">
        <f>+V42+V46</f>
        <v>477701</v>
      </c>
      <c r="W47" s="218">
        <f t="shared" si="10"/>
        <v>0.10281643699283322</v>
      </c>
      <c r="X47" s="219">
        <f t="shared" si="4"/>
        <v>5.7164671255006974E-2</v>
      </c>
      <c r="Y47" s="111"/>
      <c r="Z47" s="81"/>
    </row>
    <row r="48" spans="1:26" s="85" customFormat="1" x14ac:dyDescent="0.3">
      <c r="A48" s="149" t="s">
        <v>51</v>
      </c>
      <c r="B48" s="81">
        <v>14213</v>
      </c>
      <c r="C48" s="81">
        <v>13821</v>
      </c>
      <c r="D48" s="81">
        <v>11386</v>
      </c>
      <c r="E48" s="81">
        <v>11580</v>
      </c>
      <c r="F48" s="81">
        <v>9537</v>
      </c>
      <c r="G48" s="81">
        <v>8084</v>
      </c>
      <c r="H48" s="199">
        <v>7592</v>
      </c>
      <c r="I48" s="199">
        <v>12296</v>
      </c>
      <c r="J48" s="199">
        <v>12207</v>
      </c>
      <c r="K48" s="135">
        <v>2375</v>
      </c>
      <c r="L48" s="135">
        <v>7447</v>
      </c>
      <c r="M48" s="135">
        <v>2770</v>
      </c>
      <c r="N48" s="135">
        <v>2628</v>
      </c>
      <c r="O48" s="135">
        <v>3066</v>
      </c>
      <c r="P48" s="129">
        <f t="shared" si="7"/>
        <v>2.0592438961485556E-3</v>
      </c>
      <c r="Q48" s="135">
        <f>+V48-L48-N48</f>
        <v>834.20667270999911</v>
      </c>
      <c r="R48" s="129">
        <f t="shared" si="8"/>
        <v>5.0749814462912183E-4</v>
      </c>
      <c r="S48" s="129">
        <f t="shared" si="5"/>
        <v>-0.72791693649380329</v>
      </c>
      <c r="T48" s="222">
        <v>8211</v>
      </c>
      <c r="U48" s="219">
        <f t="shared" si="9"/>
        <v>2.0019641728628162E-3</v>
      </c>
      <c r="V48" s="222">
        <v>10909.206672709999</v>
      </c>
      <c r="W48" s="219">
        <f t="shared" si="10"/>
        <v>2.3480079809472523E-3</v>
      </c>
      <c r="X48" s="219">
        <f t="shared" si="4"/>
        <v>0.3286087775800754</v>
      </c>
      <c r="Y48" s="101"/>
      <c r="Z48" s="81"/>
    </row>
    <row r="49" spans="1:26" s="85" customFormat="1" x14ac:dyDescent="0.3">
      <c r="A49" s="149" t="s">
        <v>11</v>
      </c>
      <c r="B49" s="81">
        <v>-25197</v>
      </c>
      <c r="C49" s="81">
        <v>-64413</v>
      </c>
      <c r="D49" s="81">
        <v>-84176</v>
      </c>
      <c r="E49" s="81">
        <v>-88738</v>
      </c>
      <c r="F49" s="81">
        <v>-103331</v>
      </c>
      <c r="G49" s="81">
        <v>-79867</v>
      </c>
      <c r="H49" s="199">
        <v>-84666</v>
      </c>
      <c r="I49" s="199">
        <v>-70722</v>
      </c>
      <c r="J49" s="199">
        <v>-101111</v>
      </c>
      <c r="K49" s="135">
        <v>-16818</v>
      </c>
      <c r="L49" s="135">
        <v>-39145</v>
      </c>
      <c r="M49" s="135">
        <v>-17303</v>
      </c>
      <c r="N49" s="135">
        <v>-38121</v>
      </c>
      <c r="O49" s="135">
        <v>-27264</v>
      </c>
      <c r="P49" s="129">
        <f t="shared" si="7"/>
        <v>-1.8311554332874829E-2</v>
      </c>
      <c r="Q49" s="135">
        <f>+V49-L49-N49</f>
        <v>-39692.202476859995</v>
      </c>
      <c r="R49" s="129">
        <f t="shared" si="8"/>
        <v>-2.4147156540730016E-2</v>
      </c>
      <c r="S49" s="129">
        <f t="shared" si="5"/>
        <v>0.45584662840595641</v>
      </c>
      <c r="T49" s="222">
        <v>-61385</v>
      </c>
      <c r="U49" s="219">
        <f t="shared" si="9"/>
        <v>-1.4966577853024476E-2</v>
      </c>
      <c r="V49" s="222">
        <v>-116958.20247685999</v>
      </c>
      <c r="W49" s="219">
        <f t="shared" si="10"/>
        <v>-2.5173122216108203E-2</v>
      </c>
      <c r="X49" s="219">
        <f t="shared" si="4"/>
        <v>0.90532218745393822</v>
      </c>
      <c r="Y49" s="101"/>
      <c r="Z49" s="81"/>
    </row>
    <row r="50" spans="1:26" s="85" customFormat="1" x14ac:dyDescent="0.3">
      <c r="A50" s="149" t="s">
        <v>12</v>
      </c>
      <c r="B50" s="81">
        <v>-24458</v>
      </c>
      <c r="C50" s="81">
        <v>-32576</v>
      </c>
      <c r="D50" s="81">
        <v>-17533</v>
      </c>
      <c r="E50" s="81">
        <v>-27906</v>
      </c>
      <c r="F50" s="81">
        <v>-1787</v>
      </c>
      <c r="G50" s="81">
        <v>-28926</v>
      </c>
      <c r="H50" s="199">
        <v>-3636</v>
      </c>
      <c r="I50" s="199">
        <v>1782</v>
      </c>
      <c r="J50" s="199">
        <v>8732</v>
      </c>
      <c r="K50" s="135">
        <v>-1758</v>
      </c>
      <c r="L50" s="135">
        <v>7445</v>
      </c>
      <c r="M50" s="135">
        <v>4040</v>
      </c>
      <c r="N50" s="135">
        <v>-2408</v>
      </c>
      <c r="O50" s="135">
        <v>10554</v>
      </c>
      <c r="P50" s="129">
        <f t="shared" si="7"/>
        <v>7.0884736072902342E-3</v>
      </c>
      <c r="Q50" s="135">
        <f>+V50-L50-N50</f>
        <v>-676</v>
      </c>
      <c r="R50" s="129">
        <f t="shared" si="8"/>
        <v>-4.112515003683621E-4</v>
      </c>
      <c r="S50" s="129">
        <f t="shared" si="5"/>
        <v>-1.0640515444381278</v>
      </c>
      <c r="T50" s="222">
        <v>12836</v>
      </c>
      <c r="U50" s="219">
        <f t="shared" si="9"/>
        <v>3.1296081016766665E-3</v>
      </c>
      <c r="V50" s="222">
        <v>4361</v>
      </c>
      <c r="W50" s="219">
        <f t="shared" si="10"/>
        <v>9.386257967342451E-4</v>
      </c>
      <c r="X50" s="219">
        <f t="shared" si="4"/>
        <v>-0.66025241508258026</v>
      </c>
      <c r="Y50" s="101"/>
      <c r="Z50" s="81"/>
    </row>
    <row r="51" spans="1:26" s="85" customFormat="1" x14ac:dyDescent="0.3">
      <c r="A51" s="149" t="s">
        <v>52</v>
      </c>
      <c r="B51" s="81">
        <v>-1493</v>
      </c>
      <c r="C51" s="81">
        <v>-70809</v>
      </c>
      <c r="D51" s="81">
        <v>-27554</v>
      </c>
      <c r="E51" s="81">
        <v>-96678</v>
      </c>
      <c r="F51" s="81">
        <v>-89202</v>
      </c>
      <c r="G51" s="81">
        <v>-23551</v>
      </c>
      <c r="H51" s="199">
        <v>-26933</v>
      </c>
      <c r="I51" s="199">
        <v>-13536</v>
      </c>
      <c r="J51" s="199">
        <v>-54534</v>
      </c>
      <c r="K51" s="135">
        <v>-7981</v>
      </c>
      <c r="L51" s="135">
        <v>-8069</v>
      </c>
      <c r="M51" s="135">
        <v>-15076</v>
      </c>
      <c r="N51" s="135">
        <v>-7510</v>
      </c>
      <c r="O51" s="135">
        <v>-2563</v>
      </c>
      <c r="P51" s="129">
        <f t="shared" si="7"/>
        <v>-1.7214096887895461E-3</v>
      </c>
      <c r="Q51" s="135">
        <f>+V51-L51-N51</f>
        <v>-16362.488190450102</v>
      </c>
      <c r="R51" s="129">
        <f t="shared" si="8"/>
        <v>-9.954286713139365E-3</v>
      </c>
      <c r="S51" s="129">
        <f t="shared" si="5"/>
        <v>5.384115563968046</v>
      </c>
      <c r="T51" s="222">
        <v>-25620</v>
      </c>
      <c r="U51" s="219">
        <f t="shared" si="9"/>
        <v>-6.2465378283699117E-3</v>
      </c>
      <c r="V51" s="222">
        <v>-31941.488190450102</v>
      </c>
      <c r="W51" s="219">
        <f t="shared" si="10"/>
        <v>-6.8748233895066981E-3</v>
      </c>
      <c r="X51" s="219">
        <f t="shared" si="4"/>
        <v>0.24674036652810702</v>
      </c>
      <c r="Y51" s="101"/>
      <c r="Z51" s="81"/>
    </row>
    <row r="52" spans="1:26" s="85" customFormat="1" x14ac:dyDescent="0.3">
      <c r="A52" s="149" t="s">
        <v>14</v>
      </c>
      <c r="B52" s="81">
        <v>22218</v>
      </c>
      <c r="C52" s="81">
        <v>29348</v>
      </c>
      <c r="D52" s="81">
        <v>25763</v>
      </c>
      <c r="E52" s="81">
        <v>27907</v>
      </c>
      <c r="F52" s="81">
        <v>28975</v>
      </c>
      <c r="G52" s="81">
        <v>30996</v>
      </c>
      <c r="H52" s="199">
        <v>33531</v>
      </c>
      <c r="I52" s="199">
        <v>35188</v>
      </c>
      <c r="J52" s="199">
        <v>39510</v>
      </c>
      <c r="K52" s="135">
        <v>8803</v>
      </c>
      <c r="L52" s="135">
        <v>9657</v>
      </c>
      <c r="M52" s="135">
        <v>9924</v>
      </c>
      <c r="N52" s="135">
        <v>10926</v>
      </c>
      <c r="O52" s="135">
        <v>11140</v>
      </c>
      <c r="P52" s="129">
        <f t="shared" si="7"/>
        <v>7.4820538170563963E-3</v>
      </c>
      <c r="Q52" s="135">
        <f>+V52-L52-N52</f>
        <v>10928.037788469999</v>
      </c>
      <c r="R52" s="129">
        <f t="shared" si="8"/>
        <v>6.648183338151546E-3</v>
      </c>
      <c r="S52" s="129">
        <f t="shared" si="5"/>
        <v>-1.9027128503590736E-2</v>
      </c>
      <c r="T52" s="222">
        <v>29867</v>
      </c>
      <c r="U52" s="219">
        <f t="shared" si="9"/>
        <v>7.2820197236504354E-3</v>
      </c>
      <c r="V52" s="222">
        <v>31511.037788469999</v>
      </c>
      <c r="W52" s="219">
        <f t="shared" si="10"/>
        <v>6.7821767828767617E-3</v>
      </c>
      <c r="X52" s="219">
        <f t="shared" si="4"/>
        <v>5.5045293751297394E-2</v>
      </c>
      <c r="Y52" s="101"/>
      <c r="Z52" s="81"/>
    </row>
    <row r="53" spans="1:26" s="85" customFormat="1" x14ac:dyDescent="0.3">
      <c r="A53" s="149" t="s">
        <v>16</v>
      </c>
      <c r="B53" s="81">
        <v>18955</v>
      </c>
      <c r="C53" s="81">
        <v>71319</v>
      </c>
      <c r="D53" s="81">
        <v>6759</v>
      </c>
      <c r="E53" s="81">
        <v>80511</v>
      </c>
      <c r="F53" s="81">
        <v>2124</v>
      </c>
      <c r="G53" s="81">
        <v>1513.7364279999999</v>
      </c>
      <c r="H53" s="199">
        <v>11185</v>
      </c>
      <c r="I53" s="199">
        <v>0</v>
      </c>
      <c r="J53" s="199">
        <v>107</v>
      </c>
      <c r="K53" s="135">
        <v>0</v>
      </c>
      <c r="L53" s="135">
        <v>0</v>
      </c>
      <c r="M53" s="135">
        <v>107</v>
      </c>
      <c r="N53" s="135">
        <v>0</v>
      </c>
      <c r="O53" s="135">
        <v>0</v>
      </c>
      <c r="P53" s="129">
        <f t="shared" si="7"/>
        <v>0</v>
      </c>
      <c r="Q53" s="135">
        <v>0</v>
      </c>
      <c r="R53" s="129">
        <f t="shared" si="8"/>
        <v>0</v>
      </c>
      <c r="S53" s="197" t="s">
        <v>131</v>
      </c>
      <c r="T53" s="222">
        <v>107</v>
      </c>
      <c r="U53" s="219">
        <f t="shared" si="9"/>
        <v>2.608819467742313E-5</v>
      </c>
      <c r="V53" s="222">
        <v>0</v>
      </c>
      <c r="W53" s="219">
        <f t="shared" si="10"/>
        <v>0</v>
      </c>
      <c r="X53" s="219">
        <f t="shared" si="4"/>
        <v>-1</v>
      </c>
      <c r="Y53" s="101"/>
      <c r="Z53" s="81"/>
    </row>
    <row r="54" spans="1:26" s="95" customFormat="1" x14ac:dyDescent="0.3">
      <c r="A54" s="148" t="s">
        <v>2</v>
      </c>
      <c r="B54" s="80">
        <v>4238</v>
      </c>
      <c r="C54" s="80">
        <v>-53310</v>
      </c>
      <c r="D54" s="80">
        <v>-85355</v>
      </c>
      <c r="E54" s="80">
        <v>-93324</v>
      </c>
      <c r="F54" s="80">
        <v>-153684</v>
      </c>
      <c r="G54" s="80">
        <v>-91750.263571999996</v>
      </c>
      <c r="H54" s="202">
        <f t="shared" ref="H54:O54" si="13">SUM(H48:H53)</f>
        <v>-62927</v>
      </c>
      <c r="I54" s="202">
        <f t="shared" si="13"/>
        <v>-34992</v>
      </c>
      <c r="J54" s="202">
        <f t="shared" si="13"/>
        <v>-95089</v>
      </c>
      <c r="K54" s="134">
        <f t="shared" si="13"/>
        <v>-15379</v>
      </c>
      <c r="L54" s="134">
        <f t="shared" si="13"/>
        <v>-22665</v>
      </c>
      <c r="M54" s="134">
        <f>SUM(M48:M53)</f>
        <v>-15538</v>
      </c>
      <c r="N54" s="134">
        <f>SUM(N48:N53)</f>
        <v>-34485</v>
      </c>
      <c r="O54" s="134">
        <f t="shared" si="13"/>
        <v>-5067</v>
      </c>
      <c r="P54" s="138">
        <f t="shared" si="7"/>
        <v>-3.4031927011691884E-3</v>
      </c>
      <c r="Q54" s="134">
        <f>SUM(Q48:Q53)</f>
        <v>-44968.446206130095</v>
      </c>
      <c r="R54" s="138">
        <f t="shared" si="8"/>
        <v>-2.7357013271457075E-2</v>
      </c>
      <c r="S54" s="138">
        <f t="shared" si="5"/>
        <v>7.8747673586205043</v>
      </c>
      <c r="T54" s="221">
        <f>SUM(T48:T53)</f>
        <v>-35984</v>
      </c>
      <c r="U54" s="218">
        <f t="shared" si="9"/>
        <v>-8.7734354885270465E-3</v>
      </c>
      <c r="V54" s="221">
        <f>SUM(V48:V53)</f>
        <v>-102118.4462061301</v>
      </c>
      <c r="W54" s="218">
        <f t="shared" si="10"/>
        <v>-2.1979135045056643E-2</v>
      </c>
      <c r="X54" s="219">
        <f t="shared" si="4"/>
        <v>1.8378847878537712</v>
      </c>
      <c r="Y54" s="111"/>
      <c r="Z54" s="81"/>
    </row>
    <row r="55" spans="1:26" s="95" customFormat="1" x14ac:dyDescent="0.3">
      <c r="A55" s="148" t="s">
        <v>41</v>
      </c>
      <c r="B55" s="80">
        <v>267419</v>
      </c>
      <c r="C55" s="80">
        <v>246764</v>
      </c>
      <c r="D55" s="80">
        <v>347530</v>
      </c>
      <c r="E55" s="80">
        <v>372562</v>
      </c>
      <c r="F55" s="80">
        <v>295040</v>
      </c>
      <c r="G55" s="80">
        <v>340993.86194883985</v>
      </c>
      <c r="H55" s="202">
        <f t="shared" ref="H55:O55" si="14">+H47+H54</f>
        <v>369568.01641320647</v>
      </c>
      <c r="I55" s="202">
        <f t="shared" si="14"/>
        <v>486120</v>
      </c>
      <c r="J55" s="202">
        <f t="shared" si="14"/>
        <v>555138</v>
      </c>
      <c r="K55" s="134">
        <f t="shared" si="14"/>
        <v>125702</v>
      </c>
      <c r="L55" s="134">
        <f t="shared" si="14"/>
        <v>141030</v>
      </c>
      <c r="M55" s="134">
        <f>+M47+M54</f>
        <v>141224</v>
      </c>
      <c r="N55" s="134">
        <f>+N47+N54</f>
        <v>109699</v>
      </c>
      <c r="O55" s="134">
        <f t="shared" si="14"/>
        <v>148960</v>
      </c>
      <c r="P55" s="138">
        <f t="shared" si="7"/>
        <v>0.10004728335625859</v>
      </c>
      <c r="Q55" s="134">
        <f>+Q47+Q54</f>
        <v>124853.55379386991</v>
      </c>
      <c r="R55" s="138">
        <f t="shared" si="8"/>
        <v>7.5955933911318066E-2</v>
      </c>
      <c r="S55" s="138">
        <f t="shared" si="5"/>
        <v>-0.16183167431612572</v>
      </c>
      <c r="T55" s="221">
        <f>+T47+T54</f>
        <v>415886</v>
      </c>
      <c r="U55" s="218">
        <f t="shared" si="9"/>
        <v>0.10139920496836258</v>
      </c>
      <c r="V55" s="221">
        <f>+V47+V54</f>
        <v>375582.55379386991</v>
      </c>
      <c r="W55" s="218">
        <f t="shared" si="10"/>
        <v>8.0837301947776566E-2</v>
      </c>
      <c r="X55" s="219">
        <f t="shared" si="4"/>
        <v>-9.6909841173134198E-2</v>
      </c>
      <c r="Y55" s="111"/>
      <c r="Z55" s="81"/>
    </row>
    <row r="56" spans="1:26" s="85" customFormat="1" x14ac:dyDescent="0.3">
      <c r="A56" s="149" t="s">
        <v>15</v>
      </c>
      <c r="B56" s="81">
        <v>-84076</v>
      </c>
      <c r="C56" s="81">
        <v>-70246</v>
      </c>
      <c r="D56" s="81">
        <v>-99987</v>
      </c>
      <c r="E56" s="81">
        <v>-73232</v>
      </c>
      <c r="F56" s="81">
        <v>-81309</v>
      </c>
      <c r="G56" s="81">
        <v>-76992.534036829995</v>
      </c>
      <c r="H56" s="199">
        <v>-113919.04882074999</v>
      </c>
      <c r="I56" s="199">
        <v>-138457</v>
      </c>
      <c r="J56" s="199">
        <v>-174487</v>
      </c>
      <c r="K56" s="135">
        <v>-46692</v>
      </c>
      <c r="L56" s="135">
        <v>-54819</v>
      </c>
      <c r="M56" s="135">
        <v>-44055</v>
      </c>
      <c r="N56" s="135">
        <v>-25831</v>
      </c>
      <c r="O56" s="135">
        <v>-44910</v>
      </c>
      <c r="P56" s="129">
        <f t="shared" si="7"/>
        <v>-3.0163288772352134E-2</v>
      </c>
      <c r="Q56" s="135">
        <f>+V56-L56-N56</f>
        <v>-32829</v>
      </c>
      <c r="R56" s="129">
        <f t="shared" si="8"/>
        <v>-1.9971857256794318E-2</v>
      </c>
      <c r="S56" s="129">
        <f t="shared" si="5"/>
        <v>-0.26900467601870409</v>
      </c>
      <c r="T56" s="222">
        <v>-135657</v>
      </c>
      <c r="U56" s="219">
        <f t="shared" si="9"/>
        <v>-3.3075198367805508E-2</v>
      </c>
      <c r="V56" s="222">
        <v>-113479</v>
      </c>
      <c r="W56" s="219">
        <f t="shared" si="10"/>
        <v>-2.4424287270718964E-2</v>
      </c>
      <c r="X56" s="219">
        <f t="shared" si="4"/>
        <v>-0.16348585034314483</v>
      </c>
      <c r="Y56" s="101"/>
      <c r="Z56" s="81"/>
    </row>
    <row r="57" spans="1:26" s="85" customFormat="1" x14ac:dyDescent="0.3">
      <c r="A57" s="149" t="s">
        <v>18</v>
      </c>
      <c r="B57" s="81">
        <v>-23</v>
      </c>
      <c r="C57" s="81">
        <v>17</v>
      </c>
      <c r="D57" s="81">
        <v>-230</v>
      </c>
      <c r="E57" s="81">
        <v>-279</v>
      </c>
      <c r="F57" s="81">
        <v>-457</v>
      </c>
      <c r="G57" s="81">
        <v>-762.45166136</v>
      </c>
      <c r="H57" s="199">
        <v>-2137.6216936399992</v>
      </c>
      <c r="I57" s="199">
        <v>-2156</v>
      </c>
      <c r="J57" s="199">
        <v>-416</v>
      </c>
      <c r="K57" s="135">
        <v>276</v>
      </c>
      <c r="L57" s="135">
        <v>-1156</v>
      </c>
      <c r="M57" s="135">
        <v>-50</v>
      </c>
      <c r="N57" s="135">
        <v>-496</v>
      </c>
      <c r="O57" s="135">
        <v>-299</v>
      </c>
      <c r="P57" s="129">
        <f t="shared" si="7"/>
        <v>-2.0081993638239339E-4</v>
      </c>
      <c r="Q57" s="135">
        <f>+V57-L57-N57</f>
        <v>-267</v>
      </c>
      <c r="R57" s="129">
        <f t="shared" si="8"/>
        <v>-1.6243217544135012E-4</v>
      </c>
      <c r="S57" s="129">
        <f t="shared" si="5"/>
        <v>-0.10702341137123746</v>
      </c>
      <c r="T57" s="222">
        <v>-73</v>
      </c>
      <c r="U57" s="219">
        <f t="shared" si="9"/>
        <v>-1.7798487957494284E-5</v>
      </c>
      <c r="V57" s="222">
        <v>-1919</v>
      </c>
      <c r="W57" s="219">
        <f t="shared" si="10"/>
        <v>-4.130297876480203E-4</v>
      </c>
      <c r="X57" s="227" t="s">
        <v>131</v>
      </c>
      <c r="Y57" s="101"/>
      <c r="Z57" s="81"/>
    </row>
    <row r="58" spans="1:26" s="95" customFormat="1" x14ac:dyDescent="0.3">
      <c r="A58" s="150" t="s">
        <v>17</v>
      </c>
      <c r="B58" s="113">
        <v>183320</v>
      </c>
      <c r="C58" s="113">
        <v>176535</v>
      </c>
      <c r="D58" s="113">
        <v>247313</v>
      </c>
      <c r="E58" s="113">
        <v>299051</v>
      </c>
      <c r="F58" s="113">
        <v>213274</v>
      </c>
      <c r="G58" s="113">
        <v>263238.87625064986</v>
      </c>
      <c r="H58" s="206">
        <f t="shared" ref="H58:O58" si="15">+H55+H56+H57</f>
        <v>253511.34589881651</v>
      </c>
      <c r="I58" s="206">
        <f t="shared" si="15"/>
        <v>345507</v>
      </c>
      <c r="J58" s="206">
        <f t="shared" si="15"/>
        <v>380235</v>
      </c>
      <c r="K58" s="136">
        <f t="shared" si="15"/>
        <v>79286</v>
      </c>
      <c r="L58" s="136">
        <f t="shared" si="15"/>
        <v>85055</v>
      </c>
      <c r="M58" s="136">
        <f>+M55+M56+M57</f>
        <v>97119</v>
      </c>
      <c r="N58" s="136">
        <f>+N55+N56+N57</f>
        <v>83372</v>
      </c>
      <c r="O58" s="136">
        <f t="shared" si="15"/>
        <v>103751</v>
      </c>
      <c r="P58" s="139">
        <f t="shared" si="7"/>
        <v>6.9683174647524077E-2</v>
      </c>
      <c r="Q58" s="136">
        <f>+Q55+Q56+Q57</f>
        <v>91757.553793869913</v>
      </c>
      <c r="R58" s="139">
        <f t="shared" si="8"/>
        <v>5.5821644479082395E-2</v>
      </c>
      <c r="S58" s="139">
        <f t="shared" si="5"/>
        <v>-0.11559836730373767</v>
      </c>
      <c r="T58" s="223">
        <f>+T55+T56+T57</f>
        <v>280156</v>
      </c>
      <c r="U58" s="224">
        <f t="shared" si="9"/>
        <v>6.8306208112599576E-2</v>
      </c>
      <c r="V58" s="223">
        <f>+V55+V56+V57</f>
        <v>260184.55379386991</v>
      </c>
      <c r="W58" s="224">
        <f t="shared" si="10"/>
        <v>5.599998488940959E-2</v>
      </c>
      <c r="X58" s="224">
        <f>+(V58-T58)/T58</f>
        <v>-7.1286876619205325E-2</v>
      </c>
      <c r="Y58" s="111"/>
      <c r="Z58" s="81"/>
    </row>
    <row r="59" spans="1:26" s="95" customFormat="1" ht="15.75" thickBot="1" x14ac:dyDescent="0.35">
      <c r="A59" s="151" t="s">
        <v>19</v>
      </c>
      <c r="B59" s="91">
        <v>317502</v>
      </c>
      <c r="C59" s="91">
        <v>382594</v>
      </c>
      <c r="D59" s="91">
        <v>528754</v>
      </c>
      <c r="E59" s="91">
        <v>569823</v>
      </c>
      <c r="F59" s="91">
        <v>551034</v>
      </c>
      <c r="G59" s="91">
        <v>538165</v>
      </c>
      <c r="H59" s="200">
        <v>568131.17041880696</v>
      </c>
      <c r="I59" s="200">
        <v>671095</v>
      </c>
      <c r="J59" s="200">
        <v>832827</v>
      </c>
      <c r="K59" s="137">
        <v>179705</v>
      </c>
      <c r="L59" s="137">
        <v>218965</v>
      </c>
      <c r="M59" s="137">
        <v>196119</v>
      </c>
      <c r="N59" s="137">
        <v>198720</v>
      </c>
      <c r="O59" s="137">
        <v>199330</v>
      </c>
      <c r="P59" s="130">
        <f t="shared" si="7"/>
        <v>0.13387771879298488</v>
      </c>
      <c r="Q59" s="137">
        <f>+V59-L59-N59</f>
        <v>224400</v>
      </c>
      <c r="R59" s="130">
        <f t="shared" si="8"/>
        <v>0.13651603059565157</v>
      </c>
      <c r="S59" s="130">
        <f t="shared" si="5"/>
        <v>0.12577133396879547</v>
      </c>
      <c r="T59" s="225">
        <v>575154</v>
      </c>
      <c r="U59" s="226">
        <f t="shared" si="9"/>
        <v>0.14023111702335161</v>
      </c>
      <c r="V59" s="225">
        <v>642085</v>
      </c>
      <c r="W59" s="226">
        <f t="shared" si="10"/>
        <v>0.13819709807294378</v>
      </c>
      <c r="X59" s="226">
        <f>+(V59-T59)/T59</f>
        <v>0.11637057205548428</v>
      </c>
      <c r="Y59" s="111"/>
      <c r="Z59" s="81"/>
    </row>
    <row r="60" spans="1:26" s="85" customFormat="1" x14ac:dyDescent="0.3">
      <c r="A60" s="81"/>
      <c r="B60" s="81"/>
      <c r="C60" s="81"/>
      <c r="D60" s="81"/>
      <c r="E60" s="81"/>
      <c r="F60" s="81"/>
      <c r="G60" s="81"/>
      <c r="H60" s="81"/>
      <c r="I60" s="82"/>
      <c r="J60" s="82"/>
      <c r="K60" s="82"/>
      <c r="L60" s="112"/>
      <c r="M60" s="82"/>
      <c r="N60" s="101"/>
      <c r="O60" s="101"/>
    </row>
    <row r="61" spans="1:26" s="85" customFormat="1" x14ac:dyDescent="0.3">
      <c r="A61" s="85" t="s">
        <v>53</v>
      </c>
      <c r="H61" s="112"/>
      <c r="I61" s="112"/>
      <c r="J61" s="112"/>
      <c r="K61" s="112"/>
      <c r="L61" s="112"/>
      <c r="M61" s="82"/>
      <c r="N61" s="101"/>
      <c r="O61" s="101"/>
    </row>
    <row r="62" spans="1:26" s="85" customFormat="1" x14ac:dyDescent="0.3">
      <c r="H62" s="81"/>
      <c r="I62" s="81"/>
      <c r="J62" s="81"/>
      <c r="K62" s="81"/>
      <c r="L62" s="112"/>
      <c r="M62" s="82"/>
      <c r="N62" s="101"/>
      <c r="O62" s="101"/>
    </row>
    <row r="63" spans="1:26" s="85" customFormat="1" x14ac:dyDescent="0.3">
      <c r="H63" s="81"/>
      <c r="I63" s="81"/>
      <c r="J63" s="81"/>
      <c r="K63" s="81"/>
      <c r="L63" s="82"/>
      <c r="M63" s="82"/>
      <c r="N63" s="101"/>
      <c r="O63" s="101"/>
    </row>
    <row r="64" spans="1:26" s="85" customFormat="1" x14ac:dyDescent="0.3">
      <c r="H64" s="81"/>
      <c r="I64" s="81"/>
      <c r="J64" s="81"/>
      <c r="K64" s="81"/>
      <c r="L64" s="89"/>
      <c r="M64" s="82"/>
      <c r="N64" s="101"/>
      <c r="O64" s="101"/>
    </row>
    <row r="65" spans="13:13" x14ac:dyDescent="0.3">
      <c r="M65" s="77"/>
    </row>
    <row r="82" spans="13:13" x14ac:dyDescent="0.3">
      <c r="M82" s="77"/>
    </row>
  </sheetData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8"/>
  <sheetViews>
    <sheetView zoomScale="99" zoomScaleNormal="99" workbookViewId="0">
      <pane xSplit="1" ySplit="10" topLeftCell="G11" activePane="bottomRight" state="frozen"/>
      <selection pane="topRight" activeCell="B1" sqref="B1"/>
      <selection pane="bottomLeft" activeCell="A11" sqref="A11"/>
      <selection pane="bottomRight" activeCell="H10" sqref="H10"/>
    </sheetView>
  </sheetViews>
  <sheetFormatPr baseColWidth="10" defaultColWidth="11.42578125" defaultRowHeight="15" x14ac:dyDescent="0.3"/>
  <cols>
    <col min="1" max="1" width="43.7109375" style="73" customWidth="1"/>
    <col min="2" max="2" width="14.42578125" style="73" customWidth="1"/>
    <col min="3" max="7" width="11.42578125" style="73" bestFit="1" customWidth="1"/>
    <col min="8" max="8" width="13" style="74" bestFit="1" customWidth="1"/>
    <col min="9" max="9" width="12.7109375" style="74" bestFit="1" customWidth="1"/>
    <col min="10" max="11" width="12.7109375" style="74" customWidth="1"/>
    <col min="12" max="12" width="13.42578125" style="75" bestFit="1" customWidth="1"/>
    <col min="13" max="16384" width="11.42578125" style="73"/>
  </cols>
  <sheetData>
    <row r="1" spans="1:20" x14ac:dyDescent="0.3">
      <c r="M1" s="75"/>
      <c r="N1" s="76"/>
      <c r="O1" s="76"/>
    </row>
    <row r="2" spans="1:20" x14ac:dyDescent="0.3">
      <c r="M2" s="75"/>
      <c r="N2" s="76"/>
      <c r="O2" s="76"/>
    </row>
    <row r="3" spans="1:20" x14ac:dyDescent="0.3">
      <c r="M3" s="75"/>
      <c r="N3" s="76"/>
      <c r="O3" s="76"/>
    </row>
    <row r="4" spans="1:20" x14ac:dyDescent="0.3">
      <c r="M4" s="75"/>
      <c r="N4" s="76"/>
      <c r="O4" s="76"/>
    </row>
    <row r="5" spans="1:20" x14ac:dyDescent="0.3">
      <c r="M5" s="75"/>
      <c r="N5" s="76"/>
      <c r="O5" s="76"/>
    </row>
    <row r="6" spans="1:20" ht="21" x14ac:dyDescent="0.35">
      <c r="A6" s="116" t="s">
        <v>90</v>
      </c>
      <c r="B6" s="116"/>
      <c r="C6" s="116"/>
      <c r="D6" s="116"/>
      <c r="E6" s="116"/>
      <c r="F6" s="116"/>
      <c r="G6" s="116"/>
      <c r="M6" s="75"/>
      <c r="N6" s="76"/>
      <c r="O6" s="76"/>
    </row>
    <row r="7" spans="1:20" ht="15.75" x14ac:dyDescent="0.3">
      <c r="A7" s="78" t="s">
        <v>135</v>
      </c>
      <c r="B7" s="78"/>
      <c r="C7" s="78"/>
      <c r="D7" s="78"/>
      <c r="E7" s="78"/>
      <c r="F7" s="78"/>
      <c r="G7" s="78"/>
      <c r="M7" s="75"/>
      <c r="N7" s="76"/>
      <c r="O7" s="76"/>
    </row>
    <row r="8" spans="1:20" x14ac:dyDescent="0.3">
      <c r="A8" s="79" t="s">
        <v>88</v>
      </c>
      <c r="B8" s="79"/>
      <c r="C8" s="79"/>
      <c r="D8" s="79"/>
      <c r="E8" s="79"/>
      <c r="F8" s="79"/>
      <c r="G8" s="79"/>
      <c r="M8" s="75"/>
      <c r="N8" s="76"/>
      <c r="O8" s="76"/>
    </row>
    <row r="9" spans="1:20" s="85" customFormat="1" x14ac:dyDescent="0.3">
      <c r="A9" s="80"/>
      <c r="B9" s="80"/>
      <c r="C9" s="80"/>
      <c r="D9" s="80"/>
      <c r="E9" s="80"/>
      <c r="F9" s="80"/>
      <c r="G9" s="80"/>
      <c r="H9" s="81"/>
      <c r="I9" s="81"/>
      <c r="J9" s="81"/>
      <c r="K9" s="81"/>
      <c r="L9" s="82"/>
      <c r="M9" s="82"/>
      <c r="N9" s="83"/>
      <c r="O9" s="83"/>
      <c r="P9" s="84"/>
      <c r="Q9" s="84"/>
      <c r="R9" s="84"/>
      <c r="S9" s="84"/>
    </row>
    <row r="10" spans="1:20" s="85" customFormat="1" ht="15.75" thickBot="1" x14ac:dyDescent="0.35">
      <c r="A10" s="104" t="s">
        <v>20</v>
      </c>
      <c r="B10" s="156">
        <v>2005</v>
      </c>
      <c r="C10" s="156">
        <v>2006</v>
      </c>
      <c r="D10" s="156">
        <v>2007</v>
      </c>
      <c r="E10" s="156">
        <v>2008</v>
      </c>
      <c r="F10" s="156">
        <v>2009</v>
      </c>
      <c r="G10" s="156">
        <v>2010</v>
      </c>
      <c r="H10" s="198">
        <v>2011</v>
      </c>
      <c r="I10" s="157">
        <v>2012</v>
      </c>
      <c r="J10" s="145">
        <v>2013</v>
      </c>
      <c r="K10" s="158" t="s">
        <v>46</v>
      </c>
      <c r="L10" s="145">
        <v>2013</v>
      </c>
      <c r="M10" s="145">
        <v>2014</v>
      </c>
      <c r="N10" s="158" t="s">
        <v>46</v>
      </c>
    </row>
    <row r="11" spans="1:20" s="85" customFormat="1" x14ac:dyDescent="0.3">
      <c r="A11" s="88" t="s">
        <v>21</v>
      </c>
      <c r="B11" s="81">
        <v>5989</v>
      </c>
      <c r="C11" s="81">
        <v>915</v>
      </c>
      <c r="D11" s="81">
        <v>1835</v>
      </c>
      <c r="E11" s="81">
        <v>382</v>
      </c>
      <c r="F11" s="81">
        <v>191</v>
      </c>
      <c r="G11" s="81">
        <v>225</v>
      </c>
      <c r="H11" s="199">
        <v>94</v>
      </c>
      <c r="I11" s="135">
        <v>74</v>
      </c>
      <c r="J11" s="135">
        <v>58</v>
      </c>
      <c r="K11" s="129">
        <f>(J11-I11)/I11</f>
        <v>-0.21621621621621623</v>
      </c>
      <c r="L11" s="135">
        <v>58</v>
      </c>
      <c r="M11" s="135">
        <v>70</v>
      </c>
      <c r="N11" s="129">
        <f>IF(L11&lt;&gt;0,(M11-L11)/L11,0)</f>
        <v>0.20689655172413793</v>
      </c>
      <c r="O11" s="82"/>
    </row>
    <row r="12" spans="1:20" s="85" customFormat="1" x14ac:dyDescent="0.3">
      <c r="A12" s="88" t="s">
        <v>22</v>
      </c>
      <c r="B12" s="81">
        <v>2353634</v>
      </c>
      <c r="C12" s="81">
        <v>2658218</v>
      </c>
      <c r="D12" s="81">
        <v>2904738</v>
      </c>
      <c r="E12" s="81">
        <v>3041332</v>
      </c>
      <c r="F12" s="81">
        <v>3601952</v>
      </c>
      <c r="G12" s="81">
        <v>2716228</v>
      </c>
      <c r="H12" s="199">
        <v>3554895</v>
      </c>
      <c r="I12" s="135">
        <v>3748346</v>
      </c>
      <c r="J12" s="135">
        <v>4126523</v>
      </c>
      <c r="K12" s="129">
        <f>(J12-I12)/I12</f>
        <v>0.10089169996579825</v>
      </c>
      <c r="L12" s="135">
        <v>4126523</v>
      </c>
      <c r="M12" s="135">
        <v>4453792</v>
      </c>
      <c r="N12" s="129">
        <f t="shared" ref="N12:N17" si="0">IF(L12&lt;&gt;0,(M12-L12)/L12,0)</f>
        <v>7.9308657676208275E-2</v>
      </c>
      <c r="O12" s="82"/>
    </row>
    <row r="13" spans="1:20" s="89" customFormat="1" ht="14.25" customHeight="1" x14ac:dyDescent="0.3">
      <c r="A13" s="88" t="s">
        <v>23</v>
      </c>
      <c r="B13" s="81">
        <v>5093</v>
      </c>
      <c r="C13" s="81">
        <v>21107</v>
      </c>
      <c r="D13" s="81">
        <v>10187</v>
      </c>
      <c r="E13" s="81">
        <v>24218</v>
      </c>
      <c r="F13" s="81">
        <v>43410</v>
      </c>
      <c r="G13" s="81">
        <v>90361</v>
      </c>
      <c r="H13" s="199">
        <v>10662</v>
      </c>
      <c r="I13" s="135">
        <v>14922</v>
      </c>
      <c r="J13" s="135">
        <v>18191</v>
      </c>
      <c r="K13" s="129">
        <f>(J13-I13)/I13</f>
        <v>0.21907251038734754</v>
      </c>
      <c r="L13" s="135">
        <v>18191</v>
      </c>
      <c r="M13" s="135">
        <v>24889</v>
      </c>
      <c r="N13" s="129">
        <f t="shared" si="0"/>
        <v>0.36820405695123964</v>
      </c>
      <c r="O13" s="82"/>
      <c r="P13" s="85"/>
      <c r="R13" s="85"/>
      <c r="S13" s="85"/>
      <c r="T13" s="85"/>
    </row>
    <row r="14" spans="1:20" s="89" customFormat="1" x14ac:dyDescent="0.3">
      <c r="A14" s="88" t="s">
        <v>37</v>
      </c>
      <c r="B14" s="81"/>
      <c r="C14" s="81"/>
      <c r="D14" s="81">
        <v>0</v>
      </c>
      <c r="E14" s="81">
        <v>50</v>
      </c>
      <c r="F14" s="81"/>
      <c r="G14" s="81"/>
      <c r="H14" s="199">
        <v>0</v>
      </c>
      <c r="I14" s="135">
        <v>0</v>
      </c>
      <c r="J14" s="135">
        <v>0</v>
      </c>
      <c r="K14" s="129">
        <v>0</v>
      </c>
      <c r="L14" s="135">
        <v>0</v>
      </c>
      <c r="M14" s="135">
        <v>0</v>
      </c>
      <c r="N14" s="129">
        <f t="shared" si="0"/>
        <v>0</v>
      </c>
      <c r="O14" s="82"/>
      <c r="P14" s="85"/>
      <c r="R14" s="85"/>
      <c r="S14" s="85"/>
      <c r="T14" s="85"/>
    </row>
    <row r="15" spans="1:20" s="89" customFormat="1" x14ac:dyDescent="0.3">
      <c r="A15" s="88" t="s">
        <v>83</v>
      </c>
      <c r="B15" s="81">
        <v>23371</v>
      </c>
      <c r="C15" s="81">
        <v>1095</v>
      </c>
      <c r="D15" s="81">
        <v>209</v>
      </c>
      <c r="E15" s="81">
        <v>209</v>
      </c>
      <c r="F15" s="81">
        <v>209</v>
      </c>
      <c r="G15" s="81">
        <v>155</v>
      </c>
      <c r="H15" s="199">
        <f>503+155</f>
        <v>658</v>
      </c>
      <c r="I15" s="135">
        <v>118</v>
      </c>
      <c r="J15" s="135">
        <v>4612</v>
      </c>
      <c r="K15" s="197" t="s">
        <v>116</v>
      </c>
      <c r="L15" s="135">
        <v>4612</v>
      </c>
      <c r="M15" s="135">
        <v>4364</v>
      </c>
      <c r="N15" s="129">
        <f t="shared" si="0"/>
        <v>-5.3772766695576756E-2</v>
      </c>
      <c r="O15" s="82"/>
      <c r="P15" s="85"/>
      <c r="R15" s="85"/>
      <c r="S15" s="85"/>
      <c r="T15" s="85"/>
    </row>
    <row r="16" spans="1:20" s="89" customFormat="1" x14ac:dyDescent="0.3">
      <c r="A16" s="88" t="s">
        <v>26</v>
      </c>
      <c r="B16" s="81">
        <v>1356015</v>
      </c>
      <c r="C16" s="81">
        <v>1347305</v>
      </c>
      <c r="D16" s="81">
        <v>1324771</v>
      </c>
      <c r="E16" s="81">
        <v>891321</v>
      </c>
      <c r="F16" s="81">
        <v>1869198</v>
      </c>
      <c r="G16" s="81">
        <v>3596772</v>
      </c>
      <c r="H16" s="199">
        <v>2979150</v>
      </c>
      <c r="I16" s="135">
        <v>3733696</v>
      </c>
      <c r="J16" s="135">
        <v>3357714</v>
      </c>
      <c r="K16" s="129">
        <f>(J16-I16)/I16</f>
        <v>-0.10069968203088843</v>
      </c>
      <c r="L16" s="135">
        <v>3357714</v>
      </c>
      <c r="M16" s="135">
        <v>3802056</v>
      </c>
      <c r="N16" s="129">
        <f t="shared" si="0"/>
        <v>0.132334677700364</v>
      </c>
      <c r="O16" s="82"/>
      <c r="P16" s="85"/>
      <c r="R16" s="85"/>
      <c r="S16" s="85"/>
      <c r="T16" s="85"/>
    </row>
    <row r="17" spans="1:20" s="89" customFormat="1" ht="15.75" thickBot="1" x14ac:dyDescent="0.35">
      <c r="A17" s="90" t="s">
        <v>27</v>
      </c>
      <c r="B17" s="91">
        <f t="shared" ref="B17:J17" si="1">SUM(B11:B16)</f>
        <v>3744102</v>
      </c>
      <c r="C17" s="91">
        <f t="shared" si="1"/>
        <v>4028640</v>
      </c>
      <c r="D17" s="91">
        <f t="shared" si="1"/>
        <v>4241740</v>
      </c>
      <c r="E17" s="91">
        <f t="shared" si="1"/>
        <v>3957512</v>
      </c>
      <c r="F17" s="91">
        <f t="shared" si="1"/>
        <v>5514960</v>
      </c>
      <c r="G17" s="91">
        <f t="shared" si="1"/>
        <v>6403741</v>
      </c>
      <c r="H17" s="200">
        <f t="shared" si="1"/>
        <v>6545459</v>
      </c>
      <c r="I17" s="137">
        <f t="shared" si="1"/>
        <v>7497156</v>
      </c>
      <c r="J17" s="137">
        <f t="shared" si="1"/>
        <v>7507098</v>
      </c>
      <c r="K17" s="159">
        <f>(J17-I17)/I17</f>
        <v>1.3261028582038309E-3</v>
      </c>
      <c r="L17" s="137">
        <f>SUM(L11:L16)</f>
        <v>7507098</v>
      </c>
      <c r="M17" s="137">
        <f>SUM(M11:M16)</f>
        <v>8285171</v>
      </c>
      <c r="N17" s="159">
        <f t="shared" si="0"/>
        <v>0.10364497706037673</v>
      </c>
      <c r="O17" s="82"/>
      <c r="P17" s="85"/>
      <c r="R17" s="85"/>
      <c r="S17" s="85"/>
      <c r="T17" s="85"/>
    </row>
    <row r="18" spans="1:20" s="85" customFormat="1" x14ac:dyDescent="0.3">
      <c r="B18" s="81"/>
      <c r="C18" s="81"/>
      <c r="D18" s="81"/>
      <c r="E18" s="81"/>
      <c r="F18" s="81"/>
      <c r="G18" s="81"/>
      <c r="H18" s="199"/>
      <c r="I18" s="135"/>
      <c r="J18" s="135"/>
      <c r="K18" s="129"/>
      <c r="L18" s="135"/>
      <c r="M18" s="135"/>
      <c r="N18" s="129"/>
      <c r="O18" s="107"/>
    </row>
    <row r="19" spans="1:20" s="89" customFormat="1" x14ac:dyDescent="0.3">
      <c r="A19" s="104" t="s">
        <v>48</v>
      </c>
      <c r="B19" s="86"/>
      <c r="C19" s="86"/>
      <c r="D19" s="86"/>
      <c r="E19" s="86"/>
      <c r="F19" s="86"/>
      <c r="G19" s="86"/>
      <c r="H19" s="207"/>
      <c r="I19" s="161"/>
      <c r="J19" s="161"/>
      <c r="K19" s="162"/>
      <c r="L19" s="161"/>
      <c r="M19" s="161"/>
      <c r="N19" s="162"/>
      <c r="O19" s="107"/>
      <c r="P19" s="85"/>
      <c r="R19" s="85"/>
      <c r="S19" s="85"/>
      <c r="T19" s="85"/>
    </row>
    <row r="20" spans="1:20" s="89" customFormat="1" x14ac:dyDescent="0.3">
      <c r="A20" s="88" t="s">
        <v>28</v>
      </c>
      <c r="B20" s="81"/>
      <c r="C20" s="81"/>
      <c r="D20" s="81">
        <v>7000</v>
      </c>
      <c r="E20" s="81">
        <v>7000</v>
      </c>
      <c r="F20" s="81">
        <v>0</v>
      </c>
      <c r="G20" s="81">
        <v>445</v>
      </c>
      <c r="H20" s="199">
        <v>0</v>
      </c>
      <c r="I20" s="135">
        <v>7</v>
      </c>
      <c r="J20" s="135">
        <v>0</v>
      </c>
      <c r="K20" s="129">
        <f>(J20-I20)/I20</f>
        <v>-1</v>
      </c>
      <c r="L20" s="135">
        <v>0</v>
      </c>
      <c r="M20" s="135">
        <v>0</v>
      </c>
      <c r="N20" s="129">
        <f t="shared" ref="N20:N28" si="2">IF(L20&lt;&gt;0,(M20-L20)/L20,0)</f>
        <v>0</v>
      </c>
      <c r="O20" s="82"/>
      <c r="P20" s="85"/>
      <c r="R20" s="85"/>
      <c r="S20" s="85"/>
      <c r="T20" s="85"/>
    </row>
    <row r="21" spans="1:20" s="89" customFormat="1" x14ac:dyDescent="0.3">
      <c r="A21" s="88" t="s">
        <v>29</v>
      </c>
      <c r="B21" s="81">
        <v>37598</v>
      </c>
      <c r="C21" s="81">
        <v>60127</v>
      </c>
      <c r="D21" s="81">
        <v>62571</v>
      </c>
      <c r="E21" s="81">
        <v>71267</v>
      </c>
      <c r="F21" s="81">
        <v>111498</v>
      </c>
      <c r="G21" s="81">
        <v>70420</v>
      </c>
      <c r="H21" s="199">
        <v>59466</v>
      </c>
      <c r="I21" s="135">
        <v>65083</v>
      </c>
      <c r="J21" s="135">
        <v>70701</v>
      </c>
      <c r="K21" s="129">
        <f>(J21-I21)/I21</f>
        <v>8.6320544535439359E-2</v>
      </c>
      <c r="L21" s="135">
        <v>70701</v>
      </c>
      <c r="M21" s="135">
        <v>69194</v>
      </c>
      <c r="N21" s="129">
        <f t="shared" si="2"/>
        <v>-2.1315115769225328E-2</v>
      </c>
      <c r="O21" s="82"/>
      <c r="P21" s="85"/>
      <c r="R21" s="85"/>
      <c r="S21" s="85"/>
      <c r="T21" s="85"/>
    </row>
    <row r="22" spans="1:20" s="85" customFormat="1" x14ac:dyDescent="0.3">
      <c r="A22" s="88" t="s">
        <v>30</v>
      </c>
      <c r="B22" s="81">
        <v>3128</v>
      </c>
      <c r="C22" s="81">
        <v>98</v>
      </c>
      <c r="D22" s="81">
        <v>645</v>
      </c>
      <c r="E22" s="81">
        <v>1762</v>
      </c>
      <c r="F22" s="81">
        <v>430</v>
      </c>
      <c r="G22" s="81">
        <v>604</v>
      </c>
      <c r="H22" s="199">
        <v>585</v>
      </c>
      <c r="I22" s="135">
        <v>657</v>
      </c>
      <c r="J22" s="135">
        <v>2299</v>
      </c>
      <c r="K22" s="129">
        <f>(J22-I22)/I22</f>
        <v>2.4992389649923896</v>
      </c>
      <c r="L22" s="135">
        <v>2299</v>
      </c>
      <c r="M22" s="135">
        <v>918</v>
      </c>
      <c r="N22" s="129">
        <f t="shared" si="2"/>
        <v>-0.60069595476294035</v>
      </c>
      <c r="O22" s="82"/>
    </row>
    <row r="23" spans="1:20" s="85" customFormat="1" x14ac:dyDescent="0.3">
      <c r="A23" s="88" t="s">
        <v>31</v>
      </c>
      <c r="B23" s="81">
        <v>247</v>
      </c>
      <c r="C23" s="81">
        <v>501</v>
      </c>
      <c r="D23" s="81">
        <v>686</v>
      </c>
      <c r="E23" s="81">
        <v>940</v>
      </c>
      <c r="F23" s="81">
        <v>650</v>
      </c>
      <c r="G23" s="81">
        <v>947</v>
      </c>
      <c r="H23" s="199">
        <v>872</v>
      </c>
      <c r="I23" s="135">
        <v>481</v>
      </c>
      <c r="J23" s="135">
        <v>932</v>
      </c>
      <c r="K23" s="129">
        <f>(J23-I23)/I23</f>
        <v>0.93762993762993763</v>
      </c>
      <c r="L23" s="135">
        <v>932</v>
      </c>
      <c r="M23" s="135">
        <v>1164</v>
      </c>
      <c r="N23" s="129">
        <f t="shared" si="2"/>
        <v>0.24892703862660945</v>
      </c>
      <c r="O23" s="82"/>
    </row>
    <row r="24" spans="1:20" s="85" customFormat="1" x14ac:dyDescent="0.3">
      <c r="A24" s="88" t="s">
        <v>32</v>
      </c>
      <c r="B24" s="81"/>
      <c r="C24" s="81"/>
      <c r="D24" s="81"/>
      <c r="E24" s="81"/>
      <c r="F24" s="81"/>
      <c r="G24" s="81"/>
      <c r="H24" s="199">
        <v>0</v>
      </c>
      <c r="I24" s="135">
        <v>0</v>
      </c>
      <c r="J24" s="135">
        <v>0</v>
      </c>
      <c r="K24" s="129">
        <v>0</v>
      </c>
      <c r="L24" s="135">
        <v>0</v>
      </c>
      <c r="M24" s="135">
        <v>0</v>
      </c>
      <c r="N24" s="129">
        <f t="shared" si="2"/>
        <v>0</v>
      </c>
      <c r="O24" s="82"/>
    </row>
    <row r="25" spans="1:20" s="85" customFormat="1" x14ac:dyDescent="0.3">
      <c r="A25" s="88" t="s">
        <v>87</v>
      </c>
      <c r="B25" s="81">
        <v>2356</v>
      </c>
      <c r="C25" s="81">
        <v>2509</v>
      </c>
      <c r="D25" s="81">
        <v>2679</v>
      </c>
      <c r="E25" s="81">
        <v>2934</v>
      </c>
      <c r="F25" s="81">
        <v>3179</v>
      </c>
      <c r="G25" s="81">
        <v>7650</v>
      </c>
      <c r="H25" s="199">
        <v>8296</v>
      </c>
      <c r="I25" s="135">
        <v>8803</v>
      </c>
      <c r="J25" s="135">
        <v>9622</v>
      </c>
      <c r="K25" s="129">
        <f>(J25-I25)/I25</f>
        <v>9.3036464841531302E-2</v>
      </c>
      <c r="L25" s="135">
        <v>9622</v>
      </c>
      <c r="M25" s="135">
        <v>0</v>
      </c>
      <c r="N25" s="129">
        <f t="shared" si="2"/>
        <v>-1</v>
      </c>
      <c r="O25" s="82"/>
    </row>
    <row r="26" spans="1:20" s="95" customFormat="1" x14ac:dyDescent="0.3">
      <c r="A26" s="93" t="s">
        <v>33</v>
      </c>
      <c r="B26" s="80">
        <f t="shared" ref="B26:G26" si="3">SUM(B20:B25)</f>
        <v>43329</v>
      </c>
      <c r="C26" s="80">
        <f t="shared" si="3"/>
        <v>63235</v>
      </c>
      <c r="D26" s="80">
        <f t="shared" si="3"/>
        <v>73581</v>
      </c>
      <c r="E26" s="80">
        <f t="shared" si="3"/>
        <v>83903</v>
      </c>
      <c r="F26" s="80">
        <f t="shared" si="3"/>
        <v>115757</v>
      </c>
      <c r="G26" s="80">
        <f t="shared" si="3"/>
        <v>80066</v>
      </c>
      <c r="H26" s="202">
        <f>SUM(H20:H25)</f>
        <v>69219</v>
      </c>
      <c r="I26" s="134">
        <f>SUM(I20:I25)</f>
        <v>75031</v>
      </c>
      <c r="J26" s="134">
        <f>SUM(J20:J25)</f>
        <v>83554</v>
      </c>
      <c r="K26" s="129">
        <f>(J26-I26)/I26</f>
        <v>0.11359304820674121</v>
      </c>
      <c r="L26" s="134">
        <v>83554</v>
      </c>
      <c r="M26" s="134">
        <f>SUM(M20:M25)</f>
        <v>71276</v>
      </c>
      <c r="N26" s="138">
        <f t="shared" si="2"/>
        <v>-0.14694688464944827</v>
      </c>
      <c r="O26" s="82"/>
      <c r="P26" s="85"/>
      <c r="R26" s="85"/>
      <c r="S26" s="85"/>
      <c r="T26" s="85"/>
    </row>
    <row r="27" spans="1:20" s="95" customFormat="1" x14ac:dyDescent="0.3">
      <c r="A27" s="96" t="s">
        <v>34</v>
      </c>
      <c r="B27" s="97">
        <v>3700773</v>
      </c>
      <c r="C27" s="97">
        <v>3965405</v>
      </c>
      <c r="D27" s="97">
        <v>4168159</v>
      </c>
      <c r="E27" s="97">
        <v>3873609</v>
      </c>
      <c r="F27" s="97">
        <v>5399203</v>
      </c>
      <c r="G27" s="97">
        <v>6323675</v>
      </c>
      <c r="H27" s="203">
        <v>6476240</v>
      </c>
      <c r="I27" s="163">
        <f>+I17-I26</f>
        <v>7422125</v>
      </c>
      <c r="J27" s="163">
        <f>+J17-J26</f>
        <v>7423544</v>
      </c>
      <c r="K27" s="131">
        <f>(J27-I27)/I27</f>
        <v>1.9118513902689595E-4</v>
      </c>
      <c r="L27" s="163">
        <f>+L17-L26</f>
        <v>7423544</v>
      </c>
      <c r="M27" s="163">
        <f>+M17-M26</f>
        <v>8213895</v>
      </c>
      <c r="N27" s="131">
        <f t="shared" si="2"/>
        <v>0.1064654563911792</v>
      </c>
      <c r="O27" s="82"/>
      <c r="P27" s="85"/>
      <c r="R27" s="85"/>
      <c r="S27" s="85"/>
      <c r="T27" s="85"/>
    </row>
    <row r="28" spans="1:20" s="95" customFormat="1" ht="15.75" thickBot="1" x14ac:dyDescent="0.35">
      <c r="A28" s="90" t="s">
        <v>35</v>
      </c>
      <c r="B28" s="91">
        <f t="shared" ref="B28:G28" si="4">+B26+B27</f>
        <v>3744102</v>
      </c>
      <c r="C28" s="91">
        <f t="shared" si="4"/>
        <v>4028640</v>
      </c>
      <c r="D28" s="91">
        <f t="shared" si="4"/>
        <v>4241740</v>
      </c>
      <c r="E28" s="91">
        <f t="shared" si="4"/>
        <v>3957512</v>
      </c>
      <c r="F28" s="91">
        <f t="shared" si="4"/>
        <v>5514960</v>
      </c>
      <c r="G28" s="91">
        <f t="shared" si="4"/>
        <v>6403741</v>
      </c>
      <c r="H28" s="200">
        <f>+H26+H27</f>
        <v>6545459</v>
      </c>
      <c r="I28" s="137">
        <f>+I26+I27</f>
        <v>7497156</v>
      </c>
      <c r="J28" s="137">
        <f>+J26+J27</f>
        <v>7507098</v>
      </c>
      <c r="K28" s="130">
        <f>(J28-I28)/I28</f>
        <v>1.3261028582038309E-3</v>
      </c>
      <c r="L28" s="137">
        <f>+L26+L27</f>
        <v>7507098</v>
      </c>
      <c r="M28" s="137">
        <f>+M26+M27</f>
        <v>8285171</v>
      </c>
      <c r="N28" s="130">
        <f t="shared" si="2"/>
        <v>0.10364497706037673</v>
      </c>
      <c r="O28" s="82"/>
      <c r="P28" s="85"/>
      <c r="R28" s="85"/>
      <c r="S28" s="85"/>
      <c r="T28" s="85"/>
    </row>
    <row r="29" spans="1:20" s="85" customFormat="1" x14ac:dyDescent="0.3">
      <c r="A29" s="88" t="s">
        <v>54</v>
      </c>
      <c r="B29" s="81">
        <v>435123458</v>
      </c>
      <c r="C29" s="81">
        <v>435123458</v>
      </c>
      <c r="D29" s="81">
        <v>435123458</v>
      </c>
      <c r="E29" s="81">
        <v>435123458</v>
      </c>
      <c r="F29" s="81">
        <v>435123458</v>
      </c>
      <c r="G29" s="81">
        <v>435123458</v>
      </c>
      <c r="H29" s="199">
        <f>435123458+25000000</f>
        <v>460123458</v>
      </c>
      <c r="I29" s="135">
        <f>435123458+25000000</f>
        <v>460123458</v>
      </c>
      <c r="J29" s="135">
        <f>435123458+25000000</f>
        <v>460123458</v>
      </c>
      <c r="K29" s="129"/>
      <c r="L29" s="135">
        <f>435123458+25000000</f>
        <v>460123458</v>
      </c>
      <c r="M29" s="135">
        <f>435123458+25000000</f>
        <v>460123458</v>
      </c>
      <c r="N29" s="129"/>
      <c r="O29" s="107"/>
    </row>
    <row r="30" spans="1:20" s="85" customFormat="1" x14ac:dyDescent="0.3">
      <c r="A30" s="88" t="s">
        <v>71</v>
      </c>
      <c r="B30" s="100">
        <f t="shared" ref="B30:J30" si="5">+B27/+(B29/1000000)</f>
        <v>8505.1102898708796</v>
      </c>
      <c r="C30" s="100">
        <f t="shared" si="5"/>
        <v>9113.2871075868297</v>
      </c>
      <c r="D30" s="100">
        <f t="shared" si="5"/>
        <v>9579.2560096817397</v>
      </c>
      <c r="E30" s="100">
        <f t="shared" si="5"/>
        <v>8902.3216946395933</v>
      </c>
      <c r="F30" s="100">
        <f t="shared" si="5"/>
        <v>12408.439261851976</v>
      </c>
      <c r="G30" s="100">
        <f t="shared" si="5"/>
        <v>14533.059258781675</v>
      </c>
      <c r="H30" s="208">
        <f t="shared" si="5"/>
        <v>14075.005060924323</v>
      </c>
      <c r="I30" s="165">
        <f t="shared" si="5"/>
        <v>16130.725071617626</v>
      </c>
      <c r="J30" s="165">
        <f t="shared" si="5"/>
        <v>16133.809026533047</v>
      </c>
      <c r="K30" s="129"/>
      <c r="L30" s="165">
        <f>+L27/+(L29/1000000)</f>
        <v>16133.809026533047</v>
      </c>
      <c r="M30" s="165">
        <f>+M27/+(M29/1000000)</f>
        <v>17851.502367871017</v>
      </c>
      <c r="N30" s="129"/>
      <c r="O30" s="107"/>
    </row>
    <row r="31" spans="1:20" s="85" customFormat="1" x14ac:dyDescent="0.3">
      <c r="A31" s="115"/>
      <c r="B31" s="115"/>
      <c r="C31" s="115"/>
      <c r="D31" s="115"/>
      <c r="E31" s="115"/>
      <c r="F31" s="81"/>
      <c r="G31" s="115"/>
      <c r="H31" s="100"/>
      <c r="I31" s="100"/>
      <c r="J31" s="100"/>
      <c r="K31" s="100"/>
      <c r="L31" s="82"/>
      <c r="N31" s="107"/>
    </row>
    <row r="32" spans="1:20" s="85" customFormat="1" x14ac:dyDescent="0.3">
      <c r="A32" s="115"/>
      <c r="B32" s="115"/>
      <c r="C32" s="115"/>
      <c r="D32" s="115"/>
      <c r="E32" s="115"/>
      <c r="F32" s="100"/>
      <c r="G32" s="115"/>
      <c r="H32" s="100"/>
      <c r="I32" s="100"/>
      <c r="J32" s="100"/>
      <c r="K32" s="100"/>
      <c r="L32" s="82"/>
      <c r="N32" s="107"/>
    </row>
    <row r="33" spans="1:26" ht="21" x14ac:dyDescent="0.35">
      <c r="A33" s="116" t="s">
        <v>92</v>
      </c>
      <c r="B33" s="116"/>
      <c r="C33" s="116"/>
      <c r="D33" s="116"/>
      <c r="E33" s="116"/>
      <c r="F33" s="116"/>
      <c r="G33" s="116"/>
      <c r="M33" s="75"/>
      <c r="N33" s="109"/>
      <c r="O33" s="76"/>
    </row>
    <row r="34" spans="1:26" ht="15.75" x14ac:dyDescent="0.3">
      <c r="A34" s="78" t="s">
        <v>138</v>
      </c>
      <c r="B34" s="78"/>
      <c r="C34" s="78"/>
      <c r="D34" s="78"/>
      <c r="E34" s="78"/>
      <c r="F34" s="78"/>
      <c r="G34" s="78"/>
      <c r="M34" s="75"/>
      <c r="N34" s="109"/>
      <c r="O34" s="76"/>
    </row>
    <row r="35" spans="1:26" x14ac:dyDescent="0.3">
      <c r="A35" s="79" t="s">
        <v>88</v>
      </c>
      <c r="B35" s="79"/>
      <c r="C35" s="79"/>
      <c r="D35" s="79"/>
      <c r="E35" s="79"/>
      <c r="F35" s="79"/>
      <c r="G35" s="79"/>
      <c r="M35" s="75"/>
      <c r="N35" s="109"/>
      <c r="O35" s="76"/>
    </row>
    <row r="36" spans="1:26" s="85" customFormat="1" x14ac:dyDescent="0.3">
      <c r="H36" s="81"/>
      <c r="I36" s="81"/>
      <c r="J36" s="81"/>
      <c r="K36" s="81"/>
      <c r="L36" s="82"/>
      <c r="N36" s="107"/>
    </row>
    <row r="37" spans="1:26" s="85" customFormat="1" ht="15.75" thickBot="1" x14ac:dyDescent="0.35">
      <c r="B37" s="156">
        <v>2005</v>
      </c>
      <c r="C37" s="156">
        <v>2006</v>
      </c>
      <c r="D37" s="156">
        <v>2007</v>
      </c>
      <c r="E37" s="156">
        <v>2008</v>
      </c>
      <c r="F37" s="156">
        <v>2009</v>
      </c>
      <c r="G37" s="156">
        <v>2010</v>
      </c>
      <c r="H37" s="198">
        <v>2011</v>
      </c>
      <c r="I37" s="156">
        <v>2012</v>
      </c>
      <c r="J37" s="210">
        <v>2013</v>
      </c>
      <c r="K37" s="145" t="s">
        <v>95</v>
      </c>
      <c r="L37" s="145" t="s">
        <v>124</v>
      </c>
      <c r="M37" s="145" t="s">
        <v>100</v>
      </c>
      <c r="N37" s="145" t="s">
        <v>127</v>
      </c>
      <c r="O37" s="145" t="s">
        <v>112</v>
      </c>
      <c r="P37" s="145" t="s">
        <v>132</v>
      </c>
      <c r="Q37" s="145" t="s">
        <v>120</v>
      </c>
      <c r="R37" s="145" t="s">
        <v>136</v>
      </c>
      <c r="S37" s="167" t="s">
        <v>46</v>
      </c>
      <c r="T37" s="145" t="s">
        <v>109</v>
      </c>
      <c r="U37" s="145" t="s">
        <v>128</v>
      </c>
      <c r="V37" s="167" t="s">
        <v>46</v>
      </c>
      <c r="X37" s="107"/>
    </row>
    <row r="38" spans="1:26" s="95" customFormat="1" x14ac:dyDescent="0.3">
      <c r="A38" s="85" t="s">
        <v>72</v>
      </c>
      <c r="B38" s="80">
        <v>158869</v>
      </c>
      <c r="C38" s="80">
        <v>163042</v>
      </c>
      <c r="D38" s="80">
        <v>231987</v>
      </c>
      <c r="E38" s="80">
        <v>268897</v>
      </c>
      <c r="F38" s="80">
        <v>212895</v>
      </c>
      <c r="G38" s="80">
        <v>239836</v>
      </c>
      <c r="H38" s="202">
        <v>223644</v>
      </c>
      <c r="I38" s="80">
        <v>312990</v>
      </c>
      <c r="J38" s="211">
        <v>344939</v>
      </c>
      <c r="K38" s="134">
        <v>77093</v>
      </c>
      <c r="L38" s="134">
        <v>78232</v>
      </c>
      <c r="M38" s="134">
        <v>88356</v>
      </c>
      <c r="N38" s="134">
        <v>74755</v>
      </c>
      <c r="O38" s="134">
        <v>91080</v>
      </c>
      <c r="P38" s="134">
        <v>84646</v>
      </c>
      <c r="Q38" s="134">
        <f>+T38-K38-M38-O38</f>
        <v>88410</v>
      </c>
      <c r="R38" s="134">
        <f>+U38-L38-N38-P38</f>
        <v>86251</v>
      </c>
      <c r="S38" s="129">
        <f>(R38-Q38)/Q38</f>
        <v>-2.4420314444067413E-2</v>
      </c>
      <c r="T38" s="134">
        <v>344939</v>
      </c>
      <c r="U38" s="134">
        <v>323884</v>
      </c>
      <c r="V38" s="129">
        <f>IF(T38&lt;&gt;0,(U38-T38)/T38,0)</f>
        <v>-6.1039778047712781E-2</v>
      </c>
      <c r="W38" s="169"/>
      <c r="X38" s="85"/>
      <c r="Y38" s="85"/>
      <c r="Z38" s="85"/>
    </row>
    <row r="39" spans="1:26" s="85" customFormat="1" x14ac:dyDescent="0.3">
      <c r="A39" s="85" t="s">
        <v>5</v>
      </c>
      <c r="B39" s="81">
        <v>17762</v>
      </c>
      <c r="C39" s="81">
        <v>56828</v>
      </c>
      <c r="D39" s="81">
        <v>2685</v>
      </c>
      <c r="E39" s="81">
        <v>2704</v>
      </c>
      <c r="F39" s="81">
        <v>0</v>
      </c>
      <c r="G39" s="81">
        <v>1579</v>
      </c>
      <c r="H39" s="199">
        <v>11024</v>
      </c>
      <c r="I39" s="81">
        <v>0</v>
      </c>
      <c r="J39" s="212">
        <v>-176</v>
      </c>
      <c r="K39" s="135">
        <v>0</v>
      </c>
      <c r="L39" s="135">
        <v>640</v>
      </c>
      <c r="M39" s="135">
        <v>-176</v>
      </c>
      <c r="N39" s="135">
        <v>0</v>
      </c>
      <c r="O39" s="135">
        <v>0</v>
      </c>
      <c r="P39" s="135">
        <v>0</v>
      </c>
      <c r="Q39" s="134">
        <f>+T39-K39-M39-O39</f>
        <v>0</v>
      </c>
      <c r="R39" s="134">
        <f t="shared" ref="R39:R48" si="6">+U39-L39-N39-P39</f>
        <v>0</v>
      </c>
      <c r="S39" s="129">
        <v>0</v>
      </c>
      <c r="T39" s="135">
        <v>-176</v>
      </c>
      <c r="U39" s="135">
        <v>640</v>
      </c>
      <c r="V39" s="129">
        <f t="shared" ref="V39:V44" si="7">IF(T39&lt;&gt;0,(U39-T39)/T39,0)</f>
        <v>-4.6363636363636367</v>
      </c>
      <c r="W39" s="169"/>
    </row>
    <row r="40" spans="1:26" s="95" customFormat="1" x14ac:dyDescent="0.3">
      <c r="A40" s="85" t="s">
        <v>57</v>
      </c>
      <c r="B40" s="81">
        <v>11795</v>
      </c>
      <c r="C40" s="81">
        <v>16684</v>
      </c>
      <c r="D40" s="81">
        <v>11678</v>
      </c>
      <c r="E40" s="81">
        <v>14746</v>
      </c>
      <c r="F40" s="81">
        <v>12979</v>
      </c>
      <c r="G40" s="81">
        <v>30953</v>
      </c>
      <c r="H40" s="199">
        <v>33432</v>
      </c>
      <c r="I40" s="81">
        <v>35105</v>
      </c>
      <c r="J40" s="212">
        <v>39426</v>
      </c>
      <c r="K40" s="135">
        <v>8803</v>
      </c>
      <c r="L40" s="135">
        <v>9622</v>
      </c>
      <c r="M40" s="135">
        <v>9861</v>
      </c>
      <c r="N40" s="135">
        <v>10926</v>
      </c>
      <c r="O40" s="135">
        <v>11140</v>
      </c>
      <c r="P40" s="135">
        <v>10926</v>
      </c>
      <c r="Q40" s="134">
        <f>+T40-K40-M40-O40</f>
        <v>9622</v>
      </c>
      <c r="R40" s="134">
        <f t="shared" si="6"/>
        <v>21476</v>
      </c>
      <c r="S40" s="129">
        <f t="shared" ref="S40:S49" si="8">(R40-Q40)/Q40</f>
        <v>1.231968405736853</v>
      </c>
      <c r="T40" s="135">
        <v>39426</v>
      </c>
      <c r="U40" s="135">
        <v>52950</v>
      </c>
      <c r="V40" s="129">
        <f t="shared" si="7"/>
        <v>0.34302237102419725</v>
      </c>
      <c r="W40" s="169"/>
      <c r="X40" s="85"/>
      <c r="Y40" s="85"/>
      <c r="Z40" s="85"/>
    </row>
    <row r="41" spans="1:26" s="95" customFormat="1" x14ac:dyDescent="0.3">
      <c r="A41" s="85" t="s">
        <v>56</v>
      </c>
      <c r="B41" s="81">
        <v>2490</v>
      </c>
      <c r="C41" s="81">
        <v>7447</v>
      </c>
      <c r="D41" s="81">
        <v>5519</v>
      </c>
      <c r="E41" s="81">
        <v>13179</v>
      </c>
      <c r="F41" s="81">
        <v>10094</v>
      </c>
      <c r="G41" s="81">
        <v>13131</v>
      </c>
      <c r="H41" s="199">
        <v>7221</v>
      </c>
      <c r="I41" s="81">
        <v>8379</v>
      </c>
      <c r="J41" s="212">
        <v>14465</v>
      </c>
      <c r="K41" s="135">
        <v>2650</v>
      </c>
      <c r="L41" s="135">
        <v>3254</v>
      </c>
      <c r="M41" s="135">
        <v>2920</v>
      </c>
      <c r="N41" s="135">
        <v>3379</v>
      </c>
      <c r="O41" s="135">
        <v>3537</v>
      </c>
      <c r="P41" s="135">
        <v>2644</v>
      </c>
      <c r="Q41" s="134">
        <f>+T41-K41-M41-O41</f>
        <v>5358</v>
      </c>
      <c r="R41" s="134">
        <f t="shared" si="6"/>
        <v>7820</v>
      </c>
      <c r="S41" s="129">
        <f t="shared" si="8"/>
        <v>0.45949981336319523</v>
      </c>
      <c r="T41" s="135">
        <v>14465</v>
      </c>
      <c r="U41" s="135">
        <v>17097</v>
      </c>
      <c r="V41" s="129">
        <f t="shared" si="7"/>
        <v>0.18195644659522986</v>
      </c>
      <c r="W41" s="169"/>
      <c r="X41" s="85"/>
      <c r="Y41" s="85"/>
      <c r="Z41" s="85"/>
    </row>
    <row r="42" spans="1:26" s="95" customFormat="1" x14ac:dyDescent="0.3">
      <c r="A42" s="95" t="s">
        <v>4</v>
      </c>
      <c r="B42" s="80">
        <f t="shared" ref="B42:G42" si="9">SUM(B38:B41)</f>
        <v>190916</v>
      </c>
      <c r="C42" s="80">
        <f t="shared" si="9"/>
        <v>244001</v>
      </c>
      <c r="D42" s="80">
        <f t="shared" si="9"/>
        <v>251869</v>
      </c>
      <c r="E42" s="80">
        <f>SUM(E38:E41)</f>
        <v>299526</v>
      </c>
      <c r="F42" s="80">
        <f t="shared" si="9"/>
        <v>235968</v>
      </c>
      <c r="G42" s="80">
        <f t="shared" si="9"/>
        <v>285499</v>
      </c>
      <c r="H42" s="202">
        <f>SUM(H38:H41)</f>
        <v>275321</v>
      </c>
      <c r="I42" s="80">
        <f>SUM(I38:I41)</f>
        <v>356474</v>
      </c>
      <c r="J42" s="211">
        <f t="shared" ref="J42:P42" si="10">SUM(J38:J41)</f>
        <v>398654</v>
      </c>
      <c r="K42" s="134">
        <f t="shared" si="10"/>
        <v>88546</v>
      </c>
      <c r="L42" s="134">
        <f t="shared" si="10"/>
        <v>91748</v>
      </c>
      <c r="M42" s="134">
        <f t="shared" si="10"/>
        <v>100961</v>
      </c>
      <c r="N42" s="134">
        <f t="shared" si="10"/>
        <v>89060</v>
      </c>
      <c r="O42" s="134">
        <f t="shared" si="10"/>
        <v>105757</v>
      </c>
      <c r="P42" s="134">
        <f t="shared" si="10"/>
        <v>98216</v>
      </c>
      <c r="Q42" s="134">
        <f>SUM(Q38:Q41)</f>
        <v>103390</v>
      </c>
      <c r="R42" s="134">
        <f>SUM(R38:R41)</f>
        <v>115547</v>
      </c>
      <c r="S42" s="129">
        <f t="shared" si="8"/>
        <v>0.11758390560015475</v>
      </c>
      <c r="T42" s="134">
        <f>SUM(T38:T41)</f>
        <v>398654</v>
      </c>
      <c r="U42" s="134">
        <f>SUM(U38:U41)</f>
        <v>394571</v>
      </c>
      <c r="V42" s="129">
        <f t="shared" si="7"/>
        <v>-1.0241964209565187E-2</v>
      </c>
      <c r="W42" s="169"/>
      <c r="X42" s="85"/>
      <c r="Y42" s="85"/>
      <c r="Z42" s="85"/>
    </row>
    <row r="43" spans="1:26" s="85" customFormat="1" x14ac:dyDescent="0.3">
      <c r="A43" s="85" t="s">
        <v>58</v>
      </c>
      <c r="B43" s="81">
        <v>-22106</v>
      </c>
      <c r="C43" s="81">
        <v>-41421</v>
      </c>
      <c r="D43" s="81">
        <v>-7188</v>
      </c>
      <c r="E43" s="81">
        <v>-8773</v>
      </c>
      <c r="F43" s="81">
        <v>-8740</v>
      </c>
      <c r="G43" s="81">
        <v>-11563</v>
      </c>
      <c r="H43" s="199">
        <v>-9004</v>
      </c>
      <c r="I43" s="81">
        <v>-10090</v>
      </c>
      <c r="J43" s="212">
        <v>-13551</v>
      </c>
      <c r="K43" s="135">
        <f>-2393-5938</f>
        <v>-8331</v>
      </c>
      <c r="L43" s="135">
        <v>-6805</v>
      </c>
      <c r="M43" s="135">
        <v>1646</v>
      </c>
      <c r="N43" s="135">
        <v>-6216</v>
      </c>
      <c r="O43" s="135">
        <v>-3043</v>
      </c>
      <c r="P43" s="135">
        <v>-6145</v>
      </c>
      <c r="Q43" s="134">
        <f>+T43-K43-M43-O43</f>
        <v>-3823</v>
      </c>
      <c r="R43" s="134">
        <f t="shared" si="6"/>
        <v>583</v>
      </c>
      <c r="S43" s="129">
        <f t="shared" si="8"/>
        <v>-1.1524980381899033</v>
      </c>
      <c r="T43" s="135">
        <v>-13551</v>
      </c>
      <c r="U43" s="135">
        <v>-18583</v>
      </c>
      <c r="V43" s="129">
        <f t="shared" si="7"/>
        <v>0.37133790864142868</v>
      </c>
      <c r="W43" s="169"/>
    </row>
    <row r="44" spans="1:26" s="95" customFormat="1" x14ac:dyDescent="0.3">
      <c r="A44" s="95" t="s">
        <v>42</v>
      </c>
      <c r="B44" s="80">
        <f t="shared" ref="B44:G44" si="11">SUM(B42:B43)</f>
        <v>168810</v>
      </c>
      <c r="C44" s="80">
        <f t="shared" si="11"/>
        <v>202580</v>
      </c>
      <c r="D44" s="80">
        <f t="shared" si="11"/>
        <v>244681</v>
      </c>
      <c r="E44" s="80">
        <f t="shared" si="11"/>
        <v>290753</v>
      </c>
      <c r="F44" s="80">
        <f t="shared" si="11"/>
        <v>227228</v>
      </c>
      <c r="G44" s="80">
        <f t="shared" si="11"/>
        <v>273936</v>
      </c>
      <c r="H44" s="202">
        <f>SUM(H42:H43)</f>
        <v>266317</v>
      </c>
      <c r="I44" s="80">
        <f>SUM(I42:I43)</f>
        <v>346384</v>
      </c>
      <c r="J44" s="211">
        <f t="shared" ref="J44:P44" si="12">SUM(J42:J43)</f>
        <v>385103</v>
      </c>
      <c r="K44" s="134">
        <f t="shared" si="12"/>
        <v>80215</v>
      </c>
      <c r="L44" s="134">
        <f t="shared" si="12"/>
        <v>84943</v>
      </c>
      <c r="M44" s="134">
        <f t="shared" si="12"/>
        <v>102607</v>
      </c>
      <c r="N44" s="134">
        <f t="shared" si="12"/>
        <v>82844</v>
      </c>
      <c r="O44" s="134">
        <f t="shared" si="12"/>
        <v>102714</v>
      </c>
      <c r="P44" s="134">
        <f t="shared" si="12"/>
        <v>92071</v>
      </c>
      <c r="Q44" s="134">
        <f>SUM(Q42:Q43)</f>
        <v>99567</v>
      </c>
      <c r="R44" s="134">
        <f>SUM(R42:R43)</f>
        <v>116130</v>
      </c>
      <c r="S44" s="129">
        <f t="shared" si="8"/>
        <v>0.1663502967850794</v>
      </c>
      <c r="T44" s="134">
        <f>SUM(T42:T43)</f>
        <v>385103</v>
      </c>
      <c r="U44" s="134">
        <f>SUM(U42:U43)</f>
        <v>375988</v>
      </c>
      <c r="V44" s="129">
        <f t="shared" si="7"/>
        <v>-2.3668992451370153E-2</v>
      </c>
      <c r="W44" s="169"/>
      <c r="X44" s="85"/>
      <c r="Y44" s="85"/>
      <c r="Z44" s="85"/>
    </row>
    <row r="45" spans="1:26" s="95" customFormat="1" x14ac:dyDescent="0.3">
      <c r="A45" s="85" t="s">
        <v>10</v>
      </c>
      <c r="B45" s="81">
        <v>4490</v>
      </c>
      <c r="C45" s="81">
        <v>8391</v>
      </c>
      <c r="D45" s="81">
        <v>80</v>
      </c>
      <c r="E45" s="81">
        <v>960</v>
      </c>
      <c r="F45" s="81">
        <v>214</v>
      </c>
      <c r="G45" s="81">
        <v>7839</v>
      </c>
      <c r="H45" s="199">
        <v>814</v>
      </c>
      <c r="I45" s="81">
        <v>851</v>
      </c>
      <c r="J45" s="212">
        <v>203</v>
      </c>
      <c r="K45" s="135">
        <v>61</v>
      </c>
      <c r="L45" s="135">
        <v>7</v>
      </c>
      <c r="M45" s="135">
        <v>51</v>
      </c>
      <c r="N45" s="135">
        <v>1655</v>
      </c>
      <c r="O45" s="135">
        <v>130</v>
      </c>
      <c r="P45" s="135">
        <v>24</v>
      </c>
      <c r="Q45" s="134">
        <f>+T45-K45-M45-O45</f>
        <v>-39</v>
      </c>
      <c r="R45" s="134">
        <f t="shared" si="6"/>
        <v>28</v>
      </c>
      <c r="S45" s="197">
        <f t="shared" si="8"/>
        <v>-1.7179487179487178</v>
      </c>
      <c r="T45" s="135">
        <v>203</v>
      </c>
      <c r="U45" s="135">
        <v>1714</v>
      </c>
      <c r="V45" s="197" t="s">
        <v>131</v>
      </c>
      <c r="W45" s="169"/>
      <c r="X45" s="85"/>
      <c r="Y45" s="85"/>
      <c r="Z45" s="85"/>
    </row>
    <row r="46" spans="1:26" s="85" customFormat="1" x14ac:dyDescent="0.3">
      <c r="A46" s="85" t="s">
        <v>13</v>
      </c>
      <c r="B46" s="81">
        <v>-388</v>
      </c>
      <c r="C46" s="81">
        <v>-60</v>
      </c>
      <c r="D46" s="81">
        <v>-279</v>
      </c>
      <c r="E46" s="81">
        <v>-633</v>
      </c>
      <c r="F46" s="81">
        <v>-1741</v>
      </c>
      <c r="G46" s="81">
        <v>-1496</v>
      </c>
      <c r="H46" s="199">
        <v>-11022</v>
      </c>
      <c r="I46" s="81">
        <v>-1390</v>
      </c>
      <c r="J46" s="212">
        <v>-2974</v>
      </c>
      <c r="K46" s="135">
        <v>-127</v>
      </c>
      <c r="L46" s="135">
        <v>-10</v>
      </c>
      <c r="M46" s="135">
        <v>-2839</v>
      </c>
      <c r="N46" s="135">
        <v>-8</v>
      </c>
      <c r="O46" s="135">
        <v>-18</v>
      </c>
      <c r="P46" s="135">
        <v>0</v>
      </c>
      <c r="Q46" s="134">
        <f>+T46-K46-M46-O46</f>
        <v>10</v>
      </c>
      <c r="R46" s="134">
        <f t="shared" si="6"/>
        <v>-10</v>
      </c>
      <c r="S46" s="129">
        <f t="shared" si="8"/>
        <v>-2</v>
      </c>
      <c r="T46" s="135">
        <v>-2974</v>
      </c>
      <c r="U46" s="135">
        <v>-28</v>
      </c>
      <c r="V46" s="129">
        <f>IF(T46&lt;&gt;0,(U46-T46)/T46,0)</f>
        <v>-0.99058507061197043</v>
      </c>
      <c r="W46" s="169"/>
    </row>
    <row r="47" spans="1:26" s="95" customFormat="1" x14ac:dyDescent="0.3">
      <c r="A47" s="95" t="s">
        <v>43</v>
      </c>
      <c r="B47" s="80">
        <f t="shared" ref="B47:G47" si="13">SUM(B44:B46)</f>
        <v>172912</v>
      </c>
      <c r="C47" s="80">
        <f t="shared" si="13"/>
        <v>210911</v>
      </c>
      <c r="D47" s="80">
        <f t="shared" si="13"/>
        <v>244482</v>
      </c>
      <c r="E47" s="80">
        <f t="shared" si="13"/>
        <v>291080</v>
      </c>
      <c r="F47" s="80">
        <f t="shared" si="13"/>
        <v>225701</v>
      </c>
      <c r="G47" s="80">
        <f t="shared" si="13"/>
        <v>280279</v>
      </c>
      <c r="H47" s="202">
        <f>SUM(H44:H46)</f>
        <v>256109</v>
      </c>
      <c r="I47" s="80">
        <f>SUM(I44:I46)</f>
        <v>345845</v>
      </c>
      <c r="J47" s="211">
        <f t="shared" ref="J47:P47" si="14">SUM(J44:J46)</f>
        <v>382332</v>
      </c>
      <c r="K47" s="134">
        <f t="shared" si="14"/>
        <v>80149</v>
      </c>
      <c r="L47" s="134">
        <f t="shared" si="14"/>
        <v>84940</v>
      </c>
      <c r="M47" s="134">
        <f t="shared" si="14"/>
        <v>99819</v>
      </c>
      <c r="N47" s="134">
        <f t="shared" si="14"/>
        <v>84491</v>
      </c>
      <c r="O47" s="134">
        <f t="shared" si="14"/>
        <v>102826</v>
      </c>
      <c r="P47" s="134">
        <f t="shared" si="14"/>
        <v>92095</v>
      </c>
      <c r="Q47" s="134">
        <f>SUM(Q44:Q46)</f>
        <v>99538</v>
      </c>
      <c r="R47" s="134">
        <f>SUM(R44:R46)</f>
        <v>116148</v>
      </c>
      <c r="S47" s="129">
        <f t="shared" si="8"/>
        <v>0.166870943760172</v>
      </c>
      <c r="T47" s="134">
        <f>SUM(T44:T46)</f>
        <v>382332</v>
      </c>
      <c r="U47" s="134">
        <f>SUM(U44:U46)</f>
        <v>377674</v>
      </c>
      <c r="V47" s="129">
        <f>IF(T47&lt;&gt;0,(U47-T47)/T47,0)</f>
        <v>-1.2183128799054225E-2</v>
      </c>
      <c r="W47" s="169"/>
      <c r="X47" s="85"/>
      <c r="Y47" s="85"/>
      <c r="Z47" s="85"/>
    </row>
    <row r="48" spans="1:26" s="85" customFormat="1" x14ac:dyDescent="0.3">
      <c r="A48" s="85" t="s">
        <v>15</v>
      </c>
      <c r="B48" s="81">
        <v>-3501</v>
      </c>
      <c r="C48" s="81">
        <v>-214</v>
      </c>
      <c r="D48" s="81">
        <v>-190</v>
      </c>
      <c r="E48" s="81">
        <v>-74</v>
      </c>
      <c r="F48" s="81">
        <v>-205</v>
      </c>
      <c r="G48" s="81">
        <v>-1876</v>
      </c>
      <c r="H48" s="199">
        <v>-127</v>
      </c>
      <c r="I48" s="81">
        <v>-361</v>
      </c>
      <c r="J48" s="212">
        <v>-2436</v>
      </c>
      <c r="K48" s="135">
        <v>-2289</v>
      </c>
      <c r="L48" s="135">
        <v>-54</v>
      </c>
      <c r="M48" s="135">
        <v>911</v>
      </c>
      <c r="N48" s="135">
        <v>-26</v>
      </c>
      <c r="O48" s="135">
        <v>-496</v>
      </c>
      <c r="P48" s="135">
        <v>-27</v>
      </c>
      <c r="Q48" s="134">
        <f>+T48-K48-M48-O48</f>
        <v>-562</v>
      </c>
      <c r="R48" s="134">
        <f t="shared" si="6"/>
        <v>-114</v>
      </c>
      <c r="S48" s="129">
        <f t="shared" si="8"/>
        <v>-0.79715302491103202</v>
      </c>
      <c r="T48" s="135">
        <v>-2436</v>
      </c>
      <c r="U48" s="135">
        <v>-221</v>
      </c>
      <c r="V48" s="129">
        <f>IF(T48&lt;&gt;0,(U48-T48)/T48,0)</f>
        <v>-0.90927750410509034</v>
      </c>
      <c r="W48" s="169"/>
    </row>
    <row r="49" spans="1:23" s="85" customFormat="1" ht="15.75" thickBot="1" x14ac:dyDescent="0.35">
      <c r="A49" s="102" t="s">
        <v>17</v>
      </c>
      <c r="B49" s="103">
        <f t="shared" ref="B49:G49" si="15">SUM(B47:B48)</f>
        <v>169411</v>
      </c>
      <c r="C49" s="103">
        <f t="shared" si="15"/>
        <v>210697</v>
      </c>
      <c r="D49" s="103">
        <f t="shared" si="15"/>
        <v>244292</v>
      </c>
      <c r="E49" s="103">
        <f t="shared" si="15"/>
        <v>291006</v>
      </c>
      <c r="F49" s="103">
        <f t="shared" si="15"/>
        <v>225496</v>
      </c>
      <c r="G49" s="103">
        <f t="shared" si="15"/>
        <v>278403</v>
      </c>
      <c r="H49" s="209">
        <f>SUM(H47:H48)</f>
        <v>255982</v>
      </c>
      <c r="I49" s="103">
        <f>SUM(I47:I48)</f>
        <v>345484</v>
      </c>
      <c r="J49" s="213">
        <f t="shared" ref="J49:P49" si="16">SUM(J47:J48)</f>
        <v>379896</v>
      </c>
      <c r="K49" s="166">
        <f t="shared" si="16"/>
        <v>77860</v>
      </c>
      <c r="L49" s="166">
        <f t="shared" si="16"/>
        <v>84886</v>
      </c>
      <c r="M49" s="166">
        <f t="shared" si="16"/>
        <v>100730</v>
      </c>
      <c r="N49" s="166">
        <f t="shared" si="16"/>
        <v>84465</v>
      </c>
      <c r="O49" s="166">
        <f t="shared" si="16"/>
        <v>102330</v>
      </c>
      <c r="P49" s="166">
        <f t="shared" si="16"/>
        <v>92068</v>
      </c>
      <c r="Q49" s="166">
        <f>SUM(Q47:Q48)</f>
        <v>98976</v>
      </c>
      <c r="R49" s="166">
        <f>SUM(R47:R48)</f>
        <v>116034</v>
      </c>
      <c r="S49" s="130">
        <f t="shared" si="8"/>
        <v>0.17234481086323958</v>
      </c>
      <c r="T49" s="166">
        <f>SUM(T47:T48)</f>
        <v>379896</v>
      </c>
      <c r="U49" s="166">
        <f>SUM(U47:U48)</f>
        <v>377453</v>
      </c>
      <c r="V49" s="130">
        <f>IF(T49&lt;&gt;0,(U49-T49)/T49,0)</f>
        <v>-6.4307073514856695E-3</v>
      </c>
      <c r="W49" s="169"/>
    </row>
    <row r="50" spans="1:23" s="85" customFormat="1" x14ac:dyDescent="0.3">
      <c r="C50" s="80"/>
      <c r="H50" s="81"/>
      <c r="I50" s="81"/>
      <c r="J50" s="81"/>
      <c r="K50" s="81"/>
      <c r="L50" s="82"/>
    </row>
    <row r="51" spans="1:23" s="85" customFormat="1" x14ac:dyDescent="0.3">
      <c r="A51" s="85" t="s">
        <v>53</v>
      </c>
      <c r="C51" s="81"/>
      <c r="H51" s="81"/>
      <c r="I51" s="81"/>
      <c r="J51" s="81"/>
      <c r="K51" s="81"/>
      <c r="L51" s="82"/>
    </row>
    <row r="52" spans="1:23" s="85" customFormat="1" x14ac:dyDescent="0.3">
      <c r="C52" s="81"/>
      <c r="E52" s="80"/>
      <c r="H52" s="81"/>
      <c r="I52" s="81"/>
      <c r="J52" s="81"/>
      <c r="K52" s="81"/>
      <c r="L52" s="82"/>
    </row>
    <row r="53" spans="1:23" s="85" customFormat="1" x14ac:dyDescent="0.3">
      <c r="C53" s="81"/>
      <c r="E53" s="81"/>
      <c r="H53" s="81"/>
      <c r="I53" s="81"/>
      <c r="J53" s="81"/>
      <c r="K53" s="81"/>
      <c r="L53" s="82"/>
    </row>
    <row r="54" spans="1:23" s="85" customFormat="1" x14ac:dyDescent="0.3">
      <c r="C54" s="80"/>
      <c r="E54" s="81"/>
      <c r="H54" s="81"/>
      <c r="I54" s="81"/>
      <c r="J54" s="81"/>
      <c r="K54" s="81"/>
      <c r="L54" s="82"/>
    </row>
    <row r="55" spans="1:23" s="85" customFormat="1" x14ac:dyDescent="0.3">
      <c r="C55" s="81"/>
      <c r="E55" s="81"/>
      <c r="H55" s="81"/>
      <c r="I55" s="81"/>
      <c r="J55" s="81"/>
      <c r="K55" s="81"/>
      <c r="L55" s="82"/>
    </row>
    <row r="56" spans="1:23" x14ac:dyDescent="0.3">
      <c r="C56" s="80"/>
      <c r="E56" s="80"/>
    </row>
    <row r="57" spans="1:23" x14ac:dyDescent="0.3">
      <c r="C57" s="81"/>
      <c r="E57" s="81"/>
    </row>
    <row r="58" spans="1:23" x14ac:dyDescent="0.3">
      <c r="C58" s="81"/>
      <c r="E58" s="80"/>
    </row>
  </sheetData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AB82"/>
  <sheetViews>
    <sheetView topLeftCell="A2" workbookViewId="0">
      <selection activeCell="A25" sqref="A25"/>
    </sheetView>
  </sheetViews>
  <sheetFormatPr baseColWidth="10" defaultColWidth="11.42578125" defaultRowHeight="15" x14ac:dyDescent="0.3"/>
  <cols>
    <col min="1" max="1" width="32.140625" style="73" customWidth="1"/>
    <col min="2" max="4" width="10.42578125" style="73" bestFit="1" customWidth="1"/>
    <col min="5" max="7" width="11.140625" style="73" bestFit="1" customWidth="1"/>
    <col min="8" max="9" width="11.140625" style="74" bestFit="1" customWidth="1"/>
    <col min="10" max="10" width="11.5703125" style="74" bestFit="1" customWidth="1"/>
    <col min="11" max="11" width="11.140625" style="74" bestFit="1" customWidth="1"/>
    <col min="12" max="12" width="11.5703125" style="75" bestFit="1" customWidth="1"/>
    <col min="13" max="13" width="11.7109375" style="75" customWidth="1"/>
    <col min="14" max="14" width="10.42578125" style="76" bestFit="1" customWidth="1"/>
    <col min="15" max="15" width="11.140625" style="76" bestFit="1" customWidth="1"/>
    <col min="16" max="16" width="10.28515625" style="73" bestFit="1" customWidth="1"/>
    <col min="17" max="17" width="10.28515625" style="73" customWidth="1"/>
    <col min="18" max="16384" width="11.42578125" style="73"/>
  </cols>
  <sheetData>
    <row r="6" spans="1:21" ht="21" x14ac:dyDescent="0.35">
      <c r="A6" s="116" t="s">
        <v>40</v>
      </c>
      <c r="B6" s="116"/>
      <c r="C6" s="116"/>
      <c r="D6" s="116"/>
      <c r="E6" s="116"/>
      <c r="F6" s="116"/>
      <c r="G6" s="116"/>
    </row>
    <row r="7" spans="1:21" ht="15.75" x14ac:dyDescent="0.3">
      <c r="A7" s="78" t="s">
        <v>135</v>
      </c>
      <c r="B7" s="78"/>
      <c r="C7" s="78"/>
      <c r="D7" s="78"/>
      <c r="E7" s="78"/>
      <c r="F7" s="78"/>
      <c r="G7" s="78"/>
    </row>
    <row r="8" spans="1:21" x14ac:dyDescent="0.3">
      <c r="A8" s="79" t="s">
        <v>88</v>
      </c>
      <c r="B8" s="79"/>
      <c r="C8" s="79"/>
      <c r="D8" s="79"/>
      <c r="E8" s="79"/>
      <c r="F8" s="79"/>
      <c r="G8" s="79"/>
    </row>
    <row r="9" spans="1:21" s="85" customFormat="1" x14ac:dyDescent="0.3">
      <c r="H9" s="81"/>
      <c r="I9" s="81"/>
      <c r="J9" s="81"/>
      <c r="K9" s="81"/>
      <c r="L9" s="82"/>
      <c r="M9" s="82"/>
      <c r="N9" s="83"/>
      <c r="O9" s="83"/>
      <c r="P9" s="84"/>
      <c r="Q9" s="84"/>
      <c r="R9" s="84"/>
      <c r="S9" s="84"/>
      <c r="T9" s="84"/>
    </row>
    <row r="10" spans="1:21" s="85" customFormat="1" ht="15.75" thickBot="1" x14ac:dyDescent="0.35">
      <c r="A10" s="152" t="s">
        <v>20</v>
      </c>
      <c r="B10" s="144">
        <v>2005</v>
      </c>
      <c r="C10" s="144">
        <v>2006</v>
      </c>
      <c r="D10" s="144">
        <v>2007</v>
      </c>
      <c r="E10" s="144">
        <v>2008</v>
      </c>
      <c r="F10" s="144">
        <v>2009</v>
      </c>
      <c r="G10" s="144">
        <v>2010</v>
      </c>
      <c r="H10" s="198">
        <v>2011</v>
      </c>
      <c r="I10" s="145">
        <v>2012</v>
      </c>
      <c r="J10" s="145">
        <v>2013</v>
      </c>
      <c r="K10" s="146" t="s">
        <v>46</v>
      </c>
      <c r="L10" s="145">
        <v>2013</v>
      </c>
      <c r="M10" s="145">
        <v>2014</v>
      </c>
      <c r="N10" s="146" t="s">
        <v>46</v>
      </c>
      <c r="O10" s="83"/>
      <c r="P10" s="83"/>
      <c r="Q10" s="83"/>
      <c r="R10" s="106"/>
      <c r="S10" s="84"/>
      <c r="T10" s="84"/>
      <c r="U10" s="84"/>
    </row>
    <row r="11" spans="1:21" s="85" customFormat="1" x14ac:dyDescent="0.3">
      <c r="A11" s="153" t="s">
        <v>21</v>
      </c>
      <c r="B11" s="81">
        <v>121469</v>
      </c>
      <c r="C11" s="81">
        <v>147021</v>
      </c>
      <c r="D11" s="81">
        <v>141066</v>
      </c>
      <c r="E11" s="81">
        <v>200123</v>
      </c>
      <c r="F11" s="81">
        <v>152572</v>
      </c>
      <c r="G11" s="81">
        <v>133389</v>
      </c>
      <c r="H11" s="199">
        <v>193087</v>
      </c>
      <c r="I11" s="117">
        <v>291812</v>
      </c>
      <c r="J11" s="117">
        <v>415478</v>
      </c>
      <c r="K11" s="129">
        <f t="shared" ref="K11:K20" si="0">+(J11-I11)/I11</f>
        <v>0.42378654750318701</v>
      </c>
      <c r="L11" s="117">
        <v>415478</v>
      </c>
      <c r="M11" s="117">
        <v>374060</v>
      </c>
      <c r="N11" s="129">
        <f>+(M11-L11)/L11</f>
        <v>-9.9687588753195111E-2</v>
      </c>
      <c r="O11" s="83"/>
      <c r="P11" s="83"/>
      <c r="Q11" s="83"/>
      <c r="R11" s="108"/>
      <c r="S11" s="84"/>
      <c r="T11" s="84"/>
      <c r="U11" s="84"/>
    </row>
    <row r="12" spans="1:21" s="85" customFormat="1" x14ac:dyDescent="0.3">
      <c r="A12" s="153" t="s">
        <v>22</v>
      </c>
      <c r="B12" s="81">
        <v>328742</v>
      </c>
      <c r="C12" s="81">
        <v>323226</v>
      </c>
      <c r="D12" s="81">
        <v>322254</v>
      </c>
      <c r="E12" s="81">
        <v>299414</v>
      </c>
      <c r="F12" s="81">
        <v>335272</v>
      </c>
      <c r="G12" s="81">
        <v>330481</v>
      </c>
      <c r="H12" s="199">
        <v>329071</v>
      </c>
      <c r="I12" s="117">
        <v>330090</v>
      </c>
      <c r="J12" s="117">
        <v>357830</v>
      </c>
      <c r="K12" s="129">
        <f t="shared" si="0"/>
        <v>8.4037686691508379E-2</v>
      </c>
      <c r="L12" s="117">
        <v>357830</v>
      </c>
      <c r="M12" s="117">
        <v>380790</v>
      </c>
      <c r="N12" s="129">
        <f t="shared" ref="N12:N19" si="1">+(M12-L12)/L12</f>
        <v>6.4164547410781661E-2</v>
      </c>
      <c r="O12" s="170"/>
      <c r="P12" s="83"/>
      <c r="Q12" s="83"/>
      <c r="R12" s="106"/>
      <c r="S12" s="84"/>
      <c r="T12" s="84"/>
      <c r="U12" s="84"/>
    </row>
    <row r="13" spans="1:21" s="85" customFormat="1" x14ac:dyDescent="0.3">
      <c r="A13" s="153" t="s">
        <v>23</v>
      </c>
      <c r="B13" s="81">
        <v>292269</v>
      </c>
      <c r="C13" s="81">
        <v>381730</v>
      </c>
      <c r="D13" s="81">
        <v>426683</v>
      </c>
      <c r="E13" s="81">
        <v>656631</v>
      </c>
      <c r="F13" s="81">
        <v>523529</v>
      </c>
      <c r="G13" s="81">
        <v>586256</v>
      </c>
      <c r="H13" s="199">
        <v>650631</v>
      </c>
      <c r="I13" s="117">
        <v>681860</v>
      </c>
      <c r="J13" s="117">
        <v>857299</v>
      </c>
      <c r="K13" s="129">
        <f t="shared" si="0"/>
        <v>0.25729475258850792</v>
      </c>
      <c r="L13" s="117">
        <v>857299</v>
      </c>
      <c r="M13" s="117">
        <v>939981</v>
      </c>
      <c r="N13" s="129">
        <f t="shared" si="1"/>
        <v>9.6444764312101139E-2</v>
      </c>
      <c r="O13" s="83"/>
      <c r="P13" s="83"/>
      <c r="Q13" s="83"/>
      <c r="R13" s="106"/>
      <c r="S13" s="84"/>
      <c r="T13" s="84"/>
      <c r="U13" s="84"/>
    </row>
    <row r="14" spans="1:21" s="85" customFormat="1" x14ac:dyDescent="0.3">
      <c r="A14" s="153" t="s">
        <v>36</v>
      </c>
      <c r="B14" s="81">
        <v>274553</v>
      </c>
      <c r="C14" s="81">
        <v>371699</v>
      </c>
      <c r="D14" s="81">
        <v>434839</v>
      </c>
      <c r="E14" s="81">
        <v>528465</v>
      </c>
      <c r="F14" s="81">
        <v>494120</v>
      </c>
      <c r="G14" s="81">
        <v>553016</v>
      </c>
      <c r="H14" s="199">
        <v>601866</v>
      </c>
      <c r="I14" s="117">
        <v>555796</v>
      </c>
      <c r="J14" s="117">
        <v>725323</v>
      </c>
      <c r="K14" s="129">
        <f t="shared" si="0"/>
        <v>0.30501658882035854</v>
      </c>
      <c r="L14" s="117">
        <v>725323</v>
      </c>
      <c r="M14" s="117">
        <v>865567</v>
      </c>
      <c r="N14" s="129">
        <f t="shared" si="1"/>
        <v>0.19335385752278639</v>
      </c>
      <c r="O14" s="83"/>
      <c r="P14" s="83"/>
      <c r="Q14" s="83"/>
      <c r="R14" s="106"/>
      <c r="S14" s="84"/>
      <c r="T14" s="84"/>
      <c r="U14" s="84"/>
    </row>
    <row r="15" spans="1:21" s="85" customFormat="1" x14ac:dyDescent="0.3">
      <c r="A15" s="153" t="s">
        <v>60</v>
      </c>
      <c r="B15" s="81">
        <v>456824</v>
      </c>
      <c r="C15" s="81">
        <v>561031</v>
      </c>
      <c r="D15" s="81">
        <v>653908</v>
      </c>
      <c r="E15" s="81">
        <v>767527</v>
      </c>
      <c r="F15" s="81">
        <v>977261</v>
      </c>
      <c r="G15" s="81">
        <v>988793</v>
      </c>
      <c r="H15" s="199">
        <v>1009855</v>
      </c>
      <c r="I15" s="117">
        <v>1135785</v>
      </c>
      <c r="J15" s="117">
        <v>1456074</v>
      </c>
      <c r="K15" s="129">
        <f t="shared" si="0"/>
        <v>0.28199791333747143</v>
      </c>
      <c r="L15" s="117">
        <v>1456074</v>
      </c>
      <c r="M15" s="117">
        <v>1625659</v>
      </c>
      <c r="N15" s="129">
        <f t="shared" si="1"/>
        <v>0.11646729493143892</v>
      </c>
      <c r="O15" s="83"/>
      <c r="P15" s="83"/>
      <c r="Q15" s="83"/>
      <c r="R15" s="106"/>
      <c r="S15" s="84"/>
      <c r="T15" s="84"/>
      <c r="U15" s="84"/>
    </row>
    <row r="16" spans="1:21" s="85" customFormat="1" x14ac:dyDescent="0.3">
      <c r="A16" s="153" t="s">
        <v>47</v>
      </c>
      <c r="B16" s="81">
        <v>63266</v>
      </c>
      <c r="C16" s="81">
        <v>621440</v>
      </c>
      <c r="D16" s="81">
        <v>564218</v>
      </c>
      <c r="E16" s="81">
        <v>543336</v>
      </c>
      <c r="F16" s="81">
        <v>748013</v>
      </c>
      <c r="G16" s="81">
        <v>853564</v>
      </c>
      <c r="H16" s="199">
        <v>900384</v>
      </c>
      <c r="I16" s="117">
        <v>1025441</v>
      </c>
      <c r="J16" s="117">
        <v>2038332</v>
      </c>
      <c r="K16" s="129">
        <f t="shared" si="0"/>
        <v>0.9877613631598503</v>
      </c>
      <c r="L16" s="117">
        <v>2038332</v>
      </c>
      <c r="M16" s="117">
        <v>2054699</v>
      </c>
      <c r="N16" s="129">
        <f t="shared" si="1"/>
        <v>8.029604598269565E-3</v>
      </c>
      <c r="O16" s="83"/>
      <c r="P16" s="83"/>
      <c r="Q16" s="83"/>
      <c r="R16" s="106"/>
      <c r="S16" s="84"/>
      <c r="T16" s="84"/>
      <c r="U16" s="84"/>
    </row>
    <row r="17" spans="1:21" s="85" customFormat="1" x14ac:dyDescent="0.3">
      <c r="A17" s="153" t="s">
        <v>24</v>
      </c>
      <c r="B17" s="81">
        <v>12635</v>
      </c>
      <c r="C17" s="81">
        <v>23420</v>
      </c>
      <c r="D17" s="81">
        <v>57260</v>
      </c>
      <c r="E17" s="81">
        <v>28175</v>
      </c>
      <c r="F17" s="81">
        <v>79348</v>
      </c>
      <c r="G17" s="81">
        <v>67002</v>
      </c>
      <c r="H17" s="199">
        <v>130401</v>
      </c>
      <c r="I17" s="117">
        <v>57452</v>
      </c>
      <c r="J17" s="117">
        <v>101223</v>
      </c>
      <c r="K17" s="129">
        <f t="shared" si="0"/>
        <v>0.76187077908514933</v>
      </c>
      <c r="L17" s="117">
        <v>101223</v>
      </c>
      <c r="M17" s="117">
        <v>76948</v>
      </c>
      <c r="N17" s="129">
        <f t="shared" si="1"/>
        <v>-0.2398170376297877</v>
      </c>
      <c r="O17" s="83"/>
      <c r="P17" s="83"/>
      <c r="Q17" s="83"/>
      <c r="R17" s="106"/>
      <c r="S17" s="84"/>
      <c r="T17" s="84"/>
      <c r="U17" s="84"/>
    </row>
    <row r="18" spans="1:21" s="85" customFormat="1" x14ac:dyDescent="0.3">
      <c r="A18" s="153" t="s">
        <v>25</v>
      </c>
      <c r="B18" s="81">
        <v>3714</v>
      </c>
      <c r="C18" s="81">
        <v>11893</v>
      </c>
      <c r="D18" s="81">
        <v>12073</v>
      </c>
      <c r="E18" s="81">
        <v>44095</v>
      </c>
      <c r="F18" s="81">
        <v>19094</v>
      </c>
      <c r="G18" s="81">
        <v>16902</v>
      </c>
      <c r="H18" s="199">
        <v>18323</v>
      </c>
      <c r="I18" s="117">
        <v>6913</v>
      </c>
      <c r="J18" s="117">
        <v>16502</v>
      </c>
      <c r="K18" s="129">
        <f t="shared" si="0"/>
        <v>1.3870967741935485</v>
      </c>
      <c r="L18" s="117">
        <v>16502</v>
      </c>
      <c r="M18" s="117">
        <v>25438</v>
      </c>
      <c r="N18" s="129">
        <f t="shared" si="1"/>
        <v>0.54151011998545628</v>
      </c>
      <c r="O18" s="83"/>
      <c r="P18" s="83"/>
      <c r="Q18" s="83"/>
      <c r="R18" s="106"/>
      <c r="S18" s="84"/>
      <c r="T18" s="84"/>
      <c r="U18" s="84"/>
    </row>
    <row r="19" spans="1:21" s="85" customFormat="1" x14ac:dyDescent="0.3">
      <c r="A19" s="153" t="s">
        <v>26</v>
      </c>
      <c r="B19" s="81">
        <v>2468685</v>
      </c>
      <c r="C19" s="81">
        <v>2591441</v>
      </c>
      <c r="D19" s="81">
        <v>2736001</v>
      </c>
      <c r="E19" s="81">
        <v>2268787</v>
      </c>
      <c r="F19" s="81">
        <v>3599917</v>
      </c>
      <c r="G19" s="81">
        <v>4555288</v>
      </c>
      <c r="H19" s="199">
        <v>4097551</v>
      </c>
      <c r="I19" s="117">
        <v>4866415</v>
      </c>
      <c r="J19" s="117">
        <v>4612437</v>
      </c>
      <c r="K19" s="129">
        <f t="shared" si="0"/>
        <v>-5.2189959138297902E-2</v>
      </c>
      <c r="L19" s="117">
        <v>4612437</v>
      </c>
      <c r="M19" s="117">
        <v>5187750</v>
      </c>
      <c r="N19" s="129">
        <f t="shared" si="1"/>
        <v>0.12473080933137949</v>
      </c>
      <c r="O19" s="83"/>
      <c r="P19" s="83"/>
      <c r="Q19" s="83"/>
      <c r="R19" s="106"/>
      <c r="S19" s="84"/>
      <c r="T19" s="84"/>
      <c r="U19" s="84"/>
    </row>
    <row r="20" spans="1:21" s="85" customFormat="1" ht="15.75" thickBot="1" x14ac:dyDescent="0.35">
      <c r="A20" s="154" t="s">
        <v>27</v>
      </c>
      <c r="B20" s="91">
        <v>4022157</v>
      </c>
      <c r="C20" s="91">
        <v>5032901</v>
      </c>
      <c r="D20" s="91">
        <v>5348302</v>
      </c>
      <c r="E20" s="91">
        <v>5336553</v>
      </c>
      <c r="F20" s="91">
        <v>6929126</v>
      </c>
      <c r="G20" s="91">
        <v>8084691</v>
      </c>
      <c r="H20" s="200">
        <f>SUM(H11:H19)</f>
        <v>7931169</v>
      </c>
      <c r="I20" s="118">
        <f>SUM(I11:I19)</f>
        <v>8951564</v>
      </c>
      <c r="J20" s="118">
        <f>SUM(J11:J19)</f>
        <v>10580498</v>
      </c>
      <c r="K20" s="130">
        <f t="shared" si="0"/>
        <v>0.18197199952991455</v>
      </c>
      <c r="L20" s="118">
        <f>SUM(L11:L19)</f>
        <v>10580498</v>
      </c>
      <c r="M20" s="118">
        <f>SUM(M11:M19)</f>
        <v>11530892</v>
      </c>
      <c r="N20" s="130">
        <f>+(M20-L20)/L20</f>
        <v>8.9825072506038939E-2</v>
      </c>
      <c r="O20" s="83"/>
      <c r="P20" s="83"/>
      <c r="Q20" s="83"/>
      <c r="R20" s="106"/>
      <c r="S20" s="84"/>
      <c r="T20" s="84"/>
      <c r="U20" s="84"/>
    </row>
    <row r="21" spans="1:21" s="85" customFormat="1" x14ac:dyDescent="0.3">
      <c r="A21" s="153"/>
      <c r="B21" s="81"/>
      <c r="C21" s="81"/>
      <c r="D21" s="81"/>
      <c r="E21" s="81"/>
      <c r="F21" s="81"/>
      <c r="G21" s="81"/>
      <c r="H21" s="199"/>
      <c r="I21" s="117"/>
      <c r="J21" s="117"/>
      <c r="K21" s="129"/>
      <c r="L21" s="117"/>
      <c r="M21" s="117"/>
      <c r="N21" s="129"/>
      <c r="O21" s="83"/>
      <c r="P21" s="83"/>
      <c r="Q21" s="83"/>
      <c r="R21" s="106"/>
      <c r="S21" s="84"/>
      <c r="T21" s="84"/>
      <c r="U21" s="84"/>
    </row>
    <row r="22" spans="1:21" s="85" customFormat="1" x14ac:dyDescent="0.3">
      <c r="A22" s="152" t="s">
        <v>48</v>
      </c>
      <c r="B22" s="125">
        <v>2005</v>
      </c>
      <c r="C22" s="125">
        <v>2006</v>
      </c>
      <c r="D22" s="125">
        <v>2007</v>
      </c>
      <c r="E22" s="125">
        <v>2008</v>
      </c>
      <c r="F22" s="125">
        <v>2009</v>
      </c>
      <c r="G22" s="125">
        <v>2010</v>
      </c>
      <c r="H22" s="201">
        <v>2011</v>
      </c>
      <c r="I22" s="127">
        <v>2012</v>
      </c>
      <c r="J22" s="127">
        <v>2013</v>
      </c>
      <c r="K22" s="128" t="s">
        <v>123</v>
      </c>
      <c r="L22" s="127">
        <v>2013</v>
      </c>
      <c r="M22" s="127">
        <v>2014</v>
      </c>
      <c r="N22" s="128" t="s">
        <v>46</v>
      </c>
      <c r="O22" s="83"/>
      <c r="P22" s="83"/>
      <c r="Q22" s="83"/>
      <c r="R22" s="108"/>
      <c r="S22" s="84"/>
      <c r="T22" s="84"/>
      <c r="U22" s="84"/>
    </row>
    <row r="23" spans="1:21" s="85" customFormat="1" x14ac:dyDescent="0.3">
      <c r="A23" s="153" t="s">
        <v>28</v>
      </c>
      <c r="B23" s="81">
        <v>41040</v>
      </c>
      <c r="C23" s="81">
        <v>705877</v>
      </c>
      <c r="D23" s="81">
        <v>718503</v>
      </c>
      <c r="E23" s="81">
        <v>884817</v>
      </c>
      <c r="F23" s="81">
        <v>1015157</v>
      </c>
      <c r="G23" s="81">
        <v>1126326</v>
      </c>
      <c r="H23" s="199">
        <v>679598</v>
      </c>
      <c r="I23" s="117">
        <v>690354</v>
      </c>
      <c r="J23" s="117">
        <v>1996737</v>
      </c>
      <c r="K23" s="129">
        <f t="shared" ref="K23:K34" si="2">+(J23-I23)/I23</f>
        <v>1.8923378440626113</v>
      </c>
      <c r="L23" s="117">
        <v>1996737</v>
      </c>
      <c r="M23" s="117">
        <v>2123009</v>
      </c>
      <c r="N23" s="129">
        <f t="shared" ref="N23:N34" si="3">+(M23-L23)/L23</f>
        <v>6.3239174713545149E-2</v>
      </c>
      <c r="O23" s="83"/>
      <c r="P23" s="83"/>
      <c r="Q23" s="83"/>
      <c r="R23" s="106"/>
      <c r="S23" s="84"/>
      <c r="T23" s="84"/>
      <c r="U23" s="84"/>
    </row>
    <row r="24" spans="1:21" s="85" customFormat="1" x14ac:dyDescent="0.3">
      <c r="A24" s="153" t="s">
        <v>49</v>
      </c>
      <c r="B24" s="81">
        <v>111023</v>
      </c>
      <c r="C24" s="81">
        <v>146194</v>
      </c>
      <c r="D24" s="81">
        <v>146091</v>
      </c>
      <c r="E24" s="81">
        <v>163812</v>
      </c>
      <c r="F24" s="81">
        <v>124270</v>
      </c>
      <c r="G24" s="81">
        <v>165155</v>
      </c>
      <c r="H24" s="199">
        <v>163168</v>
      </c>
      <c r="I24" s="117">
        <v>170648</v>
      </c>
      <c r="J24" s="117">
        <v>299136</v>
      </c>
      <c r="K24" s="129">
        <f t="shared" si="2"/>
        <v>0.75294172800150017</v>
      </c>
      <c r="L24" s="117">
        <v>299136</v>
      </c>
      <c r="M24" s="117">
        <v>298022</v>
      </c>
      <c r="N24" s="129">
        <f t="shared" si="3"/>
        <v>-3.7240586221651689E-3</v>
      </c>
      <c r="O24" s="83"/>
      <c r="P24" s="83"/>
      <c r="Q24" s="83"/>
      <c r="R24" s="108"/>
      <c r="S24" s="84"/>
      <c r="T24" s="84"/>
      <c r="U24" s="84"/>
    </row>
    <row r="25" spans="1:21" s="85" customFormat="1" x14ac:dyDescent="0.3">
      <c r="A25" s="153" t="s">
        <v>38</v>
      </c>
      <c r="B25" s="81">
        <v>59396</v>
      </c>
      <c r="C25" s="81">
        <v>108992</v>
      </c>
      <c r="D25" s="81">
        <v>140644</v>
      </c>
      <c r="E25" s="81">
        <v>173147</v>
      </c>
      <c r="F25" s="81">
        <v>141613</v>
      </c>
      <c r="G25" s="81">
        <v>209038</v>
      </c>
      <c r="H25" s="199">
        <v>217244</v>
      </c>
      <c r="I25" s="117">
        <v>259622</v>
      </c>
      <c r="J25" s="117">
        <v>339737</v>
      </c>
      <c r="K25" s="129">
        <f t="shared" si="2"/>
        <v>0.30858324795279291</v>
      </c>
      <c r="L25" s="117">
        <v>339737</v>
      </c>
      <c r="M25" s="117">
        <v>393832</v>
      </c>
      <c r="N25" s="129">
        <f t="shared" si="3"/>
        <v>0.15922610725355202</v>
      </c>
      <c r="O25" s="83"/>
      <c r="P25" s="83"/>
      <c r="Q25" s="83"/>
      <c r="R25" s="106"/>
      <c r="S25" s="84"/>
      <c r="T25" s="84"/>
      <c r="U25" s="84"/>
    </row>
    <row r="26" spans="1:21" s="85" customFormat="1" x14ac:dyDescent="0.3">
      <c r="A26" s="153" t="s">
        <v>30</v>
      </c>
      <c r="B26" s="81">
        <v>55165</v>
      </c>
      <c r="C26" s="81">
        <v>54299</v>
      </c>
      <c r="D26" s="81">
        <v>55981</v>
      </c>
      <c r="E26" s="81">
        <v>61484</v>
      </c>
      <c r="F26" s="81">
        <v>52025</v>
      </c>
      <c r="G26" s="81">
        <v>68247</v>
      </c>
      <c r="H26" s="199">
        <v>132822</v>
      </c>
      <c r="I26" s="117">
        <v>138203</v>
      </c>
      <c r="J26" s="117">
        <v>159523</v>
      </c>
      <c r="K26" s="129">
        <f t="shared" si="2"/>
        <v>0.15426582635688083</v>
      </c>
      <c r="L26" s="117">
        <v>159523</v>
      </c>
      <c r="M26" s="117">
        <v>128889</v>
      </c>
      <c r="N26" s="129">
        <f t="shared" si="3"/>
        <v>-0.19203500435673854</v>
      </c>
      <c r="O26" s="83"/>
      <c r="P26" s="83"/>
      <c r="Q26" s="83"/>
      <c r="R26" s="106"/>
      <c r="S26" s="84"/>
      <c r="T26" s="84"/>
      <c r="U26" s="84"/>
    </row>
    <row r="27" spans="1:21" s="85" customFormat="1" x14ac:dyDescent="0.3">
      <c r="A27" s="153" t="s">
        <v>31</v>
      </c>
      <c r="B27" s="81">
        <v>34448</v>
      </c>
      <c r="C27" s="81">
        <v>46282</v>
      </c>
      <c r="D27" s="81">
        <v>58521</v>
      </c>
      <c r="E27" s="81">
        <v>75362</v>
      </c>
      <c r="F27" s="81">
        <v>77811</v>
      </c>
      <c r="G27" s="81">
        <v>88387</v>
      </c>
      <c r="H27" s="199">
        <v>96429</v>
      </c>
      <c r="I27" s="117">
        <v>109969</v>
      </c>
      <c r="J27" s="117">
        <v>138378</v>
      </c>
      <c r="K27" s="129">
        <f t="shared" si="2"/>
        <v>0.25833644026953051</v>
      </c>
      <c r="L27" s="117">
        <v>138378</v>
      </c>
      <c r="M27" s="117">
        <v>131617</v>
      </c>
      <c r="N27" s="129">
        <f t="shared" si="3"/>
        <v>-4.8858922661116654E-2</v>
      </c>
      <c r="O27" s="83"/>
      <c r="P27" s="83"/>
      <c r="Q27" s="83"/>
      <c r="R27" s="106"/>
      <c r="S27" s="84"/>
      <c r="T27" s="84"/>
      <c r="U27" s="84"/>
    </row>
    <row r="28" spans="1:21" s="85" customFormat="1" x14ac:dyDescent="0.3">
      <c r="A28" s="153" t="s">
        <v>32</v>
      </c>
      <c r="B28" s="81">
        <v>33024</v>
      </c>
      <c r="C28" s="81">
        <v>38698</v>
      </c>
      <c r="D28" s="81">
        <v>57731</v>
      </c>
      <c r="E28" s="81">
        <v>63828</v>
      </c>
      <c r="F28" s="81">
        <v>65860</v>
      </c>
      <c r="G28" s="81">
        <v>31651</v>
      </c>
      <c r="H28" s="199">
        <v>33608</v>
      </c>
      <c r="I28" s="117">
        <v>28288</v>
      </c>
      <c r="J28" s="117">
        <v>54184</v>
      </c>
      <c r="K28" s="129">
        <f t="shared" si="2"/>
        <v>0.9154411764705882</v>
      </c>
      <c r="L28" s="117">
        <v>54184</v>
      </c>
      <c r="M28" s="117">
        <v>57423</v>
      </c>
      <c r="N28" s="129">
        <f t="shared" si="3"/>
        <v>5.9777794182784588E-2</v>
      </c>
      <c r="O28" s="83"/>
      <c r="P28" s="83"/>
      <c r="Q28" s="83"/>
      <c r="R28" s="106"/>
      <c r="S28" s="84"/>
      <c r="T28" s="84"/>
      <c r="U28" s="84"/>
    </row>
    <row r="29" spans="1:21" s="85" customFormat="1" x14ac:dyDescent="0.3">
      <c r="A29" s="153" t="s">
        <v>24</v>
      </c>
      <c r="B29" s="81">
        <v>12261</v>
      </c>
      <c r="C29" s="81">
        <v>10307</v>
      </c>
      <c r="D29" s="81">
        <v>36889</v>
      </c>
      <c r="E29" s="81">
        <v>44153</v>
      </c>
      <c r="F29" s="81">
        <v>59601</v>
      </c>
      <c r="G29" s="81">
        <v>58990</v>
      </c>
      <c r="H29" s="199">
        <v>112430</v>
      </c>
      <c r="I29" s="117">
        <v>125466</v>
      </c>
      <c r="J29" s="117">
        <v>159573</v>
      </c>
      <c r="K29" s="129">
        <f t="shared" si="2"/>
        <v>0.27184257089570085</v>
      </c>
      <c r="L29" s="117">
        <v>159573</v>
      </c>
      <c r="M29" s="117">
        <v>172156</v>
      </c>
      <c r="N29" s="129">
        <f t="shared" si="3"/>
        <v>7.8854192125234215E-2</v>
      </c>
      <c r="O29" s="83"/>
      <c r="P29" s="83"/>
      <c r="Q29" s="83"/>
      <c r="R29" s="106"/>
      <c r="S29" s="84"/>
      <c r="T29" s="84"/>
      <c r="U29" s="84"/>
    </row>
    <row r="30" spans="1:21" s="85" customFormat="1" x14ac:dyDescent="0.3">
      <c r="A30" s="153" t="s">
        <v>0</v>
      </c>
      <c r="B30" s="81">
        <v>938</v>
      </c>
      <c r="C30" s="81">
        <v>1750</v>
      </c>
      <c r="D30" s="81">
        <v>1583</v>
      </c>
      <c r="E30" s="81">
        <v>2766</v>
      </c>
      <c r="F30" s="81">
        <v>2549</v>
      </c>
      <c r="G30" s="81">
        <v>1983</v>
      </c>
      <c r="H30" s="199">
        <v>5031</v>
      </c>
      <c r="I30" s="117">
        <v>3762</v>
      </c>
      <c r="J30" s="117">
        <v>3159</v>
      </c>
      <c r="K30" s="129">
        <f t="shared" si="2"/>
        <v>-0.16028708133971292</v>
      </c>
      <c r="L30" s="117">
        <v>3159</v>
      </c>
      <c r="M30" s="117">
        <v>3438</v>
      </c>
      <c r="N30" s="129">
        <f t="shared" si="3"/>
        <v>8.8319088319088315E-2</v>
      </c>
      <c r="O30" s="83"/>
      <c r="P30" s="83"/>
      <c r="Q30" s="83"/>
      <c r="R30" s="106"/>
      <c r="S30" s="84"/>
      <c r="T30" s="84"/>
      <c r="U30" s="84"/>
    </row>
    <row r="31" spans="1:21" s="85" customFormat="1" x14ac:dyDescent="0.3">
      <c r="A31" s="153" t="s">
        <v>33</v>
      </c>
      <c r="B31" s="80">
        <v>347295</v>
      </c>
      <c r="C31" s="80">
        <v>1112399</v>
      </c>
      <c r="D31" s="80">
        <v>1215943</v>
      </c>
      <c r="E31" s="80">
        <v>1469369</v>
      </c>
      <c r="F31" s="80">
        <v>1538886</v>
      </c>
      <c r="G31" s="80">
        <v>1749777</v>
      </c>
      <c r="H31" s="202">
        <f>SUM(H23:H30)</f>
        <v>1440330</v>
      </c>
      <c r="I31" s="119">
        <f>SUM(I23:I30)</f>
        <v>1526312</v>
      </c>
      <c r="J31" s="119">
        <f>SUM(J23:J30)</f>
        <v>3150427</v>
      </c>
      <c r="K31" s="129">
        <f t="shared" si="2"/>
        <v>1.0640779866763808</v>
      </c>
      <c r="L31" s="119">
        <f>SUM(L23:L30)</f>
        <v>3150427</v>
      </c>
      <c r="M31" s="119">
        <f>SUM(M23:M30)</f>
        <v>3308386</v>
      </c>
      <c r="N31" s="129">
        <f t="shared" si="3"/>
        <v>5.0138917676873646E-2</v>
      </c>
      <c r="O31" s="83"/>
      <c r="P31" s="83"/>
      <c r="Q31" s="83"/>
      <c r="R31" s="106"/>
      <c r="S31" s="84"/>
      <c r="T31" s="84"/>
      <c r="U31" s="84"/>
    </row>
    <row r="32" spans="1:21" s="85" customFormat="1" x14ac:dyDescent="0.3">
      <c r="A32" s="153" t="s">
        <v>39</v>
      </c>
      <c r="B32" s="81">
        <v>2519</v>
      </c>
      <c r="C32" s="81">
        <v>2618</v>
      </c>
      <c r="D32" s="81">
        <v>2964</v>
      </c>
      <c r="E32" s="81">
        <v>2751</v>
      </c>
      <c r="F32" s="81">
        <v>3611</v>
      </c>
      <c r="G32" s="81">
        <v>11268</v>
      </c>
      <c r="H32" s="199">
        <v>16209</v>
      </c>
      <c r="I32" s="117">
        <v>16294</v>
      </c>
      <c r="J32" s="117">
        <v>19208</v>
      </c>
      <c r="K32" s="129">
        <f t="shared" si="2"/>
        <v>0.17883883638149012</v>
      </c>
      <c r="L32" s="117">
        <v>19208</v>
      </c>
      <c r="M32" s="117">
        <v>23731</v>
      </c>
      <c r="N32" s="129">
        <f t="shared" si="3"/>
        <v>0.23547480216576427</v>
      </c>
      <c r="O32" s="83"/>
      <c r="P32" s="83"/>
      <c r="Q32" s="83"/>
      <c r="R32" s="106"/>
      <c r="S32" s="84"/>
      <c r="T32" s="84"/>
      <c r="U32" s="84"/>
    </row>
    <row r="33" spans="1:28" s="85" customFormat="1" x14ac:dyDescent="0.3">
      <c r="A33" s="155" t="s">
        <v>34</v>
      </c>
      <c r="B33" s="97">
        <v>3672343</v>
      </c>
      <c r="C33" s="97">
        <v>3917884</v>
      </c>
      <c r="D33" s="97">
        <v>4129395</v>
      </c>
      <c r="E33" s="97">
        <v>3864433</v>
      </c>
      <c r="F33" s="97">
        <v>5386629</v>
      </c>
      <c r="G33" s="97">
        <v>6323646</v>
      </c>
      <c r="H33" s="203">
        <v>6474630</v>
      </c>
      <c r="I33" s="120">
        <f>I20-I31-I32</f>
        <v>7408958</v>
      </c>
      <c r="J33" s="120">
        <f>J20-J31-J32</f>
        <v>7410863</v>
      </c>
      <c r="K33" s="131">
        <f t="shared" si="2"/>
        <v>2.5712117682405542E-4</v>
      </c>
      <c r="L33" s="120">
        <f>+L20-L31-L32</f>
        <v>7410863</v>
      </c>
      <c r="M33" s="120">
        <f>M20-M31-M32</f>
        <v>8198775</v>
      </c>
      <c r="N33" s="131">
        <f t="shared" si="3"/>
        <v>0.10631852187795132</v>
      </c>
      <c r="O33" s="83"/>
      <c r="P33" s="83"/>
      <c r="Q33" s="83"/>
      <c r="R33" s="108"/>
      <c r="S33" s="84"/>
      <c r="T33" s="84"/>
      <c r="U33" s="84"/>
    </row>
    <row r="34" spans="1:28" s="85" customFormat="1" ht="15.75" thickBot="1" x14ac:dyDescent="0.35">
      <c r="A34" s="151" t="s">
        <v>35</v>
      </c>
      <c r="B34" s="91">
        <v>4022157</v>
      </c>
      <c r="C34" s="91">
        <v>5032901</v>
      </c>
      <c r="D34" s="91">
        <v>5348302</v>
      </c>
      <c r="E34" s="91">
        <v>5336553</v>
      </c>
      <c r="F34" s="91">
        <v>6929126</v>
      </c>
      <c r="G34" s="91">
        <v>8084691</v>
      </c>
      <c r="H34" s="200">
        <f>+H31+H32+H33</f>
        <v>7931169</v>
      </c>
      <c r="I34" s="118">
        <f>+I31+I32+I33</f>
        <v>8951564</v>
      </c>
      <c r="J34" s="118">
        <f>+J31+J32+J33</f>
        <v>10580498</v>
      </c>
      <c r="K34" s="130">
        <f t="shared" si="2"/>
        <v>0.18197199952991455</v>
      </c>
      <c r="L34" s="118">
        <f>+L31+L32+L33</f>
        <v>10580498</v>
      </c>
      <c r="M34" s="118">
        <f>+M31+M32+M33</f>
        <v>11530892</v>
      </c>
      <c r="N34" s="130">
        <f t="shared" si="3"/>
        <v>8.9825072506038939E-2</v>
      </c>
      <c r="O34" s="83"/>
      <c r="P34" s="83"/>
      <c r="Q34" s="83"/>
      <c r="R34" s="108"/>
      <c r="S34" s="84"/>
      <c r="T34" s="84"/>
      <c r="U34" s="84"/>
    </row>
    <row r="35" spans="1:28" s="85" customFormat="1" x14ac:dyDescent="0.3">
      <c r="H35" s="81"/>
      <c r="I35" s="81"/>
      <c r="J35" s="81"/>
      <c r="K35" s="81"/>
      <c r="L35" s="82"/>
      <c r="M35" s="107"/>
      <c r="N35" s="83"/>
      <c r="O35" s="83"/>
      <c r="P35" s="108"/>
      <c r="Q35" s="108"/>
      <c r="R35" s="84"/>
      <c r="S35" s="84"/>
      <c r="T35" s="84"/>
    </row>
    <row r="36" spans="1:28" ht="21" x14ac:dyDescent="0.35">
      <c r="A36" s="116" t="s">
        <v>91</v>
      </c>
      <c r="B36" s="116"/>
      <c r="C36" s="116"/>
      <c r="D36" s="116"/>
      <c r="E36" s="116"/>
      <c r="F36" s="116"/>
      <c r="G36" s="116"/>
    </row>
    <row r="37" spans="1:28" ht="15.75" x14ac:dyDescent="0.3">
      <c r="A37" s="78" t="s">
        <v>137</v>
      </c>
      <c r="B37" s="78"/>
      <c r="C37" s="78"/>
      <c r="D37" s="78"/>
      <c r="E37" s="78"/>
      <c r="F37" s="78"/>
      <c r="G37" s="78"/>
    </row>
    <row r="38" spans="1:28" x14ac:dyDescent="0.3">
      <c r="A38" s="79" t="s">
        <v>88</v>
      </c>
      <c r="B38" s="79"/>
      <c r="C38" s="79"/>
      <c r="D38" s="79"/>
      <c r="E38" s="79"/>
      <c r="F38" s="79"/>
      <c r="G38" s="79"/>
    </row>
    <row r="39" spans="1:28" s="85" customFormat="1" ht="15.75" thickBot="1" x14ac:dyDescent="0.35">
      <c r="A39" s="86"/>
      <c r="B39" s="144">
        <v>2005</v>
      </c>
      <c r="C39" s="144">
        <v>2006</v>
      </c>
      <c r="D39" s="144">
        <v>2007</v>
      </c>
      <c r="E39" s="144">
        <v>2008</v>
      </c>
      <c r="F39" s="144">
        <v>2009</v>
      </c>
      <c r="G39" s="144">
        <v>2010</v>
      </c>
      <c r="H39" s="198">
        <v>2011</v>
      </c>
      <c r="I39" s="198">
        <v>2012</v>
      </c>
      <c r="J39" s="198">
        <v>2013</v>
      </c>
      <c r="K39" s="145" t="s">
        <v>95</v>
      </c>
      <c r="L39" s="145" t="s">
        <v>124</v>
      </c>
      <c r="M39" s="145" t="s">
        <v>100</v>
      </c>
      <c r="N39" s="145" t="s">
        <v>127</v>
      </c>
      <c r="O39" s="145" t="s">
        <v>112</v>
      </c>
      <c r="P39" s="145" t="s">
        <v>132</v>
      </c>
      <c r="Q39" s="145" t="s">
        <v>120</v>
      </c>
      <c r="R39" s="146" t="s">
        <v>55</v>
      </c>
      <c r="S39" s="145" t="s">
        <v>136</v>
      </c>
      <c r="T39" s="146" t="s">
        <v>55</v>
      </c>
      <c r="U39" s="147" t="s">
        <v>46</v>
      </c>
      <c r="V39" s="214" t="s">
        <v>109</v>
      </c>
      <c r="W39" s="215" t="s">
        <v>55</v>
      </c>
      <c r="X39" s="214" t="s">
        <v>128</v>
      </c>
      <c r="Y39" s="215" t="s">
        <v>55</v>
      </c>
      <c r="Z39" s="216" t="s">
        <v>46</v>
      </c>
      <c r="AA39" s="144"/>
    </row>
    <row r="40" spans="1:28" s="95" customFormat="1" x14ac:dyDescent="0.3">
      <c r="A40" s="148" t="s">
        <v>4</v>
      </c>
      <c r="B40" s="110">
        <v>2297199</v>
      </c>
      <c r="C40" s="110">
        <v>2872015</v>
      </c>
      <c r="D40" s="110">
        <v>3449517</v>
      </c>
      <c r="E40" s="110">
        <v>4009727</v>
      </c>
      <c r="F40" s="110">
        <v>4588366</v>
      </c>
      <c r="G40" s="110">
        <v>4458858</v>
      </c>
      <c r="H40" s="204">
        <v>5057382.6182662696</v>
      </c>
      <c r="I40" s="204">
        <v>5305782</v>
      </c>
      <c r="J40" s="204">
        <v>5898466</v>
      </c>
      <c r="K40" s="132">
        <v>1242052</v>
      </c>
      <c r="L40" s="132">
        <v>1572825</v>
      </c>
      <c r="M40" s="132">
        <v>1370524</v>
      </c>
      <c r="N40" s="132">
        <v>1429566</v>
      </c>
      <c r="O40" s="132">
        <v>1488896</v>
      </c>
      <c r="P40" s="132">
        <v>1643763</v>
      </c>
      <c r="Q40" s="132">
        <v>1796994</v>
      </c>
      <c r="R40" s="138">
        <v>1</v>
      </c>
      <c r="S40" s="132">
        <f>+X40-L40-N40-P40</f>
        <v>1815598</v>
      </c>
      <c r="T40" s="138">
        <v>1</v>
      </c>
      <c r="U40" s="138">
        <f>(S40-Q40)/Q40</f>
        <v>1.0352844806382214E-2</v>
      </c>
      <c r="V40" s="217">
        <v>5898466</v>
      </c>
      <c r="W40" s="218">
        <v>1</v>
      </c>
      <c r="X40" s="217">
        <v>6461752</v>
      </c>
      <c r="Y40" s="218">
        <v>1</v>
      </c>
      <c r="Z40" s="219">
        <f t="shared" ref="Z40:Z56" si="4">IF(V40&lt;&gt;0,(X40-V40)/V40,0)</f>
        <v>9.5497032618311273E-2</v>
      </c>
      <c r="AA40" s="111"/>
      <c r="AB40" s="81"/>
    </row>
    <row r="41" spans="1:28" s="85" customFormat="1" x14ac:dyDescent="0.3">
      <c r="A41" s="149" t="s">
        <v>50</v>
      </c>
      <c r="B41" s="112">
        <v>-1428204</v>
      </c>
      <c r="C41" s="112">
        <v>-1760636</v>
      </c>
      <c r="D41" s="112">
        <v>-2035308</v>
      </c>
      <c r="E41" s="112">
        <v>-2384094</v>
      </c>
      <c r="F41" s="112">
        <v>-2818189</v>
      </c>
      <c r="G41" s="112">
        <v>-2587907.8744791602</v>
      </c>
      <c r="H41" s="205">
        <v>-3030201.8461819952</v>
      </c>
      <c r="I41" s="205">
        <v>-3064460</v>
      </c>
      <c r="J41" s="205">
        <v>-3260968</v>
      </c>
      <c r="K41" s="133">
        <v>-682801</v>
      </c>
      <c r="L41" s="133">
        <v>-875730</v>
      </c>
      <c r="M41" s="133">
        <v>-750580</v>
      </c>
      <c r="N41" s="133">
        <v>-772014</v>
      </c>
      <c r="O41" s="133">
        <v>-823869</v>
      </c>
      <c r="P41" s="133">
        <v>-915716</v>
      </c>
      <c r="Q41" s="133">
        <v>-1003718</v>
      </c>
      <c r="R41" s="129">
        <f>+P41/$P$40</f>
        <v>-0.55708517590431228</v>
      </c>
      <c r="S41" s="133">
        <f>+X41-L41-N41-P41</f>
        <v>-1028518</v>
      </c>
      <c r="T41" s="129">
        <f>+S41/$S$40</f>
        <v>-0.56648993885210275</v>
      </c>
      <c r="U41" s="129">
        <f t="shared" ref="U41:U52" si="5">(S41-Q41)/Q41</f>
        <v>2.4708135153499289E-2</v>
      </c>
      <c r="V41" s="220">
        <v>-3260968</v>
      </c>
      <c r="W41" s="219">
        <f>+V41/$V$40</f>
        <v>-0.55285018172521461</v>
      </c>
      <c r="X41" s="220">
        <v>-3591978</v>
      </c>
      <c r="Y41" s="219">
        <f>+X41/$X$40</f>
        <v>-0.55588298653368318</v>
      </c>
      <c r="Z41" s="219">
        <f t="shared" si="4"/>
        <v>0.10150666918534619</v>
      </c>
      <c r="AA41" s="101"/>
      <c r="AB41" s="81"/>
    </row>
    <row r="42" spans="1:28" s="95" customFormat="1" x14ac:dyDescent="0.3">
      <c r="A42" s="148" t="s">
        <v>6</v>
      </c>
      <c r="B42" s="80">
        <v>868995</v>
      </c>
      <c r="C42" s="80">
        <v>1111379</v>
      </c>
      <c r="D42" s="80">
        <v>1414209</v>
      </c>
      <c r="E42" s="80">
        <v>1625633</v>
      </c>
      <c r="F42" s="80">
        <v>1770177</v>
      </c>
      <c r="G42" s="80">
        <v>1870950.1255208398</v>
      </c>
      <c r="H42" s="202">
        <f t="shared" ref="H42:P42" si="6">SUM(H40:H41)</f>
        <v>2027180.7720842743</v>
      </c>
      <c r="I42" s="202">
        <f t="shared" si="6"/>
        <v>2241322</v>
      </c>
      <c r="J42" s="202">
        <f t="shared" si="6"/>
        <v>2637498</v>
      </c>
      <c r="K42" s="134">
        <f t="shared" si="6"/>
        <v>559251</v>
      </c>
      <c r="L42" s="134">
        <f t="shared" si="6"/>
        <v>697095</v>
      </c>
      <c r="M42" s="134">
        <f>SUM(M40:M41)</f>
        <v>619944</v>
      </c>
      <c r="N42" s="134">
        <f>SUM(N40:N41)</f>
        <v>657552</v>
      </c>
      <c r="O42" s="134">
        <f>SUM(O40:O41)</f>
        <v>665027</v>
      </c>
      <c r="P42" s="134">
        <f t="shared" si="6"/>
        <v>728047</v>
      </c>
      <c r="Q42" s="134">
        <f>SUM(Q40:Q41)</f>
        <v>793276</v>
      </c>
      <c r="R42" s="138">
        <f t="shared" ref="R42:R59" si="7">+P42/$P$40</f>
        <v>0.44291482409568778</v>
      </c>
      <c r="S42" s="134">
        <f>SUM(S40:S41)</f>
        <v>787080</v>
      </c>
      <c r="T42" s="138">
        <f t="shared" ref="T42:T59" si="8">+S42/$S$40</f>
        <v>0.43351006114789725</v>
      </c>
      <c r="U42" s="138">
        <f t="shared" si="5"/>
        <v>-7.8106485006479457E-3</v>
      </c>
      <c r="V42" s="221">
        <f>SUM(V40:V41)</f>
        <v>2637498</v>
      </c>
      <c r="W42" s="218">
        <f t="shared" ref="W42:W59" si="9">+V42/$V$40</f>
        <v>0.44714981827478534</v>
      </c>
      <c r="X42" s="221">
        <f>SUM(X40:X41)</f>
        <v>2869774</v>
      </c>
      <c r="Y42" s="218">
        <f t="shared" ref="Y42:Y59" si="10">+X42/$X$40</f>
        <v>0.44411701346631688</v>
      </c>
      <c r="Z42" s="219">
        <f t="shared" si="4"/>
        <v>8.8066796638329198E-2</v>
      </c>
      <c r="AA42" s="111"/>
      <c r="AB42" s="81"/>
    </row>
    <row r="43" spans="1:28" s="85" customFormat="1" x14ac:dyDescent="0.3">
      <c r="A43" s="149" t="s">
        <v>7</v>
      </c>
      <c r="B43" s="81">
        <v>-95853</v>
      </c>
      <c r="C43" s="81">
        <v>-127200</v>
      </c>
      <c r="D43" s="81">
        <v>-165507</v>
      </c>
      <c r="E43" s="81">
        <v>-183777</v>
      </c>
      <c r="F43" s="81">
        <v>-218875</v>
      </c>
      <c r="G43" s="81">
        <v>-212941</v>
      </c>
      <c r="H43" s="199">
        <v>-250061.17590559012</v>
      </c>
      <c r="I43" s="199">
        <v>-270303</v>
      </c>
      <c r="J43" s="199">
        <v>-347578</v>
      </c>
      <c r="K43" s="135">
        <v>-64873</v>
      </c>
      <c r="L43" s="135">
        <v>-103109</v>
      </c>
      <c r="M43" s="135">
        <v>-73939</v>
      </c>
      <c r="N43" s="135">
        <v>-95056</v>
      </c>
      <c r="O43" s="135">
        <v>-103428</v>
      </c>
      <c r="P43" s="135">
        <v>-99719</v>
      </c>
      <c r="Q43" s="135">
        <v>-105338</v>
      </c>
      <c r="R43" s="129">
        <f t="shared" si="7"/>
        <v>-6.0665071546202223E-2</v>
      </c>
      <c r="S43" s="135">
        <f>+X43-L43-N43-P43</f>
        <v>-110137</v>
      </c>
      <c r="T43" s="129">
        <f t="shared" si="8"/>
        <v>-6.0661556137426895E-2</v>
      </c>
      <c r="U43" s="129">
        <f t="shared" si="5"/>
        <v>4.5558108185080409E-2</v>
      </c>
      <c r="V43" s="222">
        <v>-347578</v>
      </c>
      <c r="W43" s="219">
        <f t="shared" si="9"/>
        <v>-5.8926846403793802E-2</v>
      </c>
      <c r="X43" s="222">
        <v>-408021</v>
      </c>
      <c r="Y43" s="219">
        <f t="shared" si="10"/>
        <v>-6.314402038332638E-2</v>
      </c>
      <c r="Z43" s="219">
        <f t="shared" si="4"/>
        <v>0.17389765750421488</v>
      </c>
      <c r="AA43" s="101"/>
      <c r="AB43" s="81"/>
    </row>
    <row r="44" spans="1:28" s="85" customFormat="1" x14ac:dyDescent="0.3">
      <c r="A44" s="149" t="s">
        <v>8</v>
      </c>
      <c r="B44" s="81">
        <v>-509961</v>
      </c>
      <c r="C44" s="81">
        <v>-684105</v>
      </c>
      <c r="D44" s="81">
        <v>-815817</v>
      </c>
      <c r="E44" s="81">
        <v>-975970</v>
      </c>
      <c r="F44" s="81">
        <v>-1102578</v>
      </c>
      <c r="G44" s="81">
        <v>-1103652</v>
      </c>
      <c r="H44" s="199">
        <v>-1221301.5797654777</v>
      </c>
      <c r="I44" s="199">
        <v>-1326976</v>
      </c>
      <c r="J44" s="199">
        <v>-1505166</v>
      </c>
      <c r="K44" s="135">
        <v>-325559</v>
      </c>
      <c r="L44" s="135">
        <v>-400920</v>
      </c>
      <c r="M44" s="135">
        <v>-355546</v>
      </c>
      <c r="N44" s="135">
        <v>-396371</v>
      </c>
      <c r="O44" s="135">
        <v>-375490</v>
      </c>
      <c r="P44" s="135">
        <v>-427694</v>
      </c>
      <c r="Q44" s="135">
        <v>-448571</v>
      </c>
      <c r="R44" s="129">
        <f t="shared" si="7"/>
        <v>-0.26019201064873709</v>
      </c>
      <c r="S44" s="135">
        <f>+X44-L44-N44-P44</f>
        <v>-478849</v>
      </c>
      <c r="T44" s="129">
        <f t="shared" si="8"/>
        <v>-0.26374175340576494</v>
      </c>
      <c r="U44" s="129">
        <f t="shared" si="5"/>
        <v>6.7498790603940068E-2</v>
      </c>
      <c r="V44" s="222">
        <v>-1505166</v>
      </c>
      <c r="W44" s="219">
        <f t="shared" si="9"/>
        <v>-0.25517922795520054</v>
      </c>
      <c r="X44" s="222">
        <v>-1703834</v>
      </c>
      <c r="Y44" s="219">
        <f t="shared" si="10"/>
        <v>-0.26367988124582931</v>
      </c>
      <c r="Z44" s="219">
        <f t="shared" si="4"/>
        <v>0.13199075716565481</v>
      </c>
      <c r="AA44" s="101"/>
      <c r="AB44" s="81"/>
    </row>
    <row r="45" spans="1:28" s="85" customFormat="1" x14ac:dyDescent="0.3">
      <c r="A45" s="149" t="s">
        <v>84</v>
      </c>
      <c r="B45" s="81"/>
      <c r="C45" s="81"/>
      <c r="D45" s="81"/>
      <c r="E45" s="81"/>
      <c r="F45" s="81"/>
      <c r="G45" s="81">
        <v>-121613</v>
      </c>
      <c r="H45" s="199">
        <v>-123323</v>
      </c>
      <c r="I45" s="199">
        <v>-122931</v>
      </c>
      <c r="J45" s="199">
        <v>-134527</v>
      </c>
      <c r="K45" s="135">
        <v>-27738</v>
      </c>
      <c r="L45" s="135">
        <v>-29371</v>
      </c>
      <c r="M45" s="135">
        <v>-33697</v>
      </c>
      <c r="N45" s="135">
        <v>-21941</v>
      </c>
      <c r="O45" s="135">
        <v>-32082</v>
      </c>
      <c r="P45" s="135">
        <v>-30812</v>
      </c>
      <c r="Q45" s="135">
        <v>-41010</v>
      </c>
      <c r="R45" s="129">
        <f t="shared" si="7"/>
        <v>-1.8744794717973332E-2</v>
      </c>
      <c r="S45" s="135">
        <f>+X45-L45-N45-P45</f>
        <v>-37455</v>
      </c>
      <c r="T45" s="129">
        <f t="shared" si="8"/>
        <v>-2.0629566677204975E-2</v>
      </c>
      <c r="U45" s="129">
        <f t="shared" si="5"/>
        <v>-8.6686174103877106E-2</v>
      </c>
      <c r="V45" s="222">
        <v>-134527</v>
      </c>
      <c r="W45" s="219">
        <f t="shared" si="9"/>
        <v>-2.2807116290913605E-2</v>
      </c>
      <c r="X45" s="222">
        <v>-119579</v>
      </c>
      <c r="Y45" s="219">
        <f t="shared" si="10"/>
        <v>-1.850566224144783E-2</v>
      </c>
      <c r="Z45" s="219">
        <f t="shared" si="4"/>
        <v>-0.11111524080667821</v>
      </c>
      <c r="AA45" s="101"/>
      <c r="AB45" s="81"/>
    </row>
    <row r="46" spans="1:28" s="95" customFormat="1" x14ac:dyDescent="0.3">
      <c r="A46" s="148" t="s">
        <v>9</v>
      </c>
      <c r="B46" s="80">
        <v>-605814</v>
      </c>
      <c r="C46" s="80">
        <v>-811305</v>
      </c>
      <c r="D46" s="80">
        <v>-981324</v>
      </c>
      <c r="E46" s="80">
        <v>-1159747</v>
      </c>
      <c r="F46" s="80">
        <v>-1321453</v>
      </c>
      <c r="G46" s="80">
        <v>-1438206</v>
      </c>
      <c r="H46" s="202">
        <f t="shared" ref="H46:P46" si="11">SUM(H43:H45)</f>
        <v>-1594685.7556710679</v>
      </c>
      <c r="I46" s="202">
        <f t="shared" si="11"/>
        <v>-1720210</v>
      </c>
      <c r="J46" s="202">
        <f t="shared" si="11"/>
        <v>-1987271</v>
      </c>
      <c r="K46" s="134">
        <f t="shared" si="11"/>
        <v>-418170</v>
      </c>
      <c r="L46" s="134">
        <f t="shared" si="11"/>
        <v>-533400</v>
      </c>
      <c r="M46" s="134">
        <f>SUM(M43:M45)</f>
        <v>-463182</v>
      </c>
      <c r="N46" s="134">
        <f>SUM(N43:N45)</f>
        <v>-513368</v>
      </c>
      <c r="O46" s="134">
        <f>SUM(O43:O45)</f>
        <v>-511000</v>
      </c>
      <c r="P46" s="134">
        <f t="shared" si="11"/>
        <v>-558225</v>
      </c>
      <c r="Q46" s="134">
        <f>SUM(Q43:Q45)</f>
        <v>-594919</v>
      </c>
      <c r="R46" s="138">
        <f t="shared" si="7"/>
        <v>-0.3396018769129126</v>
      </c>
      <c r="S46" s="134">
        <f>SUM(S43:S45)</f>
        <v>-626441</v>
      </c>
      <c r="T46" s="138">
        <f t="shared" si="8"/>
        <v>-0.3450328762203968</v>
      </c>
      <c r="U46" s="138">
        <f t="shared" si="5"/>
        <v>5.2985364394144412E-2</v>
      </c>
      <c r="V46" s="221">
        <f>SUM(V43:V45)</f>
        <v>-1987271</v>
      </c>
      <c r="W46" s="218">
        <f t="shared" si="9"/>
        <v>-0.33691319064990793</v>
      </c>
      <c r="X46" s="221">
        <f>SUM(X43:X45)</f>
        <v>-2231434</v>
      </c>
      <c r="Y46" s="218">
        <f t="shared" si="10"/>
        <v>-0.34532956387060354</v>
      </c>
      <c r="Z46" s="219">
        <f t="shared" si="4"/>
        <v>0.12286346451993714</v>
      </c>
      <c r="AA46" s="111"/>
      <c r="AB46" s="81"/>
    </row>
    <row r="47" spans="1:28" s="95" customFormat="1" x14ac:dyDescent="0.3">
      <c r="A47" s="148" t="s">
        <v>1</v>
      </c>
      <c r="B47" s="80">
        <v>263181</v>
      </c>
      <c r="C47" s="80">
        <v>300074</v>
      </c>
      <c r="D47" s="80">
        <v>432885</v>
      </c>
      <c r="E47" s="80">
        <v>465886</v>
      </c>
      <c r="F47" s="80">
        <v>448724</v>
      </c>
      <c r="G47" s="80">
        <v>432744.12552083982</v>
      </c>
      <c r="H47" s="202">
        <f t="shared" ref="H47:P47" si="12">+H42+H46</f>
        <v>432495.01641320647</v>
      </c>
      <c r="I47" s="202">
        <f t="shared" si="12"/>
        <v>521112</v>
      </c>
      <c r="J47" s="202">
        <f t="shared" si="12"/>
        <v>650227</v>
      </c>
      <c r="K47" s="134">
        <f t="shared" si="12"/>
        <v>141081</v>
      </c>
      <c r="L47" s="134">
        <f t="shared" si="12"/>
        <v>163695</v>
      </c>
      <c r="M47" s="134">
        <f t="shared" si="12"/>
        <v>156762</v>
      </c>
      <c r="N47" s="134">
        <f>+N42+N46</f>
        <v>144184</v>
      </c>
      <c r="O47" s="134">
        <f>+O42+O46</f>
        <v>154027</v>
      </c>
      <c r="P47" s="134">
        <f t="shared" si="12"/>
        <v>169822</v>
      </c>
      <c r="Q47" s="134">
        <f>+Q42+Q46</f>
        <v>198357</v>
      </c>
      <c r="R47" s="138">
        <f t="shared" si="7"/>
        <v>0.10331294718277513</v>
      </c>
      <c r="S47" s="134">
        <f>+S42+S46</f>
        <v>160639</v>
      </c>
      <c r="T47" s="138">
        <f t="shared" si="8"/>
        <v>8.8477184927500466E-2</v>
      </c>
      <c r="U47" s="138">
        <f t="shared" si="5"/>
        <v>-0.19015209949737091</v>
      </c>
      <c r="V47" s="221">
        <f>+V42+V46</f>
        <v>650227</v>
      </c>
      <c r="W47" s="218">
        <f t="shared" si="9"/>
        <v>0.11023662762487739</v>
      </c>
      <c r="X47" s="221">
        <f>+X42+X46</f>
        <v>638340</v>
      </c>
      <c r="Y47" s="218">
        <f t="shared" si="10"/>
        <v>9.8787449595713367E-2</v>
      </c>
      <c r="Z47" s="219">
        <f t="shared" si="4"/>
        <v>-1.8281307912467491E-2</v>
      </c>
      <c r="AA47" s="111"/>
      <c r="AB47" s="81"/>
    </row>
    <row r="48" spans="1:28" s="85" customFormat="1" x14ac:dyDescent="0.3">
      <c r="A48" s="149" t="s">
        <v>51</v>
      </c>
      <c r="B48" s="81">
        <v>14213</v>
      </c>
      <c r="C48" s="81">
        <v>13821</v>
      </c>
      <c r="D48" s="81">
        <v>11386</v>
      </c>
      <c r="E48" s="81">
        <v>11580</v>
      </c>
      <c r="F48" s="81">
        <v>9537</v>
      </c>
      <c r="G48" s="81">
        <v>8084</v>
      </c>
      <c r="H48" s="199">
        <v>7592</v>
      </c>
      <c r="I48" s="199">
        <v>12296</v>
      </c>
      <c r="J48" s="199">
        <v>12207</v>
      </c>
      <c r="K48" s="135">
        <v>2375</v>
      </c>
      <c r="L48" s="135">
        <v>7447</v>
      </c>
      <c r="M48" s="135">
        <v>2770</v>
      </c>
      <c r="N48" s="135">
        <v>2628</v>
      </c>
      <c r="O48" s="135">
        <v>3066</v>
      </c>
      <c r="P48" s="135">
        <v>834.20667270999911</v>
      </c>
      <c r="Q48" s="135">
        <v>3996</v>
      </c>
      <c r="R48" s="129">
        <f t="shared" si="7"/>
        <v>5.0749814462912183E-4</v>
      </c>
      <c r="S48" s="135">
        <f>+X48-L48-N48-P48</f>
        <v>1723.7933272900009</v>
      </c>
      <c r="T48" s="129">
        <f t="shared" si="8"/>
        <v>9.4943557290215171E-4</v>
      </c>
      <c r="U48" s="129">
        <f t="shared" si="5"/>
        <v>-0.5686202884659658</v>
      </c>
      <c r="V48" s="222">
        <v>12207</v>
      </c>
      <c r="W48" s="219">
        <f t="shared" si="9"/>
        <v>2.0695211263403062E-3</v>
      </c>
      <c r="X48" s="222">
        <v>12633</v>
      </c>
      <c r="Y48" s="219">
        <f t="shared" si="10"/>
        <v>1.9550425333562786E-3</v>
      </c>
      <c r="Z48" s="219">
        <f t="shared" si="4"/>
        <v>3.4898009338903906E-2</v>
      </c>
      <c r="AA48" s="101"/>
      <c r="AB48" s="81"/>
    </row>
    <row r="49" spans="1:28" s="85" customFormat="1" x14ac:dyDescent="0.3">
      <c r="A49" s="149" t="s">
        <v>11</v>
      </c>
      <c r="B49" s="81">
        <v>-25197</v>
      </c>
      <c r="C49" s="81">
        <v>-64413</v>
      </c>
      <c r="D49" s="81">
        <v>-84176</v>
      </c>
      <c r="E49" s="81">
        <v>-88738</v>
      </c>
      <c r="F49" s="81">
        <v>-103331</v>
      </c>
      <c r="G49" s="81">
        <v>-79867</v>
      </c>
      <c r="H49" s="199">
        <v>-84666</v>
      </c>
      <c r="I49" s="199">
        <v>-70722</v>
      </c>
      <c r="J49" s="199">
        <v>-101111</v>
      </c>
      <c r="K49" s="135">
        <v>-16818</v>
      </c>
      <c r="L49" s="135">
        <v>-39145</v>
      </c>
      <c r="M49" s="135">
        <v>-17303</v>
      </c>
      <c r="N49" s="135">
        <v>-38121</v>
      </c>
      <c r="O49" s="135">
        <v>-27264</v>
      </c>
      <c r="P49" s="135">
        <v>-39692.202476859995</v>
      </c>
      <c r="Q49" s="135">
        <v>-39726</v>
      </c>
      <c r="R49" s="129">
        <f t="shared" si="7"/>
        <v>-2.4147156540730016E-2</v>
      </c>
      <c r="S49" s="135">
        <f>+X49-L49-N49-P49</f>
        <v>-40986.797523140005</v>
      </c>
      <c r="T49" s="129">
        <f t="shared" si="8"/>
        <v>-2.2574819714022601E-2</v>
      </c>
      <c r="U49" s="129">
        <f t="shared" si="5"/>
        <v>3.1737338849620024E-2</v>
      </c>
      <c r="V49" s="222">
        <v>-101111</v>
      </c>
      <c r="W49" s="219">
        <f t="shared" si="9"/>
        <v>-1.7141914524895118E-2</v>
      </c>
      <c r="X49" s="222">
        <v>-157945</v>
      </c>
      <c r="Y49" s="219">
        <f t="shared" si="10"/>
        <v>-2.4443061262642084E-2</v>
      </c>
      <c r="Z49" s="219">
        <f t="shared" si="4"/>
        <v>0.56209512318145405</v>
      </c>
      <c r="AA49" s="101"/>
      <c r="AB49" s="81"/>
    </row>
    <row r="50" spans="1:28" s="85" customFormat="1" x14ac:dyDescent="0.3">
      <c r="A50" s="149" t="s">
        <v>12</v>
      </c>
      <c r="B50" s="81">
        <v>-24458</v>
      </c>
      <c r="C50" s="81">
        <v>-32576</v>
      </c>
      <c r="D50" s="81">
        <v>-17533</v>
      </c>
      <c r="E50" s="81">
        <v>-27906</v>
      </c>
      <c r="F50" s="81">
        <v>-1787</v>
      </c>
      <c r="G50" s="81">
        <v>-28926</v>
      </c>
      <c r="H50" s="199">
        <v>-3636</v>
      </c>
      <c r="I50" s="199">
        <v>1782</v>
      </c>
      <c r="J50" s="199">
        <v>8732</v>
      </c>
      <c r="K50" s="135">
        <v>-1758</v>
      </c>
      <c r="L50" s="135">
        <v>7445</v>
      </c>
      <c r="M50" s="135">
        <v>4040</v>
      </c>
      <c r="N50" s="135">
        <v>-2408</v>
      </c>
      <c r="O50" s="135">
        <v>10554</v>
      </c>
      <c r="P50" s="135">
        <v>-676</v>
      </c>
      <c r="Q50" s="135">
        <v>-4104</v>
      </c>
      <c r="R50" s="129">
        <f t="shared" si="7"/>
        <v>-4.112515003683621E-4</v>
      </c>
      <c r="S50" s="135">
        <f>+X50-L50-N50-P50</f>
        <v>21211</v>
      </c>
      <c r="T50" s="129">
        <f t="shared" si="8"/>
        <v>1.1682652217065673E-2</v>
      </c>
      <c r="U50" s="129">
        <f t="shared" si="5"/>
        <v>-6.1683723196881095</v>
      </c>
      <c r="V50" s="222">
        <v>8732</v>
      </c>
      <c r="W50" s="219">
        <f t="shared" si="9"/>
        <v>1.4803849000740192E-3</v>
      </c>
      <c r="X50" s="222">
        <v>25572</v>
      </c>
      <c r="Y50" s="219">
        <f t="shared" si="10"/>
        <v>3.9574406445806029E-3</v>
      </c>
      <c r="Z50" s="219">
        <f t="shared" si="4"/>
        <v>1.9285387081997252</v>
      </c>
      <c r="AA50" s="101"/>
      <c r="AB50" s="81"/>
    </row>
    <row r="51" spans="1:28" s="85" customFormat="1" x14ac:dyDescent="0.3">
      <c r="A51" s="149" t="s">
        <v>52</v>
      </c>
      <c r="B51" s="81">
        <v>-1493</v>
      </c>
      <c r="C51" s="81">
        <v>-70809</v>
      </c>
      <c r="D51" s="81">
        <v>-27554</v>
      </c>
      <c r="E51" s="81">
        <v>-96678</v>
      </c>
      <c r="F51" s="81">
        <v>-89202</v>
      </c>
      <c r="G51" s="81">
        <v>-23551</v>
      </c>
      <c r="H51" s="199">
        <v>-26933</v>
      </c>
      <c r="I51" s="199">
        <v>-13536</v>
      </c>
      <c r="J51" s="199">
        <v>-54534</v>
      </c>
      <c r="K51" s="135">
        <v>-7981</v>
      </c>
      <c r="L51" s="135">
        <v>-8069</v>
      </c>
      <c r="M51" s="135">
        <v>-15076</v>
      </c>
      <c r="N51" s="135">
        <v>-7510</v>
      </c>
      <c r="O51" s="135">
        <v>-2563</v>
      </c>
      <c r="P51" s="135">
        <v>-16362.488190450102</v>
      </c>
      <c r="Q51" s="135">
        <f>+V51-K51-M51-O51</f>
        <v>-28914</v>
      </c>
      <c r="R51" s="129">
        <f t="shared" si="7"/>
        <v>-9.954286713139365E-3</v>
      </c>
      <c r="S51" s="135">
        <f>+X51-L51-N51-P51</f>
        <v>2882.4881904501017</v>
      </c>
      <c r="T51" s="129">
        <f t="shared" si="8"/>
        <v>1.5876246781777142E-3</v>
      </c>
      <c r="U51" s="129">
        <f t="shared" si="5"/>
        <v>-1.099691782197209</v>
      </c>
      <c r="V51" s="222">
        <v>-54534</v>
      </c>
      <c r="W51" s="219">
        <f t="shared" si="9"/>
        <v>-9.245454665670701E-3</v>
      </c>
      <c r="X51" s="222">
        <v>-29059</v>
      </c>
      <c r="Y51" s="219">
        <f t="shared" si="10"/>
        <v>-4.4970775727697383E-3</v>
      </c>
      <c r="Z51" s="219">
        <f t="shared" si="4"/>
        <v>-0.46713976601753032</v>
      </c>
      <c r="AA51" s="101"/>
      <c r="AB51" s="81"/>
    </row>
    <row r="52" spans="1:28" s="85" customFormat="1" x14ac:dyDescent="0.3">
      <c r="A52" s="149" t="s">
        <v>14</v>
      </c>
      <c r="B52" s="81">
        <v>22218</v>
      </c>
      <c r="C52" s="81">
        <v>29348</v>
      </c>
      <c r="D52" s="81">
        <v>25763</v>
      </c>
      <c r="E52" s="81">
        <v>27907</v>
      </c>
      <c r="F52" s="81">
        <v>28975</v>
      </c>
      <c r="G52" s="81">
        <v>30996</v>
      </c>
      <c r="H52" s="199">
        <v>33531</v>
      </c>
      <c r="I52" s="199">
        <v>35188</v>
      </c>
      <c r="J52" s="199">
        <v>39510</v>
      </c>
      <c r="K52" s="135">
        <v>8803</v>
      </c>
      <c r="L52" s="135">
        <v>9657</v>
      </c>
      <c r="M52" s="135">
        <v>9924</v>
      </c>
      <c r="N52" s="135">
        <v>10926</v>
      </c>
      <c r="O52" s="135">
        <v>11140</v>
      </c>
      <c r="P52" s="135">
        <v>10928.037788469999</v>
      </c>
      <c r="Q52" s="135">
        <v>9643</v>
      </c>
      <c r="R52" s="129">
        <f t="shared" si="7"/>
        <v>6.648183338151546E-3</v>
      </c>
      <c r="S52" s="135">
        <f>+X52-L52-N52-P52</f>
        <v>21505.962211530001</v>
      </c>
      <c r="T52" s="129">
        <f t="shared" si="8"/>
        <v>1.1845112305438759E-2</v>
      </c>
      <c r="U52" s="129">
        <f t="shared" si="5"/>
        <v>1.2302148928269212</v>
      </c>
      <c r="V52" s="222">
        <v>39510</v>
      </c>
      <c r="W52" s="219">
        <f t="shared" si="9"/>
        <v>6.6983517409441706E-3</v>
      </c>
      <c r="X52" s="222">
        <v>53017</v>
      </c>
      <c r="Y52" s="219">
        <f t="shared" si="10"/>
        <v>8.2047407576149624E-3</v>
      </c>
      <c r="Z52" s="219">
        <f t="shared" si="4"/>
        <v>0.3418628195393571</v>
      </c>
      <c r="AA52" s="101"/>
      <c r="AB52" s="81"/>
    </row>
    <row r="53" spans="1:28" s="85" customFormat="1" x14ac:dyDescent="0.3">
      <c r="A53" s="149" t="s">
        <v>16</v>
      </c>
      <c r="B53" s="81">
        <v>18955</v>
      </c>
      <c r="C53" s="81">
        <v>71319</v>
      </c>
      <c r="D53" s="81">
        <v>6759</v>
      </c>
      <c r="E53" s="81">
        <v>80511</v>
      </c>
      <c r="F53" s="81">
        <v>2124</v>
      </c>
      <c r="G53" s="81">
        <v>1513.7364279999999</v>
      </c>
      <c r="H53" s="199">
        <v>11185</v>
      </c>
      <c r="I53" s="199">
        <v>0</v>
      </c>
      <c r="J53" s="199">
        <v>107</v>
      </c>
      <c r="K53" s="135">
        <v>0</v>
      </c>
      <c r="L53" s="135">
        <v>0</v>
      </c>
      <c r="M53" s="135">
        <v>107</v>
      </c>
      <c r="N53" s="135">
        <v>0</v>
      </c>
      <c r="O53" s="135">
        <v>0</v>
      </c>
      <c r="P53" s="135">
        <v>0</v>
      </c>
      <c r="Q53" s="135">
        <v>0</v>
      </c>
      <c r="R53" s="129">
        <f t="shared" si="7"/>
        <v>0</v>
      </c>
      <c r="S53" s="135">
        <v>1110</v>
      </c>
      <c r="T53" s="129">
        <f t="shared" si="8"/>
        <v>6.1136881622473693E-4</v>
      </c>
      <c r="U53" s="197" t="s">
        <v>131</v>
      </c>
      <c r="V53" s="222">
        <v>107</v>
      </c>
      <c r="W53" s="219">
        <f t="shared" si="9"/>
        <v>1.8140309700861208E-5</v>
      </c>
      <c r="X53" s="222">
        <v>1110</v>
      </c>
      <c r="Y53" s="219">
        <f t="shared" si="10"/>
        <v>1.7178003736447947E-4</v>
      </c>
      <c r="Z53" s="219">
        <f t="shared" si="4"/>
        <v>9.3738317757009337</v>
      </c>
      <c r="AA53" s="101"/>
      <c r="AB53" s="81"/>
    </row>
    <row r="54" spans="1:28" s="95" customFormat="1" x14ac:dyDescent="0.3">
      <c r="A54" s="148" t="s">
        <v>2</v>
      </c>
      <c r="B54" s="80">
        <v>4238</v>
      </c>
      <c r="C54" s="80">
        <v>-53310</v>
      </c>
      <c r="D54" s="80">
        <v>-85355</v>
      </c>
      <c r="E54" s="80">
        <v>-93324</v>
      </c>
      <c r="F54" s="80">
        <v>-153684</v>
      </c>
      <c r="G54" s="80">
        <v>-91750.263571999996</v>
      </c>
      <c r="H54" s="202">
        <f t="shared" ref="H54:P54" si="13">SUM(H48:H53)</f>
        <v>-62927</v>
      </c>
      <c r="I54" s="202">
        <f t="shared" si="13"/>
        <v>-34992</v>
      </c>
      <c r="J54" s="202">
        <f t="shared" si="13"/>
        <v>-95089</v>
      </c>
      <c r="K54" s="134">
        <f t="shared" si="13"/>
        <v>-15379</v>
      </c>
      <c r="L54" s="134">
        <f t="shared" si="13"/>
        <v>-22665</v>
      </c>
      <c r="M54" s="134">
        <f>SUM(M48:M53)</f>
        <v>-15538</v>
      </c>
      <c r="N54" s="134">
        <f>SUM(N48:N53)</f>
        <v>-34485</v>
      </c>
      <c r="O54" s="134">
        <f>SUM(O48:O53)</f>
        <v>-5067</v>
      </c>
      <c r="P54" s="134">
        <f t="shared" si="13"/>
        <v>-44968.446206130095</v>
      </c>
      <c r="Q54" s="134">
        <f>SUM(Q48:Q53)</f>
        <v>-59105</v>
      </c>
      <c r="R54" s="138">
        <f t="shared" si="7"/>
        <v>-2.7357013271457075E-2</v>
      </c>
      <c r="S54" s="134">
        <f>SUM(S48:S53)</f>
        <v>7446.4462061300947</v>
      </c>
      <c r="T54" s="138">
        <f t="shared" si="8"/>
        <v>4.1013738757864323E-3</v>
      </c>
      <c r="U54" s="138">
        <f t="shared" ref="U54:U59" si="14">(S54-Q54)/Q54</f>
        <v>-1.125986738958296</v>
      </c>
      <c r="V54" s="221">
        <f>SUM(V48:V53)</f>
        <v>-95089</v>
      </c>
      <c r="W54" s="218">
        <f t="shared" si="9"/>
        <v>-1.6120971113506462E-2</v>
      </c>
      <c r="X54" s="221">
        <f>SUM(X48:X53)</f>
        <v>-94672</v>
      </c>
      <c r="Y54" s="218">
        <f t="shared" si="10"/>
        <v>-1.4651134862495497E-2</v>
      </c>
      <c r="Z54" s="219">
        <f t="shared" si="4"/>
        <v>-4.3853652893604935E-3</v>
      </c>
      <c r="AA54" s="111"/>
      <c r="AB54" s="81"/>
    </row>
    <row r="55" spans="1:28" s="95" customFormat="1" x14ac:dyDescent="0.3">
      <c r="A55" s="148" t="s">
        <v>41</v>
      </c>
      <c r="B55" s="80">
        <v>267419</v>
      </c>
      <c r="C55" s="80">
        <v>246764</v>
      </c>
      <c r="D55" s="80">
        <v>347530</v>
      </c>
      <c r="E55" s="80">
        <v>372562</v>
      </c>
      <c r="F55" s="80">
        <v>295040</v>
      </c>
      <c r="G55" s="80">
        <v>340993.86194883985</v>
      </c>
      <c r="H55" s="202">
        <f t="shared" ref="H55:P55" si="15">+H47+H54</f>
        <v>369568.01641320647</v>
      </c>
      <c r="I55" s="202">
        <f t="shared" si="15"/>
        <v>486120</v>
      </c>
      <c r="J55" s="202">
        <f t="shared" si="15"/>
        <v>555138</v>
      </c>
      <c r="K55" s="134">
        <f t="shared" si="15"/>
        <v>125702</v>
      </c>
      <c r="L55" s="134">
        <f t="shared" si="15"/>
        <v>141030</v>
      </c>
      <c r="M55" s="134">
        <f t="shared" si="15"/>
        <v>141224</v>
      </c>
      <c r="N55" s="134">
        <f>+N47+N54</f>
        <v>109699</v>
      </c>
      <c r="O55" s="134">
        <f>+O47+O54</f>
        <v>148960</v>
      </c>
      <c r="P55" s="134">
        <f t="shared" si="15"/>
        <v>124853.55379386991</v>
      </c>
      <c r="Q55" s="134">
        <f>+Q47+Q54</f>
        <v>139252</v>
      </c>
      <c r="R55" s="138">
        <f t="shared" si="7"/>
        <v>7.5955933911318066E-2</v>
      </c>
      <c r="S55" s="134">
        <f>+S47+S54</f>
        <v>168085.44620613009</v>
      </c>
      <c r="T55" s="138">
        <f t="shared" si="8"/>
        <v>9.2578558803286901E-2</v>
      </c>
      <c r="U55" s="138">
        <f t="shared" si="14"/>
        <v>0.20705947638906505</v>
      </c>
      <c r="V55" s="221">
        <f>+V47+V54</f>
        <v>555138</v>
      </c>
      <c r="W55" s="218">
        <f t="shared" si="9"/>
        <v>9.4115656511370924E-2</v>
      </c>
      <c r="X55" s="221">
        <f>+X47+X54</f>
        <v>543668</v>
      </c>
      <c r="Y55" s="218">
        <f t="shared" si="10"/>
        <v>8.4136314733217865E-2</v>
      </c>
      <c r="Z55" s="219">
        <f t="shared" si="4"/>
        <v>-2.0661529205350741E-2</v>
      </c>
      <c r="AA55" s="111"/>
      <c r="AB55" s="81"/>
    </row>
    <row r="56" spans="1:28" s="85" customFormat="1" x14ac:dyDescent="0.3">
      <c r="A56" s="149" t="s">
        <v>15</v>
      </c>
      <c r="B56" s="81">
        <v>-84076</v>
      </c>
      <c r="C56" s="81">
        <v>-70246</v>
      </c>
      <c r="D56" s="81">
        <v>-99987</v>
      </c>
      <c r="E56" s="81">
        <v>-73232</v>
      </c>
      <c r="F56" s="81">
        <v>-81309</v>
      </c>
      <c r="G56" s="81">
        <v>-76992.534036829995</v>
      </c>
      <c r="H56" s="199">
        <v>-113919.04882074999</v>
      </c>
      <c r="I56" s="199">
        <v>-138457</v>
      </c>
      <c r="J56" s="199">
        <v>-174487</v>
      </c>
      <c r="K56" s="135">
        <v>-46692</v>
      </c>
      <c r="L56" s="135">
        <v>-54819</v>
      </c>
      <c r="M56" s="135">
        <v>-44055</v>
      </c>
      <c r="N56" s="135">
        <v>-25831</v>
      </c>
      <c r="O56" s="135">
        <v>-44910</v>
      </c>
      <c r="P56" s="135">
        <v>-32829</v>
      </c>
      <c r="Q56" s="135">
        <v>-38830</v>
      </c>
      <c r="R56" s="129">
        <f t="shared" si="7"/>
        <v>-1.9971857256794318E-2</v>
      </c>
      <c r="S56" s="135">
        <f>+X56-L56-N56-P56</f>
        <v>-50207</v>
      </c>
      <c r="T56" s="129">
        <f t="shared" si="8"/>
        <v>-2.7653147888464298E-2</v>
      </c>
      <c r="U56" s="129">
        <f t="shared" si="14"/>
        <v>0.29299510687612673</v>
      </c>
      <c r="V56" s="222">
        <v>-174487</v>
      </c>
      <c r="W56" s="219">
        <f t="shared" si="9"/>
        <v>-2.95817590539642E-2</v>
      </c>
      <c r="X56" s="222">
        <v>-163686</v>
      </c>
      <c r="Y56" s="219">
        <f t="shared" si="10"/>
        <v>-2.5331519996434404E-2</v>
      </c>
      <c r="Z56" s="219">
        <f t="shared" si="4"/>
        <v>-6.1901459707599991E-2</v>
      </c>
      <c r="AA56" s="101"/>
      <c r="AB56" s="81"/>
    </row>
    <row r="57" spans="1:28" s="85" customFormat="1" x14ac:dyDescent="0.3">
      <c r="A57" s="149" t="s">
        <v>18</v>
      </c>
      <c r="B57" s="81">
        <v>-23</v>
      </c>
      <c r="C57" s="81">
        <v>17</v>
      </c>
      <c r="D57" s="81">
        <v>-230</v>
      </c>
      <c r="E57" s="81">
        <v>-279</v>
      </c>
      <c r="F57" s="81">
        <v>-457</v>
      </c>
      <c r="G57" s="81">
        <v>-762.45166136</v>
      </c>
      <c r="H57" s="199">
        <v>-2137.6216936399992</v>
      </c>
      <c r="I57" s="199">
        <v>-2156</v>
      </c>
      <c r="J57" s="199">
        <v>-416</v>
      </c>
      <c r="K57" s="135">
        <v>276</v>
      </c>
      <c r="L57" s="135">
        <v>-1156</v>
      </c>
      <c r="M57" s="135">
        <v>-50</v>
      </c>
      <c r="N57" s="135">
        <v>-496</v>
      </c>
      <c r="O57" s="135">
        <v>-299</v>
      </c>
      <c r="P57" s="135">
        <v>-267</v>
      </c>
      <c r="Q57" s="135">
        <v>-343</v>
      </c>
      <c r="R57" s="129">
        <f t="shared" si="7"/>
        <v>-1.6243217544135012E-4</v>
      </c>
      <c r="S57" s="135">
        <f>+X57-L57-N57-P57</f>
        <v>-492</v>
      </c>
      <c r="T57" s="129">
        <f t="shared" si="8"/>
        <v>-2.7098509692123477E-4</v>
      </c>
      <c r="U57" s="129">
        <f t="shared" si="14"/>
        <v>0.43440233236151604</v>
      </c>
      <c r="V57" s="222">
        <v>-416</v>
      </c>
      <c r="W57" s="219">
        <f t="shared" si="9"/>
        <v>-7.0526811547273483E-5</v>
      </c>
      <c r="X57" s="222">
        <v>-2411</v>
      </c>
      <c r="Y57" s="219">
        <f t="shared" si="10"/>
        <v>-3.7311862169888289E-4</v>
      </c>
      <c r="Z57" s="227" t="s">
        <v>131</v>
      </c>
      <c r="AA57" s="101"/>
      <c r="AB57" s="81"/>
    </row>
    <row r="58" spans="1:28" s="95" customFormat="1" x14ac:dyDescent="0.3">
      <c r="A58" s="150" t="s">
        <v>17</v>
      </c>
      <c r="B58" s="113">
        <v>183320</v>
      </c>
      <c r="C58" s="113">
        <v>176535</v>
      </c>
      <c r="D58" s="113">
        <v>247313</v>
      </c>
      <c r="E58" s="113">
        <v>299051</v>
      </c>
      <c r="F58" s="113">
        <v>213274</v>
      </c>
      <c r="G58" s="113">
        <v>263238.87625064986</v>
      </c>
      <c r="H58" s="206">
        <f t="shared" ref="H58:P58" si="16">+H55+H56+H57</f>
        <v>253511.34589881651</v>
      </c>
      <c r="I58" s="206">
        <f t="shared" si="16"/>
        <v>345507</v>
      </c>
      <c r="J58" s="206">
        <f t="shared" si="16"/>
        <v>380235</v>
      </c>
      <c r="K58" s="136">
        <f t="shared" si="16"/>
        <v>79286</v>
      </c>
      <c r="L58" s="136">
        <f t="shared" si="16"/>
        <v>85055</v>
      </c>
      <c r="M58" s="136">
        <f t="shared" si="16"/>
        <v>97119</v>
      </c>
      <c r="N58" s="136">
        <f>+N55+N56+N57</f>
        <v>83372</v>
      </c>
      <c r="O58" s="136">
        <f>+O55+O56+O57</f>
        <v>103751</v>
      </c>
      <c r="P58" s="136">
        <f t="shared" si="16"/>
        <v>91757.553793869913</v>
      </c>
      <c r="Q58" s="136">
        <f>+Q55+Q56+Q57</f>
        <v>100079</v>
      </c>
      <c r="R58" s="139">
        <f t="shared" si="7"/>
        <v>5.5821644479082395E-2</v>
      </c>
      <c r="S58" s="136">
        <f>+S55+S56+S57</f>
        <v>117386.44620613009</v>
      </c>
      <c r="T58" s="139">
        <f t="shared" si="8"/>
        <v>6.4654425817901373E-2</v>
      </c>
      <c r="U58" s="139">
        <f t="shared" si="14"/>
        <v>0.17293784116677913</v>
      </c>
      <c r="V58" s="223">
        <f>+V55+V56+V57</f>
        <v>380235</v>
      </c>
      <c r="W58" s="224">
        <f t="shared" si="9"/>
        <v>6.4463370645859455E-2</v>
      </c>
      <c r="X58" s="223">
        <f>+X55+X56+X57</f>
        <v>377571</v>
      </c>
      <c r="Y58" s="224">
        <f t="shared" si="10"/>
        <v>5.8431676115084576E-2</v>
      </c>
      <c r="Z58" s="224">
        <f>+(X58-V58)/V58</f>
        <v>-7.0061935382066355E-3</v>
      </c>
      <c r="AA58" s="111"/>
      <c r="AB58" s="81"/>
    </row>
    <row r="59" spans="1:28" s="95" customFormat="1" ht="15.75" thickBot="1" x14ac:dyDescent="0.35">
      <c r="A59" s="151" t="s">
        <v>19</v>
      </c>
      <c r="B59" s="91">
        <v>317502</v>
      </c>
      <c r="C59" s="91">
        <v>382594</v>
      </c>
      <c r="D59" s="91">
        <v>528754</v>
      </c>
      <c r="E59" s="91">
        <v>569823</v>
      </c>
      <c r="F59" s="91">
        <v>551034</v>
      </c>
      <c r="G59" s="91">
        <v>538165</v>
      </c>
      <c r="H59" s="200">
        <v>568131.17041880696</v>
      </c>
      <c r="I59" s="200">
        <v>671095</v>
      </c>
      <c r="J59" s="200">
        <v>832827</v>
      </c>
      <c r="K59" s="137">
        <v>179705</v>
      </c>
      <c r="L59" s="137">
        <v>218965</v>
      </c>
      <c r="M59" s="137">
        <v>196119</v>
      </c>
      <c r="N59" s="137">
        <v>198720</v>
      </c>
      <c r="O59" s="137">
        <v>199330</v>
      </c>
      <c r="P59" s="137">
        <v>224400</v>
      </c>
      <c r="Q59" s="137">
        <v>257673</v>
      </c>
      <c r="R59" s="130">
        <f t="shared" si="7"/>
        <v>0.13651603059565157</v>
      </c>
      <c r="S59" s="137">
        <f>+X59-L59-N59-P59</f>
        <v>222172</v>
      </c>
      <c r="T59" s="130">
        <f t="shared" si="8"/>
        <v>0.12236849787232636</v>
      </c>
      <c r="U59" s="130">
        <f t="shared" si="14"/>
        <v>-0.13777539749993209</v>
      </c>
      <c r="V59" s="225">
        <v>832827</v>
      </c>
      <c r="W59" s="226">
        <f t="shared" si="9"/>
        <v>0.14119382903961811</v>
      </c>
      <c r="X59" s="225">
        <v>864257</v>
      </c>
      <c r="Y59" s="226">
        <f t="shared" si="10"/>
        <v>0.13374963941667833</v>
      </c>
      <c r="Z59" s="226">
        <f>+(X59-V59)/V59</f>
        <v>3.7738930173973707E-2</v>
      </c>
      <c r="AA59" s="111"/>
      <c r="AB59" s="81"/>
    </row>
    <row r="60" spans="1:28" s="85" customFormat="1" x14ac:dyDescent="0.3">
      <c r="A60" s="81"/>
      <c r="B60" s="81"/>
      <c r="C60" s="81"/>
      <c r="D60" s="81"/>
      <c r="E60" s="81"/>
      <c r="F60" s="81"/>
      <c r="G60" s="81"/>
      <c r="H60" s="81"/>
      <c r="I60" s="82"/>
      <c r="J60" s="82"/>
      <c r="K60" s="82"/>
      <c r="L60" s="112"/>
      <c r="M60" s="82"/>
      <c r="N60" s="101"/>
      <c r="O60" s="101"/>
    </row>
    <row r="61" spans="1:28" s="85" customFormat="1" x14ac:dyDescent="0.3">
      <c r="A61" s="85" t="s">
        <v>53</v>
      </c>
      <c r="H61" s="112"/>
      <c r="I61" s="112"/>
      <c r="J61" s="112"/>
      <c r="K61" s="112"/>
      <c r="L61" s="112"/>
      <c r="M61" s="82"/>
      <c r="N61" s="101"/>
      <c r="O61" s="101"/>
    </row>
    <row r="62" spans="1:28" s="85" customFormat="1" x14ac:dyDescent="0.3">
      <c r="H62" s="81"/>
      <c r="I62" s="81"/>
      <c r="J62" s="81"/>
      <c r="K62" s="81"/>
      <c r="L62" s="112"/>
      <c r="M62" s="82"/>
      <c r="N62" s="101"/>
      <c r="O62" s="101"/>
    </row>
    <row r="63" spans="1:28" s="85" customFormat="1" x14ac:dyDescent="0.3">
      <c r="H63" s="81"/>
      <c r="I63" s="81"/>
      <c r="J63" s="81"/>
      <c r="K63" s="81"/>
      <c r="L63" s="82"/>
      <c r="M63" s="82"/>
      <c r="N63" s="101"/>
      <c r="O63" s="101"/>
    </row>
    <row r="64" spans="1:28" s="85" customFormat="1" x14ac:dyDescent="0.3">
      <c r="H64" s="81"/>
      <c r="I64" s="81"/>
      <c r="J64" s="81"/>
      <c r="K64" s="81"/>
      <c r="L64" s="89"/>
      <c r="M64" s="82"/>
      <c r="N64" s="101"/>
      <c r="O64" s="101"/>
    </row>
    <row r="65" spans="13:13" x14ac:dyDescent="0.3">
      <c r="M65" s="77"/>
    </row>
    <row r="82" spans="13:13" x14ac:dyDescent="0.3">
      <c r="M82" s="77"/>
    </row>
  </sheetData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7"/>
  <sheetViews>
    <sheetView zoomScaleNormal="100" workbookViewId="0">
      <selection activeCell="B9" sqref="B9"/>
    </sheetView>
  </sheetViews>
  <sheetFormatPr baseColWidth="10" defaultColWidth="11.42578125" defaultRowHeight="15" x14ac:dyDescent="0.25"/>
  <cols>
    <col min="1" max="1" width="41.140625" style="229" bestFit="1" customWidth="1"/>
    <col min="2" max="6" width="11.42578125" style="229" customWidth="1"/>
    <col min="7" max="7" width="9.85546875" style="229" bestFit="1" customWidth="1"/>
    <col min="8" max="16384" width="11.42578125" style="229"/>
  </cols>
  <sheetData>
    <row r="1" spans="1:5" ht="18.75" x14ac:dyDescent="0.3">
      <c r="A1" s="228" t="s">
        <v>157</v>
      </c>
      <c r="B1" s="362"/>
      <c r="C1" s="362"/>
      <c r="D1" s="362"/>
      <c r="E1" s="362"/>
    </row>
    <row r="2" spans="1:5" x14ac:dyDescent="0.25">
      <c r="A2" s="230" t="s">
        <v>158</v>
      </c>
      <c r="B2" s="362"/>
      <c r="C2" s="362"/>
      <c r="D2" s="362"/>
      <c r="E2" s="362"/>
    </row>
    <row r="3" spans="1:5" x14ac:dyDescent="0.25">
      <c r="A3" s="230" t="s">
        <v>88</v>
      </c>
      <c r="B3" s="362"/>
      <c r="C3" s="362"/>
      <c r="D3" s="362"/>
      <c r="E3" s="362"/>
    </row>
    <row r="4" spans="1:5" x14ac:dyDescent="0.25">
      <c r="A4" s="231" t="s">
        <v>159</v>
      </c>
      <c r="B4" s="362"/>
      <c r="C4" s="362"/>
      <c r="D4" s="362"/>
      <c r="E4" s="362"/>
    </row>
    <row r="5" spans="1:5" ht="15.75" thickBot="1" x14ac:dyDescent="0.3">
      <c r="B5" s="363"/>
      <c r="C5" s="363"/>
      <c r="D5" s="363"/>
      <c r="E5" s="362"/>
    </row>
    <row r="6" spans="1:5" ht="24" customHeight="1" thickBot="1" x14ac:dyDescent="0.3">
      <c r="A6" s="346"/>
      <c r="B6" s="354" t="s">
        <v>139</v>
      </c>
      <c r="C6" s="334" t="s">
        <v>225</v>
      </c>
      <c r="D6" s="233" t="s">
        <v>140</v>
      </c>
    </row>
    <row r="7" spans="1:5" ht="15.75" thickTop="1" x14ac:dyDescent="0.25">
      <c r="A7" s="234" t="s">
        <v>20</v>
      </c>
      <c r="B7" s="235"/>
      <c r="C7" s="236"/>
      <c r="D7" s="235"/>
    </row>
    <row r="8" spans="1:5" x14ac:dyDescent="0.25">
      <c r="A8" s="237" t="s">
        <v>160</v>
      </c>
      <c r="B8" s="238"/>
      <c r="C8" s="239"/>
      <c r="D8" s="238"/>
    </row>
    <row r="9" spans="1:5" ht="15.75" thickBot="1" x14ac:dyDescent="0.3">
      <c r="A9" s="240" t="s">
        <v>161</v>
      </c>
      <c r="B9" s="242">
        <v>391863</v>
      </c>
      <c r="C9" s="243">
        <v>246779</v>
      </c>
      <c r="D9" s="244">
        <f>(C9-B9)/B9</f>
        <v>-0.37024164057336367</v>
      </c>
    </row>
    <row r="10" spans="1:5" ht="15.75" thickBot="1" x14ac:dyDescent="0.3">
      <c r="A10" s="240" t="s">
        <v>162</v>
      </c>
      <c r="B10" s="242">
        <v>739808</v>
      </c>
      <c r="C10" s="243">
        <v>817267</v>
      </c>
      <c r="D10" s="244">
        <f>(C10-B10)/B10</f>
        <v>0.10470149011635452</v>
      </c>
    </row>
    <row r="11" spans="1:5" ht="15.75" thickBot="1" x14ac:dyDescent="0.3">
      <c r="A11" s="240" t="s">
        <v>36</v>
      </c>
      <c r="B11" s="242">
        <v>841852</v>
      </c>
      <c r="C11" s="243">
        <v>947650</v>
      </c>
      <c r="D11" s="244">
        <f>(C11-B11)/B11</f>
        <v>0.12567292113103015</v>
      </c>
    </row>
    <row r="12" spans="1:5" ht="15.75" thickBot="1" x14ac:dyDescent="0.3">
      <c r="A12" s="240" t="s">
        <v>163</v>
      </c>
      <c r="B12" s="242">
        <v>47770</v>
      </c>
      <c r="C12" s="243">
        <v>50525</v>
      </c>
      <c r="D12" s="244">
        <f>(C12-B12)/B12</f>
        <v>5.7672179191961485E-2</v>
      </c>
    </row>
    <row r="13" spans="1:5" ht="15.75" thickBot="1" x14ac:dyDescent="0.3">
      <c r="A13" s="240" t="s">
        <v>164</v>
      </c>
      <c r="B13" s="242">
        <v>139352</v>
      </c>
      <c r="C13" s="243">
        <v>191719</v>
      </c>
      <c r="D13" s="244">
        <f>(C13-B13)/B13</f>
        <v>0.37578936793156897</v>
      </c>
    </row>
    <row r="14" spans="1:5" ht="15.75" thickBot="1" x14ac:dyDescent="0.3">
      <c r="A14" s="245" t="s">
        <v>165</v>
      </c>
      <c r="B14" s="247">
        <v>0</v>
      </c>
      <c r="C14" s="248">
        <v>90</v>
      </c>
      <c r="D14" s="244" t="s">
        <v>131</v>
      </c>
    </row>
    <row r="15" spans="1:5" ht="15.75" thickBot="1" x14ac:dyDescent="0.3">
      <c r="A15" s="249" t="s">
        <v>166</v>
      </c>
      <c r="B15" s="250">
        <f>SUM(B9:B14)</f>
        <v>2160645</v>
      </c>
      <c r="C15" s="251">
        <f>SUM(C9:C14)</f>
        <v>2254030</v>
      </c>
      <c r="D15" s="244">
        <f>(C15-B15)/B15</f>
        <v>4.3220890058292778E-2</v>
      </c>
    </row>
    <row r="16" spans="1:5" x14ac:dyDescent="0.25">
      <c r="A16" s="237" t="s">
        <v>167</v>
      </c>
      <c r="B16" s="238"/>
      <c r="C16" s="239"/>
      <c r="D16" s="238"/>
    </row>
    <row r="17" spans="1:4" ht="15.75" thickBot="1" x14ac:dyDescent="0.3">
      <c r="A17" s="240" t="s">
        <v>162</v>
      </c>
      <c r="B17" s="242">
        <v>23124</v>
      </c>
      <c r="C17" s="243">
        <v>22127</v>
      </c>
      <c r="D17" s="244">
        <f t="shared" ref="D17:D28" si="0">(C17-B17)/B17</f>
        <v>-4.3115377962290258E-2</v>
      </c>
    </row>
    <row r="18" spans="1:4" ht="15.75" thickBot="1" x14ac:dyDescent="0.3">
      <c r="A18" s="240" t="s">
        <v>168</v>
      </c>
      <c r="B18" s="242">
        <v>4185</v>
      </c>
      <c r="C18" s="243">
        <v>0</v>
      </c>
      <c r="D18" s="244">
        <f t="shared" si="0"/>
        <v>-1</v>
      </c>
    </row>
    <row r="19" spans="1:4" ht="15.75" thickBot="1" x14ac:dyDescent="0.3">
      <c r="A19" s="240" t="s">
        <v>169</v>
      </c>
      <c r="B19" s="242">
        <v>83323</v>
      </c>
      <c r="C19" s="243">
        <v>88211</v>
      </c>
      <c r="D19" s="244">
        <f t="shared" si="0"/>
        <v>5.8663274246006508E-2</v>
      </c>
    </row>
    <row r="20" spans="1:4" ht="15.75" thickBot="1" x14ac:dyDescent="0.3">
      <c r="A20" s="240" t="s">
        <v>170</v>
      </c>
      <c r="B20" s="242">
        <v>4016462</v>
      </c>
      <c r="C20" s="243">
        <v>3326010</v>
      </c>
      <c r="D20" s="244">
        <f t="shared" si="0"/>
        <v>-0.17190552282083088</v>
      </c>
    </row>
    <row r="21" spans="1:4" ht="15.75" thickBot="1" x14ac:dyDescent="0.3">
      <c r="A21" s="240" t="s">
        <v>171</v>
      </c>
      <c r="B21" s="242">
        <v>2963335</v>
      </c>
      <c r="C21" s="243">
        <v>3102326</v>
      </c>
      <c r="D21" s="244">
        <f t="shared" si="0"/>
        <v>4.6903573170093832E-2</v>
      </c>
    </row>
    <row r="22" spans="1:4" ht="15.75" thickBot="1" x14ac:dyDescent="0.3">
      <c r="A22" s="240" t="s">
        <v>141</v>
      </c>
      <c r="B22" s="242">
        <v>96280</v>
      </c>
      <c r="C22" s="243">
        <v>91664</v>
      </c>
      <c r="D22" s="244">
        <f t="shared" si="0"/>
        <v>-4.7943498130452844E-2</v>
      </c>
    </row>
    <row r="23" spans="1:4" ht="15.75" thickBot="1" x14ac:dyDescent="0.3">
      <c r="A23" s="240" t="s">
        <v>172</v>
      </c>
      <c r="B23" s="242">
        <v>1373072</v>
      </c>
      <c r="C23" s="243">
        <v>1917055</v>
      </c>
      <c r="D23" s="244">
        <f t="shared" si="0"/>
        <v>0.39617951571366977</v>
      </c>
    </row>
    <row r="24" spans="1:4" ht="15.75" thickBot="1" x14ac:dyDescent="0.3">
      <c r="A24" s="240" t="s">
        <v>173</v>
      </c>
      <c r="B24" s="242">
        <v>766829</v>
      </c>
      <c r="C24" s="243">
        <v>1172268</v>
      </c>
      <c r="D24" s="244">
        <f t="shared" si="0"/>
        <v>0.52872152722445287</v>
      </c>
    </row>
    <row r="25" spans="1:4" ht="15.75" thickBot="1" x14ac:dyDescent="0.3">
      <c r="A25" s="240" t="s">
        <v>174</v>
      </c>
      <c r="B25" s="242">
        <v>297783</v>
      </c>
      <c r="C25" s="243">
        <v>339127</v>
      </c>
      <c r="D25" s="244">
        <f t="shared" si="0"/>
        <v>0.13883935617547005</v>
      </c>
    </row>
    <row r="26" spans="1:4" ht="15.75" thickBot="1" x14ac:dyDescent="0.3">
      <c r="A26" s="245" t="s">
        <v>25</v>
      </c>
      <c r="B26" s="247">
        <v>32348</v>
      </c>
      <c r="C26" s="248">
        <v>33883</v>
      </c>
      <c r="D26" s="252">
        <f t="shared" si="0"/>
        <v>4.7452701867194261E-2</v>
      </c>
    </row>
    <row r="27" spans="1:4" ht="15.75" thickBot="1" x14ac:dyDescent="0.3">
      <c r="A27" s="249" t="s">
        <v>175</v>
      </c>
      <c r="B27" s="250">
        <f>SUM(B17:B26)</f>
        <v>9656741</v>
      </c>
      <c r="C27" s="251">
        <f>SUM(C17:C26)</f>
        <v>10092671</v>
      </c>
      <c r="D27" s="253">
        <f t="shared" si="0"/>
        <v>4.5142558964768757E-2</v>
      </c>
    </row>
    <row r="28" spans="1:4" ht="15.75" thickBot="1" x14ac:dyDescent="0.3">
      <c r="A28" s="249" t="s">
        <v>176</v>
      </c>
      <c r="B28" s="250">
        <f>+B15+B27</f>
        <v>11817386</v>
      </c>
      <c r="C28" s="251">
        <f>+C15+C27</f>
        <v>12346701</v>
      </c>
      <c r="D28" s="253">
        <f t="shared" si="0"/>
        <v>4.4791208478761717E-2</v>
      </c>
    </row>
    <row r="29" spans="1:4" x14ac:dyDescent="0.25">
      <c r="A29" s="234" t="s">
        <v>142</v>
      </c>
      <c r="B29" s="254"/>
      <c r="C29" s="255"/>
      <c r="D29" s="254"/>
    </row>
    <row r="30" spans="1:4" x14ac:dyDescent="0.25">
      <c r="A30" s="237" t="s">
        <v>177</v>
      </c>
      <c r="B30" s="256"/>
      <c r="C30" s="239"/>
      <c r="D30" s="256"/>
    </row>
    <row r="31" spans="1:4" ht="15.75" thickBot="1" x14ac:dyDescent="0.3">
      <c r="A31" s="240" t="s">
        <v>28</v>
      </c>
      <c r="B31" s="242">
        <v>455480</v>
      </c>
      <c r="C31" s="243">
        <v>708303</v>
      </c>
      <c r="D31" s="244">
        <f t="shared" ref="D31:D37" si="1">(C31-B31)/B31</f>
        <v>0.5550693773601475</v>
      </c>
    </row>
    <row r="32" spans="1:4" ht="15.75" thickBot="1" x14ac:dyDescent="0.3">
      <c r="A32" s="240" t="s">
        <v>178</v>
      </c>
      <c r="B32" s="242">
        <v>656458</v>
      </c>
      <c r="C32" s="243">
        <v>829817</v>
      </c>
      <c r="D32" s="244">
        <f t="shared" si="1"/>
        <v>0.26408239369464609</v>
      </c>
    </row>
    <row r="33" spans="1:4" ht="15.75" thickBot="1" x14ac:dyDescent="0.3">
      <c r="A33" s="240" t="s">
        <v>30</v>
      </c>
      <c r="B33" s="242">
        <v>150217</v>
      </c>
      <c r="C33" s="243">
        <v>180907</v>
      </c>
      <c r="D33" s="244">
        <f t="shared" si="1"/>
        <v>0.20430443957741135</v>
      </c>
    </row>
    <row r="34" spans="1:4" ht="15.75" thickBot="1" x14ac:dyDescent="0.3">
      <c r="A34" s="240" t="s">
        <v>179</v>
      </c>
      <c r="B34" s="242">
        <v>137300</v>
      </c>
      <c r="C34" s="243">
        <v>114638</v>
      </c>
      <c r="D34" s="244">
        <f t="shared" si="1"/>
        <v>-0.16505462490895847</v>
      </c>
    </row>
    <row r="35" spans="1:4" ht="15.75" thickBot="1" x14ac:dyDescent="0.3">
      <c r="A35" s="240" t="s">
        <v>180</v>
      </c>
      <c r="B35" s="242">
        <v>2417</v>
      </c>
      <c r="C35" s="243">
        <v>3919</v>
      </c>
      <c r="D35" s="244">
        <f t="shared" si="1"/>
        <v>0.62143152668597434</v>
      </c>
    </row>
    <row r="36" spans="1:4" ht="15.75" thickBot="1" x14ac:dyDescent="0.3">
      <c r="A36" s="245" t="s">
        <v>143</v>
      </c>
      <c r="B36" s="247">
        <v>13885</v>
      </c>
      <c r="C36" s="248">
        <v>24077</v>
      </c>
      <c r="D36" s="252">
        <f t="shared" si="1"/>
        <v>0.73402952826791501</v>
      </c>
    </row>
    <row r="37" spans="1:4" ht="15.75" thickBot="1" x14ac:dyDescent="0.3">
      <c r="A37" s="249" t="s">
        <v>181</v>
      </c>
      <c r="B37" s="250">
        <f>SUM(B31:B36)</f>
        <v>1415757</v>
      </c>
      <c r="C37" s="251">
        <f>SUM(C31:C36)</f>
        <v>1861661</v>
      </c>
      <c r="D37" s="253">
        <f t="shared" si="1"/>
        <v>0.31495800479884611</v>
      </c>
    </row>
    <row r="38" spans="1:4" x14ac:dyDescent="0.25">
      <c r="A38" s="237" t="s">
        <v>182</v>
      </c>
      <c r="B38" s="238"/>
      <c r="C38" s="239"/>
      <c r="D38" s="238"/>
    </row>
    <row r="39" spans="1:4" ht="15.75" thickBot="1" x14ac:dyDescent="0.3">
      <c r="A39" s="240" t="s">
        <v>28</v>
      </c>
      <c r="B39" s="242">
        <v>1688797</v>
      </c>
      <c r="C39" s="243">
        <v>2294658</v>
      </c>
      <c r="D39" s="244">
        <f>(C39-B39)/B39</f>
        <v>0.35875300583788344</v>
      </c>
    </row>
    <row r="40" spans="1:4" ht="15.75" thickBot="1" x14ac:dyDescent="0.3">
      <c r="A40" s="240" t="s">
        <v>178</v>
      </c>
      <c r="B40" s="241">
        <v>159</v>
      </c>
      <c r="C40" s="257">
        <v>159</v>
      </c>
      <c r="D40" s="244">
        <f>(C40-B40)/B40</f>
        <v>0</v>
      </c>
    </row>
    <row r="41" spans="1:4" ht="15.75" thickBot="1" x14ac:dyDescent="0.3">
      <c r="A41" s="240" t="s">
        <v>179</v>
      </c>
      <c r="B41" s="242">
        <v>209287</v>
      </c>
      <c r="C41" s="243">
        <v>218228</v>
      </c>
      <c r="D41" s="244">
        <f>(C41-B41)/B41</f>
        <v>4.2721239255185464E-2</v>
      </c>
    </row>
    <row r="42" spans="1:4" ht="15.75" thickBot="1" x14ac:dyDescent="0.3">
      <c r="A42" s="240" t="s">
        <v>183</v>
      </c>
      <c r="B42" s="242">
        <v>471713</v>
      </c>
      <c r="C42" s="243">
        <v>649011</v>
      </c>
      <c r="D42" s="244">
        <f>(C42-B42)/B42</f>
        <v>0.37585989786162349</v>
      </c>
    </row>
    <row r="43" spans="1:4" ht="15.75" thickBot="1" x14ac:dyDescent="0.3">
      <c r="A43" s="245" t="s">
        <v>143</v>
      </c>
      <c r="B43" s="246" t="s">
        <v>184</v>
      </c>
      <c r="C43" s="258" t="s">
        <v>184</v>
      </c>
      <c r="D43" s="252" t="s">
        <v>131</v>
      </c>
    </row>
    <row r="44" spans="1:4" ht="15.75" thickBot="1" x14ac:dyDescent="0.3">
      <c r="A44" s="249" t="s">
        <v>185</v>
      </c>
      <c r="B44" s="250">
        <f>SUM(B39:B43)</f>
        <v>2369956</v>
      </c>
      <c r="C44" s="251">
        <f>SUM(C39:C43)</f>
        <v>3162056</v>
      </c>
      <c r="D44" s="253">
        <f>(C44-B44)/B44</f>
        <v>0.33422561431520248</v>
      </c>
    </row>
    <row r="45" spans="1:4" ht="15.75" thickBot="1" x14ac:dyDescent="0.3">
      <c r="A45" s="249" t="s">
        <v>186</v>
      </c>
      <c r="B45" s="250">
        <f>+B37+B44</f>
        <v>3785713</v>
      </c>
      <c r="C45" s="251">
        <f>+C37+C44</f>
        <v>5023717</v>
      </c>
      <c r="D45" s="253">
        <f>(C45-B45)/B45</f>
        <v>0.32702003559171022</v>
      </c>
    </row>
    <row r="46" spans="1:4" x14ac:dyDescent="0.25">
      <c r="A46" s="234" t="s">
        <v>34</v>
      </c>
      <c r="B46" s="254"/>
      <c r="C46" s="255"/>
      <c r="D46" s="254"/>
    </row>
    <row r="47" spans="1:4" ht="15.75" thickBot="1" x14ac:dyDescent="0.3">
      <c r="A47" s="249" t="s">
        <v>187</v>
      </c>
      <c r="B47" s="250">
        <v>8001755</v>
      </c>
      <c r="C47" s="251">
        <f>7140719+150991</f>
        <v>7291710</v>
      </c>
      <c r="D47" s="253">
        <f>(C47-B47)/B47</f>
        <v>-8.8736158505227911E-2</v>
      </c>
    </row>
    <row r="48" spans="1:4" ht="15.75" thickBot="1" x14ac:dyDescent="0.3">
      <c r="A48" s="259" t="s">
        <v>188</v>
      </c>
      <c r="B48" s="247">
        <v>29918</v>
      </c>
      <c r="C48" s="248">
        <v>31274</v>
      </c>
      <c r="D48" s="252">
        <f>(C48-B48)/B48</f>
        <v>4.5323885286449629E-2</v>
      </c>
    </row>
    <row r="49" spans="1:20" ht="15.75" thickBot="1" x14ac:dyDescent="0.3">
      <c r="A49" s="249" t="s">
        <v>189</v>
      </c>
      <c r="B49" s="250">
        <f>SUM(B47:B48)</f>
        <v>8031673</v>
      </c>
      <c r="C49" s="251">
        <f>SUM(C47:C48)</f>
        <v>7322984</v>
      </c>
      <c r="D49" s="253">
        <f>(C49-B49)/B49</f>
        <v>-8.8236784540406468E-2</v>
      </c>
    </row>
    <row r="50" spans="1:20" ht="15.75" thickBot="1" x14ac:dyDescent="0.3">
      <c r="A50" s="260" t="s">
        <v>190</v>
      </c>
      <c r="B50" s="261">
        <f>+B45+B49</f>
        <v>11817386</v>
      </c>
      <c r="C50" s="251">
        <f>+C45+C49</f>
        <v>12346701</v>
      </c>
      <c r="D50" s="262">
        <f>(C50-B50)/B50</f>
        <v>4.4791208478761717E-2</v>
      </c>
    </row>
    <row r="52" spans="1:20" x14ac:dyDescent="0.25">
      <c r="C52" s="263"/>
      <c r="E52" s="263"/>
      <c r="H52" s="263"/>
      <c r="J52" s="263"/>
      <c r="M52" s="263"/>
      <c r="O52" s="263"/>
      <c r="R52" s="263"/>
      <c r="T52" s="263"/>
    </row>
    <row r="53" spans="1:20" ht="18.75" x14ac:dyDescent="0.3">
      <c r="A53" s="264" t="s">
        <v>191</v>
      </c>
      <c r="B53" s="362"/>
      <c r="C53" s="362"/>
      <c r="D53" s="362"/>
      <c r="E53" s="362"/>
    </row>
    <row r="54" spans="1:20" x14ac:dyDescent="0.25">
      <c r="A54" s="230" t="s">
        <v>192</v>
      </c>
      <c r="B54" s="362"/>
      <c r="C54" s="362"/>
      <c r="D54" s="362"/>
      <c r="E54" s="362"/>
    </row>
    <row r="55" spans="1:20" x14ac:dyDescent="0.25">
      <c r="A55" s="230" t="s">
        <v>88</v>
      </c>
      <c r="B55" s="362"/>
      <c r="C55" s="362"/>
      <c r="D55" s="362"/>
      <c r="E55" s="362"/>
    </row>
    <row r="56" spans="1:20" x14ac:dyDescent="0.25">
      <c r="A56" s="265" t="s">
        <v>159</v>
      </c>
      <c r="B56" s="362"/>
      <c r="C56" s="362"/>
      <c r="D56" s="362"/>
      <c r="E56" s="362"/>
    </row>
    <row r="57" spans="1:20" ht="15.75" thickBot="1" x14ac:dyDescent="0.3">
      <c r="B57" s="364"/>
      <c r="C57" s="364"/>
      <c r="D57" s="364"/>
      <c r="E57" s="364"/>
    </row>
    <row r="58" spans="1:20" ht="15.75" customHeight="1" thickBot="1" x14ac:dyDescent="0.3">
      <c r="A58" s="361"/>
      <c r="B58" s="348" t="s">
        <v>145</v>
      </c>
      <c r="C58" s="348" t="s">
        <v>55</v>
      </c>
      <c r="D58" s="351" t="s">
        <v>146</v>
      </c>
      <c r="E58" s="348" t="s">
        <v>55</v>
      </c>
      <c r="F58" s="348" t="s">
        <v>46</v>
      </c>
    </row>
    <row r="59" spans="1:20" ht="15.75" thickTop="1" x14ac:dyDescent="0.25">
      <c r="A59" s="266" t="s">
        <v>193</v>
      </c>
      <c r="B59" s="232"/>
      <c r="C59" s="232"/>
      <c r="D59" s="267"/>
      <c r="E59" s="232"/>
      <c r="F59" s="232"/>
    </row>
    <row r="60" spans="1:20" ht="15.75" thickBot="1" x14ac:dyDescent="0.3">
      <c r="A60" s="268" t="s">
        <v>194</v>
      </c>
      <c r="B60" s="269">
        <v>1531515</v>
      </c>
      <c r="C60" s="270">
        <f t="shared" ref="C60:C81" si="2">+B60/$B$60</f>
        <v>1</v>
      </c>
      <c r="D60" s="271">
        <v>1726220</v>
      </c>
      <c r="E60" s="270">
        <f>+D60/$D$60</f>
        <v>1</v>
      </c>
      <c r="F60" s="270">
        <f t="shared" ref="F60:F74" si="3">(D60-B60)/B60</f>
        <v>0.12713228404553661</v>
      </c>
    </row>
    <row r="61" spans="1:20" ht="15.75" thickBot="1" x14ac:dyDescent="0.3">
      <c r="A61" s="272" t="s">
        <v>195</v>
      </c>
      <c r="B61" s="274">
        <v>-842171</v>
      </c>
      <c r="C61" s="275">
        <f t="shared" si="2"/>
        <v>-0.54989405915057965</v>
      </c>
      <c r="D61" s="276">
        <v>-972781</v>
      </c>
      <c r="E61" s="275">
        <f t="shared" ref="E61:E87" si="4">+D61/$D$60</f>
        <v>-0.56353245820347353</v>
      </c>
      <c r="F61" s="275">
        <f t="shared" si="3"/>
        <v>0.15508726850010271</v>
      </c>
    </row>
    <row r="62" spans="1:20" ht="15.75" thickBot="1" x14ac:dyDescent="0.3">
      <c r="A62" s="277" t="s">
        <v>196</v>
      </c>
      <c r="B62" s="278">
        <f>SUM(B60:B61)</f>
        <v>689344</v>
      </c>
      <c r="C62" s="279">
        <f t="shared" si="2"/>
        <v>0.45010594084942035</v>
      </c>
      <c r="D62" s="280">
        <f>SUM(D60:D61)</f>
        <v>753439</v>
      </c>
      <c r="E62" s="279">
        <f t="shared" si="4"/>
        <v>0.43646754179652653</v>
      </c>
      <c r="F62" s="279">
        <f t="shared" si="3"/>
        <v>9.297970244174171E-2</v>
      </c>
    </row>
    <row r="63" spans="1:20" ht="15.75" thickBot="1" x14ac:dyDescent="0.3">
      <c r="A63" s="272" t="s">
        <v>7</v>
      </c>
      <c r="B63" s="274">
        <v>-84830</v>
      </c>
      <c r="C63" s="275">
        <f t="shared" si="2"/>
        <v>-5.5389597881835957E-2</v>
      </c>
      <c r="D63" s="276">
        <v>-96265</v>
      </c>
      <c r="E63" s="275">
        <f t="shared" si="4"/>
        <v>-5.5766356547832838E-2</v>
      </c>
      <c r="F63" s="275">
        <f t="shared" si="3"/>
        <v>0.13479900978427442</v>
      </c>
    </row>
    <row r="64" spans="1:20" ht="15.75" thickBot="1" x14ac:dyDescent="0.3">
      <c r="A64" s="272" t="s">
        <v>8</v>
      </c>
      <c r="B64" s="274">
        <v>-382688</v>
      </c>
      <c r="C64" s="275">
        <f t="shared" si="2"/>
        <v>-0.24987545012618226</v>
      </c>
      <c r="D64" s="276">
        <v>-436316</v>
      </c>
      <c r="E64" s="275">
        <f t="shared" si="4"/>
        <v>-0.25275804937956925</v>
      </c>
      <c r="F64" s="275">
        <f t="shared" si="3"/>
        <v>0.14013504473618196</v>
      </c>
    </row>
    <row r="65" spans="1:6" ht="15.75" thickBot="1" x14ac:dyDescent="0.3">
      <c r="A65" s="272" t="s">
        <v>84</v>
      </c>
      <c r="B65" s="274">
        <v>-29293</v>
      </c>
      <c r="C65" s="275">
        <f t="shared" si="2"/>
        <v>-1.9126812339415548E-2</v>
      </c>
      <c r="D65" s="276">
        <v>-32449</v>
      </c>
      <c r="E65" s="275">
        <f t="shared" si="4"/>
        <v>-1.8797719873480785E-2</v>
      </c>
      <c r="F65" s="275">
        <f t="shared" si="3"/>
        <v>0.10773905028505104</v>
      </c>
    </row>
    <row r="66" spans="1:6" ht="15.75" thickBot="1" x14ac:dyDescent="0.3">
      <c r="A66" s="272" t="s">
        <v>197</v>
      </c>
      <c r="B66" s="274">
        <v>1077</v>
      </c>
      <c r="C66" s="275">
        <f t="shared" si="2"/>
        <v>7.0322523775477228E-4</v>
      </c>
      <c r="D66" s="276">
        <v>8166</v>
      </c>
      <c r="E66" s="275">
        <f t="shared" si="4"/>
        <v>4.730567366847795E-3</v>
      </c>
      <c r="F66" s="275">
        <f t="shared" si="3"/>
        <v>6.5821727019498608</v>
      </c>
    </row>
    <row r="67" spans="1:6" ht="15.75" thickBot="1" x14ac:dyDescent="0.3">
      <c r="A67" s="272" t="s">
        <v>144</v>
      </c>
      <c r="B67" s="274">
        <v>2033</v>
      </c>
      <c r="C67" s="275">
        <f t="shared" si="2"/>
        <v>1.327443740348609E-3</v>
      </c>
      <c r="D67" s="276">
        <v>2206</v>
      </c>
      <c r="E67" s="275">
        <f t="shared" si="4"/>
        <v>1.2779367635643198E-3</v>
      </c>
      <c r="F67" s="275">
        <f t="shared" si="3"/>
        <v>8.5095917363502208E-2</v>
      </c>
    </row>
    <row r="68" spans="1:6" ht="15.75" thickBot="1" x14ac:dyDescent="0.3">
      <c r="A68" s="268" t="s">
        <v>198</v>
      </c>
      <c r="B68" s="269">
        <f>SUM(B62:B67)</f>
        <v>195643</v>
      </c>
      <c r="C68" s="270">
        <f t="shared" si="2"/>
        <v>0.12774474948008999</v>
      </c>
      <c r="D68" s="271">
        <f>SUM(D62:D67)</f>
        <v>198781</v>
      </c>
      <c r="E68" s="270">
        <f t="shared" si="4"/>
        <v>0.11515392012605577</v>
      </c>
      <c r="F68" s="270">
        <f t="shared" si="3"/>
        <v>1.6039418737189677E-2</v>
      </c>
    </row>
    <row r="69" spans="1:6" ht="15.75" thickBot="1" x14ac:dyDescent="0.3">
      <c r="A69" s="272" t="s">
        <v>51</v>
      </c>
      <c r="B69" s="274">
        <v>3334</v>
      </c>
      <c r="C69" s="275">
        <f t="shared" si="2"/>
        <v>2.1769293803847825E-3</v>
      </c>
      <c r="D69" s="276">
        <v>3035</v>
      </c>
      <c r="E69" s="275">
        <f t="shared" si="4"/>
        <v>1.7581768256653267E-3</v>
      </c>
      <c r="F69" s="275">
        <f t="shared" si="3"/>
        <v>-8.9682063587282548E-2</v>
      </c>
    </row>
    <row r="70" spans="1:6" ht="15.75" thickBot="1" x14ac:dyDescent="0.3">
      <c r="A70" s="272" t="s">
        <v>11</v>
      </c>
      <c r="B70" s="274">
        <v>-40751</v>
      </c>
      <c r="C70" s="275">
        <f t="shared" si="2"/>
        <v>-2.6608293095398999E-2</v>
      </c>
      <c r="D70" s="276">
        <v>-50910</v>
      </c>
      <c r="E70" s="275">
        <f t="shared" si="4"/>
        <v>-2.9492185237107667E-2</v>
      </c>
      <c r="F70" s="275">
        <f t="shared" si="3"/>
        <v>0.24929449584059288</v>
      </c>
    </row>
    <row r="71" spans="1:6" ht="15.75" thickBot="1" x14ac:dyDescent="0.3">
      <c r="A71" s="272" t="s">
        <v>199</v>
      </c>
      <c r="B71" s="274">
        <v>43363</v>
      </c>
      <c r="C71" s="275">
        <f t="shared" si="2"/>
        <v>2.8313793857716051E-2</v>
      </c>
      <c r="D71" s="276">
        <v>46468</v>
      </c>
      <c r="E71" s="275">
        <f t="shared" si="4"/>
        <v>2.6918932696875255E-2</v>
      </c>
      <c r="F71" s="275">
        <f t="shared" si="3"/>
        <v>7.1604824389456451E-2</v>
      </c>
    </row>
    <row r="72" spans="1:6" ht="15.75" thickBot="1" x14ac:dyDescent="0.3">
      <c r="A72" s="272" t="s">
        <v>200</v>
      </c>
      <c r="B72" s="274">
        <v>6535</v>
      </c>
      <c r="C72" s="275">
        <f t="shared" si="2"/>
        <v>4.2670166469149827E-3</v>
      </c>
      <c r="D72" s="276">
        <v>5949</v>
      </c>
      <c r="E72" s="275">
        <f t="shared" si="4"/>
        <v>3.4462582984787571E-3</v>
      </c>
      <c r="F72" s="275">
        <f t="shared" si="3"/>
        <v>-8.9671002295332827E-2</v>
      </c>
    </row>
    <row r="73" spans="1:6" ht="15.75" thickBot="1" x14ac:dyDescent="0.3">
      <c r="A73" s="272" t="s">
        <v>201</v>
      </c>
      <c r="B73" s="274">
        <v>-6192</v>
      </c>
      <c r="C73" s="275">
        <f t="shared" si="2"/>
        <v>-4.0430554059215874E-3</v>
      </c>
      <c r="D73" s="276">
        <v>-4194</v>
      </c>
      <c r="E73" s="275">
        <f t="shared" si="4"/>
        <v>-2.4295860319078679E-3</v>
      </c>
      <c r="F73" s="275">
        <f t="shared" si="3"/>
        <v>-0.32267441860465118</v>
      </c>
    </row>
    <row r="74" spans="1:6" ht="24" thickBot="1" x14ac:dyDescent="0.3">
      <c r="A74" s="272" t="s">
        <v>202</v>
      </c>
      <c r="B74" s="273">
        <v>1468</v>
      </c>
      <c r="C74" s="275">
        <f t="shared" si="2"/>
        <v>9.5852799352275358E-4</v>
      </c>
      <c r="D74" s="281">
        <v>390</v>
      </c>
      <c r="E74" s="275">
        <f t="shared" si="4"/>
        <v>2.2592717034908643E-4</v>
      </c>
      <c r="F74" s="275">
        <f t="shared" si="3"/>
        <v>-0.73433242506811991</v>
      </c>
    </row>
    <row r="75" spans="1:6" ht="15.75" thickBot="1" x14ac:dyDescent="0.3">
      <c r="A75" s="272" t="s">
        <v>203</v>
      </c>
      <c r="B75" s="273">
        <v>3206</v>
      </c>
      <c r="C75" s="275">
        <f t="shared" si="2"/>
        <v>2.0933520076525532E-3</v>
      </c>
      <c r="D75" s="281" t="s">
        <v>184</v>
      </c>
      <c r="E75" s="275" t="s">
        <v>131</v>
      </c>
      <c r="F75" s="275" t="s">
        <v>131</v>
      </c>
    </row>
    <row r="76" spans="1:6" ht="24" thickBot="1" x14ac:dyDescent="0.3">
      <c r="A76" s="277" t="s">
        <v>204</v>
      </c>
      <c r="B76" s="278">
        <f>SUM(B68:B75)</f>
        <v>206606</v>
      </c>
      <c r="C76" s="279">
        <f t="shared" si="2"/>
        <v>0.1349030208649605</v>
      </c>
      <c r="D76" s="280">
        <f>SUM(D68:D75)</f>
        <v>199519</v>
      </c>
      <c r="E76" s="279">
        <f t="shared" si="4"/>
        <v>0.11558144384840865</v>
      </c>
      <c r="F76" s="279">
        <f t="shared" ref="F76:F81" si="5">(D76-B76)/B76</f>
        <v>-3.4302004782048923E-2</v>
      </c>
    </row>
    <row r="77" spans="1:6" ht="15.75" thickBot="1" x14ac:dyDescent="0.3">
      <c r="A77" s="272" t="s">
        <v>205</v>
      </c>
      <c r="B77" s="274">
        <v>-36515</v>
      </c>
      <c r="C77" s="275">
        <f t="shared" si="2"/>
        <v>-2.3842404416541792E-2</v>
      </c>
      <c r="D77" s="276">
        <v>-51436</v>
      </c>
      <c r="E77" s="275">
        <f t="shared" si="4"/>
        <v>-2.979689726686054E-2</v>
      </c>
      <c r="F77" s="275">
        <f t="shared" si="5"/>
        <v>0.40862659181158428</v>
      </c>
    </row>
    <row r="78" spans="1:6" ht="15.75" thickBot="1" x14ac:dyDescent="0.3">
      <c r="A78" s="282" t="s">
        <v>206</v>
      </c>
      <c r="B78" s="283">
        <v>-10883</v>
      </c>
      <c r="C78" s="284">
        <f t="shared" si="2"/>
        <v>-7.1060355269128937E-3</v>
      </c>
      <c r="D78" s="285">
        <v>3407</v>
      </c>
      <c r="E78" s="284">
        <f t="shared" si="4"/>
        <v>1.9736765881521474E-3</v>
      </c>
      <c r="F78" s="284">
        <f t="shared" si="5"/>
        <v>-1.3130570614720205</v>
      </c>
    </row>
    <row r="79" spans="1:6" ht="15.75" thickBot="1" x14ac:dyDescent="0.3">
      <c r="A79" s="277" t="s">
        <v>207</v>
      </c>
      <c r="B79" s="278">
        <f>SUM(B76:B78)</f>
        <v>159208</v>
      </c>
      <c r="C79" s="279">
        <f t="shared" si="2"/>
        <v>0.10395458092150583</v>
      </c>
      <c r="D79" s="280">
        <f>SUM(D76:D78)</f>
        <v>151490</v>
      </c>
      <c r="E79" s="279">
        <f t="shared" si="4"/>
        <v>8.7758223169700264E-2</v>
      </c>
      <c r="F79" s="279">
        <f t="shared" si="5"/>
        <v>-4.847746344404804E-2</v>
      </c>
    </row>
    <row r="80" spans="1:6" ht="15.75" thickBot="1" x14ac:dyDescent="0.3">
      <c r="A80" s="272" t="s">
        <v>208</v>
      </c>
      <c r="B80" s="273">
        <v>254</v>
      </c>
      <c r="C80" s="275">
        <f t="shared" si="2"/>
        <v>1.658488490155173E-4</v>
      </c>
      <c r="D80" s="281">
        <v>-304</v>
      </c>
      <c r="E80" s="275">
        <f t="shared" si="4"/>
        <v>-1.7610733278492893E-4</v>
      </c>
      <c r="F80" s="275">
        <f t="shared" si="5"/>
        <v>-2.1968503937007875</v>
      </c>
    </row>
    <row r="81" spans="1:6" x14ac:dyDescent="0.25">
      <c r="A81" s="286" t="s">
        <v>209</v>
      </c>
      <c r="B81" s="287">
        <f>SUM(B79:B80)</f>
        <v>159462</v>
      </c>
      <c r="C81" s="288">
        <f t="shared" si="2"/>
        <v>0.10412042977052134</v>
      </c>
      <c r="D81" s="287">
        <f>SUM(D79:D80)</f>
        <v>151186</v>
      </c>
      <c r="E81" s="288">
        <f t="shared" si="4"/>
        <v>8.7582115836915345E-2</v>
      </c>
      <c r="F81" s="288">
        <f t="shared" si="5"/>
        <v>-5.1899512109468089E-2</v>
      </c>
    </row>
    <row r="82" spans="1:6" x14ac:dyDescent="0.25">
      <c r="A82" s="289"/>
      <c r="B82" s="291"/>
      <c r="C82" s="292"/>
      <c r="D82" s="294"/>
      <c r="E82" s="292"/>
      <c r="F82" s="292"/>
    </row>
    <row r="83" spans="1:6" x14ac:dyDescent="0.25">
      <c r="A83" s="295" t="s">
        <v>210</v>
      </c>
      <c r="B83" s="297"/>
      <c r="C83" s="298"/>
      <c r="D83" s="300"/>
      <c r="E83" s="298"/>
      <c r="F83" s="298"/>
    </row>
    <row r="84" spans="1:6" ht="15.75" thickBot="1" x14ac:dyDescent="0.3">
      <c r="A84" s="301" t="s">
        <v>211</v>
      </c>
      <c r="B84" s="274">
        <f>+B81-B85</f>
        <v>158694</v>
      </c>
      <c r="C84" s="275">
        <f>+B84/$B$60</f>
        <v>0.10361896553412797</v>
      </c>
      <c r="D84" s="302">
        <f>+D81-D85</f>
        <v>150991</v>
      </c>
      <c r="E84" s="275">
        <f t="shared" si="4"/>
        <v>8.7469152251740803E-2</v>
      </c>
      <c r="F84" s="275">
        <f>(D84-B84)/B84</f>
        <v>-4.853995740229624E-2</v>
      </c>
    </row>
    <row r="85" spans="1:6" ht="15.75" thickBot="1" x14ac:dyDescent="0.3">
      <c r="A85" s="303" t="s">
        <v>188</v>
      </c>
      <c r="B85" s="304">
        <v>768</v>
      </c>
      <c r="C85" s="284">
        <f>+B85/$B$60</f>
        <v>5.0146423639337522E-4</v>
      </c>
      <c r="D85" s="305">
        <v>195</v>
      </c>
      <c r="E85" s="284">
        <f t="shared" si="4"/>
        <v>1.1296358517454322E-4</v>
      </c>
      <c r="F85" s="284">
        <f>(D85-B85)/B85</f>
        <v>-0.74609375</v>
      </c>
    </row>
    <row r="86" spans="1:6" ht="15.75" thickBot="1" x14ac:dyDescent="0.3">
      <c r="A86" s="306" t="s">
        <v>212</v>
      </c>
      <c r="B86" s="278">
        <f>SUM(B84:B85)</f>
        <v>159462</v>
      </c>
      <c r="C86" s="279">
        <f>+B86/$B$60</f>
        <v>0.10412042977052134</v>
      </c>
      <c r="D86" s="307">
        <f>SUM(D84:D85)</f>
        <v>151186</v>
      </c>
      <c r="E86" s="279">
        <f t="shared" si="4"/>
        <v>8.7582115836915345E-2</v>
      </c>
      <c r="F86" s="279">
        <f>(D86-B86)/B86</f>
        <v>-5.1899512109468089E-2</v>
      </c>
    </row>
    <row r="87" spans="1:6" x14ac:dyDescent="0.25">
      <c r="A87" s="286" t="s">
        <v>213</v>
      </c>
      <c r="B87" s="287">
        <v>236970</v>
      </c>
      <c r="C87" s="288">
        <f>+B87/$B$60</f>
        <v>0.15472914075278402</v>
      </c>
      <c r="D87" s="287">
        <v>234916</v>
      </c>
      <c r="E87" s="288">
        <f t="shared" si="4"/>
        <v>0.13608694140955382</v>
      </c>
      <c r="F87" s="288">
        <f>(D87-B87)/B87</f>
        <v>-8.6677638519643829E-3</v>
      </c>
    </row>
  </sheetData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7"/>
  <sheetViews>
    <sheetView zoomScaleNormal="100" workbookViewId="0">
      <selection activeCell="A8" sqref="A8"/>
    </sheetView>
  </sheetViews>
  <sheetFormatPr baseColWidth="10" defaultColWidth="11.42578125" defaultRowHeight="15" x14ac:dyDescent="0.25"/>
  <cols>
    <col min="1" max="1" width="41.140625" style="229" bestFit="1" customWidth="1"/>
    <col min="2" max="7" width="11.42578125" style="229" customWidth="1"/>
    <col min="8" max="8" width="11.42578125" style="229"/>
    <col min="9" max="10" width="11.42578125" style="229" customWidth="1"/>
    <col min="11" max="12" width="11.42578125" style="229"/>
    <col min="13" max="13" width="11.42578125" style="229" customWidth="1"/>
    <col min="14" max="16" width="11.42578125" style="229"/>
    <col min="17" max="18" width="11.42578125" style="229" customWidth="1"/>
    <col min="19" max="16384" width="11.42578125" style="229"/>
  </cols>
  <sheetData>
    <row r="1" spans="1:7" ht="18.75" x14ac:dyDescent="0.3">
      <c r="A1" s="228" t="s">
        <v>157</v>
      </c>
      <c r="B1" s="362"/>
      <c r="C1" s="362"/>
      <c r="D1" s="362"/>
      <c r="E1" s="362"/>
    </row>
    <row r="2" spans="1:7" x14ac:dyDescent="0.25">
      <c r="A2" s="230" t="s">
        <v>214</v>
      </c>
      <c r="B2" s="362"/>
      <c r="C2" s="362"/>
      <c r="D2" s="362"/>
      <c r="E2" s="362"/>
    </row>
    <row r="3" spans="1:7" x14ac:dyDescent="0.25">
      <c r="A3" s="230" t="s">
        <v>88</v>
      </c>
      <c r="B3" s="362"/>
      <c r="C3" s="362"/>
      <c r="D3" s="362"/>
      <c r="E3" s="362"/>
    </row>
    <row r="4" spans="1:7" x14ac:dyDescent="0.25">
      <c r="A4" s="231" t="s">
        <v>159</v>
      </c>
      <c r="B4" s="362"/>
      <c r="C4" s="362"/>
      <c r="D4" s="362"/>
      <c r="E4" s="362"/>
    </row>
    <row r="5" spans="1:7" ht="15.75" thickBot="1" x14ac:dyDescent="0.3">
      <c r="B5" s="364"/>
      <c r="C5" s="364"/>
      <c r="D5" s="364"/>
      <c r="E5" s="364"/>
    </row>
    <row r="6" spans="1:7" ht="24" customHeight="1" thickBot="1" x14ac:dyDescent="0.3">
      <c r="A6" s="357"/>
      <c r="B6" s="359" t="s">
        <v>139</v>
      </c>
      <c r="C6" s="360" t="s">
        <v>225</v>
      </c>
      <c r="D6" s="358" t="s">
        <v>140</v>
      </c>
      <c r="E6" s="359" t="s">
        <v>139</v>
      </c>
      <c r="F6" s="360" t="s">
        <v>227</v>
      </c>
      <c r="G6" s="358" t="s">
        <v>140</v>
      </c>
    </row>
    <row r="7" spans="1:7" ht="15.75" thickTop="1" x14ac:dyDescent="0.25">
      <c r="A7" s="234" t="s">
        <v>20</v>
      </c>
      <c r="B7" s="235"/>
      <c r="C7" s="236"/>
      <c r="D7" s="235"/>
      <c r="E7" s="235"/>
      <c r="F7" s="236"/>
      <c r="G7" s="235"/>
    </row>
    <row r="8" spans="1:7" x14ac:dyDescent="0.25">
      <c r="A8" s="237" t="s">
        <v>160</v>
      </c>
      <c r="B8" s="238"/>
      <c r="C8" s="239"/>
      <c r="D8" s="238"/>
      <c r="E8" s="238"/>
      <c r="F8" s="239"/>
      <c r="G8" s="238"/>
    </row>
    <row r="9" spans="1:7" ht="15.75" thickBot="1" x14ac:dyDescent="0.3">
      <c r="A9" s="240" t="s">
        <v>161</v>
      </c>
      <c r="B9" s="242">
        <v>391863</v>
      </c>
      <c r="C9" s="243">
        <v>246779</v>
      </c>
      <c r="D9" s="244">
        <f>(C9-B9)/B9</f>
        <v>-0.37024164057336367</v>
      </c>
      <c r="E9" s="242">
        <v>391863</v>
      </c>
      <c r="F9" s="243">
        <v>205415</v>
      </c>
      <c r="G9" s="244">
        <f>(F9-E9)/E9</f>
        <v>-0.47579893993564076</v>
      </c>
    </row>
    <row r="10" spans="1:7" ht="15.75" thickBot="1" x14ac:dyDescent="0.3">
      <c r="A10" s="240" t="s">
        <v>162</v>
      </c>
      <c r="B10" s="242">
        <v>739808</v>
      </c>
      <c r="C10" s="243">
        <v>817267</v>
      </c>
      <c r="D10" s="244">
        <f>(C10-B10)/B10</f>
        <v>0.10470149011635452</v>
      </c>
      <c r="E10" s="242">
        <v>739808</v>
      </c>
      <c r="F10" s="243">
        <v>777437</v>
      </c>
      <c r="G10" s="244">
        <f>(F10-E10)/E10</f>
        <v>5.0863196937583809E-2</v>
      </c>
    </row>
    <row r="11" spans="1:7" ht="15.75" thickBot="1" x14ac:dyDescent="0.3">
      <c r="A11" s="240" t="s">
        <v>36</v>
      </c>
      <c r="B11" s="242">
        <v>841852</v>
      </c>
      <c r="C11" s="243">
        <v>947650</v>
      </c>
      <c r="D11" s="244">
        <f>(C11-B11)/B11</f>
        <v>0.12567292113103015</v>
      </c>
      <c r="E11" s="242">
        <v>841852</v>
      </c>
      <c r="F11" s="243">
        <v>1029688</v>
      </c>
      <c r="G11" s="244">
        <f>(F11-E11)/E11</f>
        <v>0.22312235404797992</v>
      </c>
    </row>
    <row r="12" spans="1:7" ht="15.75" thickBot="1" x14ac:dyDescent="0.3">
      <c r="A12" s="240" t="s">
        <v>163</v>
      </c>
      <c r="B12" s="242">
        <v>47770</v>
      </c>
      <c r="C12" s="243">
        <v>50525</v>
      </c>
      <c r="D12" s="244">
        <f>(C12-B12)/B12</f>
        <v>5.7672179191961485E-2</v>
      </c>
      <c r="E12" s="242">
        <v>47770</v>
      </c>
      <c r="F12" s="243">
        <v>52924</v>
      </c>
      <c r="G12" s="244">
        <f>(F12-E12)/E12</f>
        <v>0.10789198241574209</v>
      </c>
    </row>
    <row r="13" spans="1:7" ht="15.75" thickBot="1" x14ac:dyDescent="0.3">
      <c r="A13" s="240" t="s">
        <v>164</v>
      </c>
      <c r="B13" s="242">
        <v>139352</v>
      </c>
      <c r="C13" s="243">
        <v>191719</v>
      </c>
      <c r="D13" s="244">
        <f>(C13-B13)/B13</f>
        <v>0.37578936793156897</v>
      </c>
      <c r="E13" s="242">
        <v>139352</v>
      </c>
      <c r="F13" s="243">
        <v>237173</v>
      </c>
      <c r="G13" s="244">
        <f>(F13-E13)/E13</f>
        <v>0.70197054940008041</v>
      </c>
    </row>
    <row r="14" spans="1:7" ht="15.75" thickBot="1" x14ac:dyDescent="0.3">
      <c r="A14" s="245" t="s">
        <v>165</v>
      </c>
      <c r="B14" s="247">
        <v>0</v>
      </c>
      <c r="C14" s="248">
        <v>90</v>
      </c>
      <c r="D14" s="244" t="s">
        <v>131</v>
      </c>
      <c r="E14" s="247">
        <v>0</v>
      </c>
      <c r="F14" s="248">
        <v>90</v>
      </c>
      <c r="G14" s="244" t="s">
        <v>131</v>
      </c>
    </row>
    <row r="15" spans="1:7" ht="15.75" thickBot="1" x14ac:dyDescent="0.3">
      <c r="A15" s="249" t="s">
        <v>166</v>
      </c>
      <c r="B15" s="250">
        <f>SUM(B9:B14)</f>
        <v>2160645</v>
      </c>
      <c r="C15" s="251">
        <f>SUM(C9:C14)</f>
        <v>2254030</v>
      </c>
      <c r="D15" s="244">
        <f>(C15-B15)/B15</f>
        <v>4.3220890058292778E-2</v>
      </c>
      <c r="E15" s="250">
        <f>SUM(E9:E14)</f>
        <v>2160645</v>
      </c>
      <c r="F15" s="251">
        <f>SUM(F9:F14)</f>
        <v>2302727</v>
      </c>
      <c r="G15" s="244">
        <f>(F15-E15)/E15</f>
        <v>6.5759067315546982E-2</v>
      </c>
    </row>
    <row r="16" spans="1:7" x14ac:dyDescent="0.25">
      <c r="A16" s="237" t="s">
        <v>167</v>
      </c>
      <c r="B16" s="238"/>
      <c r="C16" s="239"/>
      <c r="D16" s="238"/>
      <c r="E16" s="238"/>
      <c r="F16" s="239"/>
      <c r="G16" s="238"/>
    </row>
    <row r="17" spans="1:7" ht="15.75" thickBot="1" x14ac:dyDescent="0.3">
      <c r="A17" s="240" t="s">
        <v>162</v>
      </c>
      <c r="B17" s="242">
        <v>23124</v>
      </c>
      <c r="C17" s="243">
        <v>22127</v>
      </c>
      <c r="D17" s="244">
        <f t="shared" ref="D17:D28" si="0">(C17-B17)/B17</f>
        <v>-4.3115377962290258E-2</v>
      </c>
      <c r="E17" s="242">
        <v>23124</v>
      </c>
      <c r="F17" s="243">
        <v>25955</v>
      </c>
      <c r="G17" s="244">
        <f t="shared" ref="G17:G28" si="1">(F17-E17)/E17</f>
        <v>0.12242691575851929</v>
      </c>
    </row>
    <row r="18" spans="1:7" ht="15.75" thickBot="1" x14ac:dyDescent="0.3">
      <c r="A18" s="240" t="s">
        <v>168</v>
      </c>
      <c r="B18" s="242">
        <v>4185</v>
      </c>
      <c r="C18" s="243">
        <v>0</v>
      </c>
      <c r="D18" s="244">
        <f t="shared" si="0"/>
        <v>-1</v>
      </c>
      <c r="E18" s="242">
        <v>4185</v>
      </c>
      <c r="F18" s="243">
        <v>0</v>
      </c>
      <c r="G18" s="244">
        <f t="shared" si="1"/>
        <v>-1</v>
      </c>
    </row>
    <row r="19" spans="1:7" ht="15.75" thickBot="1" x14ac:dyDescent="0.3">
      <c r="A19" s="240" t="s">
        <v>169</v>
      </c>
      <c r="B19" s="242">
        <v>83323</v>
      </c>
      <c r="C19" s="243">
        <v>88211</v>
      </c>
      <c r="D19" s="244">
        <f t="shared" si="0"/>
        <v>5.8663274246006508E-2</v>
      </c>
      <c r="E19" s="242">
        <v>83323</v>
      </c>
      <c r="F19" s="243">
        <v>99303</v>
      </c>
      <c r="G19" s="244">
        <f t="shared" si="1"/>
        <v>0.19178378118886741</v>
      </c>
    </row>
    <row r="20" spans="1:7" ht="15.75" thickBot="1" x14ac:dyDescent="0.3">
      <c r="A20" s="240" t="s">
        <v>170</v>
      </c>
      <c r="B20" s="242">
        <v>4016462</v>
      </c>
      <c r="C20" s="243">
        <v>3326010</v>
      </c>
      <c r="D20" s="244">
        <f t="shared" si="0"/>
        <v>-0.17190552282083088</v>
      </c>
      <c r="E20" s="242">
        <v>4016462</v>
      </c>
      <c r="F20" s="243">
        <v>3560224</v>
      </c>
      <c r="G20" s="244">
        <f t="shared" si="1"/>
        <v>-0.11359201207430819</v>
      </c>
    </row>
    <row r="21" spans="1:7" ht="15.75" thickBot="1" x14ac:dyDescent="0.3">
      <c r="A21" s="240" t="s">
        <v>171</v>
      </c>
      <c r="B21" s="242">
        <v>2963335</v>
      </c>
      <c r="C21" s="243">
        <v>3102326</v>
      </c>
      <c r="D21" s="244">
        <f t="shared" si="0"/>
        <v>4.6903573170093832E-2</v>
      </c>
      <c r="E21" s="242">
        <v>2963335</v>
      </c>
      <c r="F21" s="243">
        <v>3153387</v>
      </c>
      <c r="G21" s="244">
        <f t="shared" si="1"/>
        <v>6.4134497112206354E-2</v>
      </c>
    </row>
    <row r="22" spans="1:7" ht="15.75" thickBot="1" x14ac:dyDescent="0.3">
      <c r="A22" s="240" t="s">
        <v>141</v>
      </c>
      <c r="B22" s="242">
        <v>96280</v>
      </c>
      <c r="C22" s="243">
        <v>91664</v>
      </c>
      <c r="D22" s="244">
        <f t="shared" si="0"/>
        <v>-4.7943498130452844E-2</v>
      </c>
      <c r="E22" s="242">
        <v>96280</v>
      </c>
      <c r="F22" s="243">
        <v>93406</v>
      </c>
      <c r="G22" s="244">
        <f t="shared" si="1"/>
        <v>-2.9850436227669298E-2</v>
      </c>
    </row>
    <row r="23" spans="1:7" ht="15.75" thickBot="1" x14ac:dyDescent="0.3">
      <c r="A23" s="240" t="s">
        <v>172</v>
      </c>
      <c r="B23" s="242">
        <v>1373072</v>
      </c>
      <c r="C23" s="243">
        <v>1917055</v>
      </c>
      <c r="D23" s="244">
        <f t="shared" si="0"/>
        <v>0.39617951571366977</v>
      </c>
      <c r="E23" s="242">
        <v>1373072</v>
      </c>
      <c r="F23" s="243">
        <v>1907535</v>
      </c>
      <c r="G23" s="244">
        <f t="shared" si="1"/>
        <v>0.38924615752123704</v>
      </c>
    </row>
    <row r="24" spans="1:7" ht="15.75" thickBot="1" x14ac:dyDescent="0.3">
      <c r="A24" s="240" t="s">
        <v>173</v>
      </c>
      <c r="B24" s="242">
        <v>766829</v>
      </c>
      <c r="C24" s="243">
        <v>1172268</v>
      </c>
      <c r="D24" s="244">
        <f t="shared" si="0"/>
        <v>0.52872152722445287</v>
      </c>
      <c r="E24" s="242">
        <v>766829</v>
      </c>
      <c r="F24" s="243">
        <v>1167856</v>
      </c>
      <c r="G24" s="244">
        <f t="shared" si="1"/>
        <v>0.52296796287047043</v>
      </c>
    </row>
    <row r="25" spans="1:7" ht="15.75" thickBot="1" x14ac:dyDescent="0.3">
      <c r="A25" s="240" t="s">
        <v>174</v>
      </c>
      <c r="B25" s="242">
        <v>297783</v>
      </c>
      <c r="C25" s="243">
        <v>339127</v>
      </c>
      <c r="D25" s="244">
        <f t="shared" si="0"/>
        <v>0.13883935617547005</v>
      </c>
      <c r="E25" s="242">
        <v>297783</v>
      </c>
      <c r="F25" s="243">
        <v>336121</v>
      </c>
      <c r="G25" s="244">
        <f t="shared" si="1"/>
        <v>0.12874475708821526</v>
      </c>
    </row>
    <row r="26" spans="1:7" ht="15.75" thickBot="1" x14ac:dyDescent="0.3">
      <c r="A26" s="245" t="s">
        <v>25</v>
      </c>
      <c r="B26" s="247">
        <v>32348</v>
      </c>
      <c r="C26" s="248">
        <v>33883</v>
      </c>
      <c r="D26" s="252">
        <f t="shared" si="0"/>
        <v>4.7452701867194261E-2</v>
      </c>
      <c r="E26" s="247">
        <v>32348</v>
      </c>
      <c r="F26" s="248">
        <v>37352</v>
      </c>
      <c r="G26" s="252">
        <f t="shared" si="1"/>
        <v>0.15469271670582416</v>
      </c>
    </row>
    <row r="27" spans="1:7" ht="15.75" thickBot="1" x14ac:dyDescent="0.3">
      <c r="A27" s="249" t="s">
        <v>175</v>
      </c>
      <c r="B27" s="250">
        <f>SUM(B17:B26)</f>
        <v>9656741</v>
      </c>
      <c r="C27" s="251">
        <f>SUM(C17:C26)</f>
        <v>10092671</v>
      </c>
      <c r="D27" s="253">
        <f t="shared" si="0"/>
        <v>4.5142558964768757E-2</v>
      </c>
      <c r="E27" s="250">
        <f>SUM(E17:E26)</f>
        <v>9656741</v>
      </c>
      <c r="F27" s="251">
        <f>SUM(F17:F26)</f>
        <v>10381139</v>
      </c>
      <c r="G27" s="253">
        <f t="shared" si="1"/>
        <v>7.5014748764619457E-2</v>
      </c>
    </row>
    <row r="28" spans="1:7" ht="15.75" thickBot="1" x14ac:dyDescent="0.3">
      <c r="A28" s="249" t="s">
        <v>176</v>
      </c>
      <c r="B28" s="250">
        <f>+B15+B27</f>
        <v>11817386</v>
      </c>
      <c r="C28" s="251">
        <f>+C15+C27</f>
        <v>12346701</v>
      </c>
      <c r="D28" s="253">
        <f t="shared" si="0"/>
        <v>4.4791208478761717E-2</v>
      </c>
      <c r="E28" s="250">
        <f>+E15+E27</f>
        <v>11817386</v>
      </c>
      <c r="F28" s="251">
        <f>+F15+F27</f>
        <v>12683866</v>
      </c>
      <c r="G28" s="253">
        <f t="shared" si="1"/>
        <v>7.3322475884260704E-2</v>
      </c>
    </row>
    <row r="29" spans="1:7" x14ac:dyDescent="0.25">
      <c r="A29" s="234" t="s">
        <v>142</v>
      </c>
      <c r="B29" s="254"/>
      <c r="C29" s="255"/>
      <c r="D29" s="254"/>
      <c r="E29" s="254"/>
      <c r="F29" s="255"/>
      <c r="G29" s="254"/>
    </row>
    <row r="30" spans="1:7" x14ac:dyDescent="0.25">
      <c r="A30" s="237" t="s">
        <v>177</v>
      </c>
      <c r="B30" s="256"/>
      <c r="C30" s="239"/>
      <c r="D30" s="256"/>
      <c r="E30" s="256"/>
      <c r="F30" s="239"/>
      <c r="G30" s="256"/>
    </row>
    <row r="31" spans="1:7" ht="15.75" thickBot="1" x14ac:dyDescent="0.3">
      <c r="A31" s="240" t="s">
        <v>28</v>
      </c>
      <c r="B31" s="242">
        <v>455480</v>
      </c>
      <c r="C31" s="243">
        <v>708303</v>
      </c>
      <c r="D31" s="244">
        <f t="shared" ref="D31:D37" si="2">(C31-B31)/B31</f>
        <v>0.5550693773601475</v>
      </c>
      <c r="E31" s="242">
        <v>455480</v>
      </c>
      <c r="F31" s="243">
        <v>788166</v>
      </c>
      <c r="G31" s="244">
        <f t="shared" ref="G31:G37" si="3">(F31-E31)/E31</f>
        <v>0.73040748221656271</v>
      </c>
    </row>
    <row r="32" spans="1:7" ht="15.75" thickBot="1" x14ac:dyDescent="0.3">
      <c r="A32" s="240" t="s">
        <v>178</v>
      </c>
      <c r="B32" s="242">
        <v>656458</v>
      </c>
      <c r="C32" s="243">
        <v>829817</v>
      </c>
      <c r="D32" s="244">
        <f t="shared" si="2"/>
        <v>0.26408239369464609</v>
      </c>
      <c r="E32" s="242">
        <v>656458</v>
      </c>
      <c r="F32" s="243">
        <v>783029</v>
      </c>
      <c r="G32" s="244">
        <f t="shared" si="3"/>
        <v>0.19280898397155644</v>
      </c>
    </row>
    <row r="33" spans="1:7" ht="15.75" thickBot="1" x14ac:dyDescent="0.3">
      <c r="A33" s="240" t="s">
        <v>30</v>
      </c>
      <c r="B33" s="242">
        <v>150217</v>
      </c>
      <c r="C33" s="243">
        <v>180907</v>
      </c>
      <c r="D33" s="244">
        <f t="shared" si="2"/>
        <v>0.20430443957741135</v>
      </c>
      <c r="E33" s="242">
        <v>150217</v>
      </c>
      <c r="F33" s="243">
        <v>183780</v>
      </c>
      <c r="G33" s="244">
        <f t="shared" si="3"/>
        <v>0.22343010444889727</v>
      </c>
    </row>
    <row r="34" spans="1:7" ht="15.75" thickBot="1" x14ac:dyDescent="0.3">
      <c r="A34" s="240" t="s">
        <v>179</v>
      </c>
      <c r="B34" s="242">
        <v>137300</v>
      </c>
      <c r="C34" s="243">
        <v>114638</v>
      </c>
      <c r="D34" s="244">
        <f t="shared" si="2"/>
        <v>-0.16505462490895847</v>
      </c>
      <c r="E34" s="242">
        <v>137300</v>
      </c>
      <c r="F34" s="243">
        <v>133356</v>
      </c>
      <c r="G34" s="244">
        <f t="shared" si="3"/>
        <v>-2.8725418790968682E-2</v>
      </c>
    </row>
    <row r="35" spans="1:7" ht="15.75" thickBot="1" x14ac:dyDescent="0.3">
      <c r="A35" s="240" t="s">
        <v>180</v>
      </c>
      <c r="B35" s="242">
        <v>2417</v>
      </c>
      <c r="C35" s="243">
        <v>3919</v>
      </c>
      <c r="D35" s="244">
        <f t="shared" si="2"/>
        <v>0.62143152668597434</v>
      </c>
      <c r="E35" s="242">
        <v>2417</v>
      </c>
      <c r="F35" s="243">
        <v>3371</v>
      </c>
      <c r="G35" s="244">
        <f t="shared" si="3"/>
        <v>0.39470417873396774</v>
      </c>
    </row>
    <row r="36" spans="1:7" ht="15.75" thickBot="1" x14ac:dyDescent="0.3">
      <c r="A36" s="245" t="s">
        <v>143</v>
      </c>
      <c r="B36" s="247">
        <v>13885</v>
      </c>
      <c r="C36" s="248">
        <v>24077</v>
      </c>
      <c r="D36" s="252">
        <f t="shared" si="2"/>
        <v>0.73402952826791501</v>
      </c>
      <c r="E36" s="247">
        <v>13885</v>
      </c>
      <c r="F36" s="248">
        <v>17127</v>
      </c>
      <c r="G36" s="252">
        <f t="shared" si="3"/>
        <v>0.23348937702556716</v>
      </c>
    </row>
    <row r="37" spans="1:7" ht="15.75" thickBot="1" x14ac:dyDescent="0.3">
      <c r="A37" s="249" t="s">
        <v>181</v>
      </c>
      <c r="B37" s="250">
        <f>SUM(B31:B36)</f>
        <v>1415757</v>
      </c>
      <c r="C37" s="251">
        <f>SUM(C31:C36)</f>
        <v>1861661</v>
      </c>
      <c r="D37" s="253">
        <f t="shared" si="2"/>
        <v>0.31495800479884611</v>
      </c>
      <c r="E37" s="250">
        <f>SUM(E31:E36)</f>
        <v>1415757</v>
      </c>
      <c r="F37" s="251">
        <f>SUM(F31:F36)</f>
        <v>1908829</v>
      </c>
      <c r="G37" s="253">
        <f t="shared" si="3"/>
        <v>0.3482744567040813</v>
      </c>
    </row>
    <row r="38" spans="1:7" x14ac:dyDescent="0.25">
      <c r="A38" s="237" t="s">
        <v>182</v>
      </c>
      <c r="B38" s="238"/>
      <c r="C38" s="239"/>
      <c r="D38" s="238"/>
      <c r="E38" s="238"/>
      <c r="F38" s="239"/>
      <c r="G38" s="238"/>
    </row>
    <row r="39" spans="1:7" ht="15.75" thickBot="1" x14ac:dyDescent="0.3">
      <c r="A39" s="240" t="s">
        <v>28</v>
      </c>
      <c r="B39" s="242">
        <v>1688797</v>
      </c>
      <c r="C39" s="243">
        <v>2294658</v>
      </c>
      <c r="D39" s="244">
        <f>(C39-B39)/B39</f>
        <v>0.35875300583788344</v>
      </c>
      <c r="E39" s="242">
        <v>1688797</v>
      </c>
      <c r="F39" s="243">
        <v>2291154</v>
      </c>
      <c r="G39" s="244">
        <f>(F39-E39)/E39</f>
        <v>0.35667815610757242</v>
      </c>
    </row>
    <row r="40" spans="1:7" ht="15.75" thickBot="1" x14ac:dyDescent="0.3">
      <c r="A40" s="240" t="s">
        <v>178</v>
      </c>
      <c r="B40" s="241">
        <v>159</v>
      </c>
      <c r="C40" s="257">
        <v>159</v>
      </c>
      <c r="D40" s="244">
        <f>(C40-B40)/B40</f>
        <v>0</v>
      </c>
      <c r="E40" s="241">
        <v>159</v>
      </c>
      <c r="F40" s="257">
        <v>159</v>
      </c>
      <c r="G40" s="244">
        <f>(F40-E40)/E40</f>
        <v>0</v>
      </c>
    </row>
    <row r="41" spans="1:7" ht="15.75" thickBot="1" x14ac:dyDescent="0.3">
      <c r="A41" s="240" t="s">
        <v>179</v>
      </c>
      <c r="B41" s="242">
        <v>209287</v>
      </c>
      <c r="C41" s="243">
        <v>218228</v>
      </c>
      <c r="D41" s="244">
        <f>(C41-B41)/B41</f>
        <v>4.2721239255185464E-2</v>
      </c>
      <c r="E41" s="242">
        <v>209287</v>
      </c>
      <c r="F41" s="243">
        <v>221192</v>
      </c>
      <c r="G41" s="244">
        <f>(F41-E41)/E41</f>
        <v>5.6883609588746553E-2</v>
      </c>
    </row>
    <row r="42" spans="1:7" ht="15.75" thickBot="1" x14ac:dyDescent="0.3">
      <c r="A42" s="240" t="s">
        <v>183</v>
      </c>
      <c r="B42" s="242">
        <v>471713</v>
      </c>
      <c r="C42" s="243">
        <v>649011</v>
      </c>
      <c r="D42" s="244">
        <f>(C42-B42)/B42</f>
        <v>0.37585989786162349</v>
      </c>
      <c r="E42" s="242">
        <v>471713</v>
      </c>
      <c r="F42" s="243">
        <v>645944</v>
      </c>
      <c r="G42" s="244">
        <f>(F42-E42)/E42</f>
        <v>0.36935806305952984</v>
      </c>
    </row>
    <row r="43" spans="1:7" ht="15.75" thickBot="1" x14ac:dyDescent="0.3">
      <c r="A43" s="245" t="s">
        <v>143</v>
      </c>
      <c r="B43" s="246" t="s">
        <v>184</v>
      </c>
      <c r="C43" s="258" t="s">
        <v>184</v>
      </c>
      <c r="D43" s="252" t="s">
        <v>131</v>
      </c>
      <c r="E43" s="246" t="s">
        <v>184</v>
      </c>
      <c r="F43" s="258" t="s">
        <v>184</v>
      </c>
      <c r="G43" s="252" t="s">
        <v>131</v>
      </c>
    </row>
    <row r="44" spans="1:7" ht="15.75" thickBot="1" x14ac:dyDescent="0.3">
      <c r="A44" s="249" t="s">
        <v>185</v>
      </c>
      <c r="B44" s="250">
        <f>SUM(B39:B43)</f>
        <v>2369956</v>
      </c>
      <c r="C44" s="251">
        <f>SUM(C39:C43)</f>
        <v>3162056</v>
      </c>
      <c r="D44" s="253">
        <f>(C44-B44)/B44</f>
        <v>0.33422561431520248</v>
      </c>
      <c r="E44" s="250">
        <f>SUM(E39:E43)</f>
        <v>2369956</v>
      </c>
      <c r="F44" s="251">
        <f>SUM(F39:F43)</f>
        <v>3158449</v>
      </c>
      <c r="G44" s="253">
        <f>(F44-E44)/E44</f>
        <v>0.33270364513096445</v>
      </c>
    </row>
    <row r="45" spans="1:7" ht="15.75" thickBot="1" x14ac:dyDescent="0.3">
      <c r="A45" s="249" t="s">
        <v>186</v>
      </c>
      <c r="B45" s="250">
        <f>+B37+B44</f>
        <v>3785713</v>
      </c>
      <c r="C45" s="251">
        <f>+C37+C44</f>
        <v>5023717</v>
      </c>
      <c r="D45" s="253">
        <f>(C45-B45)/B45</f>
        <v>0.32702003559171022</v>
      </c>
      <c r="E45" s="250">
        <f>+E37+E44</f>
        <v>3785713</v>
      </c>
      <c r="F45" s="251">
        <f>+F37+F44</f>
        <v>5067278</v>
      </c>
      <c r="G45" s="253">
        <f>(F45-E45)/E45</f>
        <v>0.33852671874492335</v>
      </c>
    </row>
    <row r="46" spans="1:7" x14ac:dyDescent="0.25">
      <c r="A46" s="234" t="s">
        <v>34</v>
      </c>
      <c r="B46" s="254"/>
      <c r="C46" s="255"/>
      <c r="D46" s="254"/>
      <c r="E46" s="254"/>
      <c r="F46" s="255"/>
      <c r="G46" s="254"/>
    </row>
    <row r="47" spans="1:7" ht="15.75" thickBot="1" x14ac:dyDescent="0.3">
      <c r="A47" s="249" t="s">
        <v>187</v>
      </c>
      <c r="B47" s="250">
        <v>8001755</v>
      </c>
      <c r="C47" s="251">
        <v>7291710</v>
      </c>
      <c r="D47" s="253">
        <f>(C47-B47)/B47</f>
        <v>-8.8736158505227911E-2</v>
      </c>
      <c r="E47" s="250">
        <v>8001755</v>
      </c>
      <c r="F47" s="251">
        <v>7585730</v>
      </c>
      <c r="G47" s="253">
        <f>(F47-E47)/E47</f>
        <v>-5.1991719316574925E-2</v>
      </c>
    </row>
    <row r="48" spans="1:7" ht="15.75" thickBot="1" x14ac:dyDescent="0.3">
      <c r="A48" s="259" t="s">
        <v>188</v>
      </c>
      <c r="B48" s="247">
        <v>29918</v>
      </c>
      <c r="C48" s="248">
        <v>31274</v>
      </c>
      <c r="D48" s="252">
        <f>(C48-B48)/B48</f>
        <v>4.5323885286449629E-2</v>
      </c>
      <c r="E48" s="247">
        <v>29918</v>
      </c>
      <c r="F48" s="248">
        <v>30858</v>
      </c>
      <c r="G48" s="252">
        <f>(F48-E48)/E48</f>
        <v>3.1419212514205493E-2</v>
      </c>
    </row>
    <row r="49" spans="1:20" ht="15.75" thickBot="1" x14ac:dyDescent="0.3">
      <c r="A49" s="249" t="s">
        <v>189</v>
      </c>
      <c r="B49" s="250">
        <f>SUM(B47:B48)</f>
        <v>8031673</v>
      </c>
      <c r="C49" s="251">
        <f>SUM(C47:C48)</f>
        <v>7322984</v>
      </c>
      <c r="D49" s="253">
        <f>(C49-B49)/B49</f>
        <v>-8.8236784540406468E-2</v>
      </c>
      <c r="E49" s="250">
        <f>SUM(E47:E48)</f>
        <v>8031673</v>
      </c>
      <c r="F49" s="251">
        <f>SUM(F47:F48)</f>
        <v>7616588</v>
      </c>
      <c r="G49" s="253">
        <f>(F49-E49)/E49</f>
        <v>-5.1681013407791875E-2</v>
      </c>
    </row>
    <row r="50" spans="1:20" ht="15.75" thickBot="1" x14ac:dyDescent="0.3">
      <c r="A50" s="260" t="s">
        <v>190</v>
      </c>
      <c r="B50" s="261">
        <f>+B45+B49</f>
        <v>11817386</v>
      </c>
      <c r="C50" s="251">
        <f>+C45+C49</f>
        <v>12346701</v>
      </c>
      <c r="D50" s="262">
        <f>(C50-B50)/B50</f>
        <v>4.4791208478761717E-2</v>
      </c>
      <c r="E50" s="261">
        <f>+E45+E49</f>
        <v>11817386</v>
      </c>
      <c r="F50" s="251">
        <f>+F45+F49</f>
        <v>12683866</v>
      </c>
      <c r="G50" s="262">
        <f>(F50-E50)/E50</f>
        <v>7.3322475884260704E-2</v>
      </c>
    </row>
    <row r="52" spans="1:20" x14ac:dyDescent="0.25">
      <c r="C52" s="263"/>
      <c r="E52" s="263"/>
      <c r="H52" s="263"/>
      <c r="J52" s="263"/>
      <c r="M52" s="263"/>
      <c r="O52" s="263"/>
      <c r="R52" s="263"/>
      <c r="T52" s="263"/>
    </row>
    <row r="53" spans="1:20" ht="18.75" x14ac:dyDescent="0.3">
      <c r="A53" s="264" t="s">
        <v>191</v>
      </c>
      <c r="B53" s="362"/>
      <c r="C53" s="362"/>
      <c r="D53" s="362"/>
      <c r="E53" s="362"/>
    </row>
    <row r="54" spans="1:20" x14ac:dyDescent="0.25">
      <c r="A54" s="230" t="s">
        <v>215</v>
      </c>
      <c r="B54" s="362"/>
      <c r="C54" s="362"/>
      <c r="D54" s="362"/>
      <c r="E54" s="362"/>
    </row>
    <row r="55" spans="1:20" x14ac:dyDescent="0.25">
      <c r="A55" s="230" t="s">
        <v>88</v>
      </c>
      <c r="B55" s="362"/>
      <c r="C55" s="362"/>
      <c r="D55" s="362"/>
      <c r="E55" s="362"/>
    </row>
    <row r="56" spans="1:20" x14ac:dyDescent="0.25">
      <c r="A56" s="265" t="s">
        <v>159</v>
      </c>
      <c r="B56" s="362"/>
      <c r="C56" s="362"/>
      <c r="D56" s="362"/>
      <c r="E56" s="362"/>
    </row>
    <row r="57" spans="1:20" ht="15.75" thickBot="1" x14ac:dyDescent="0.3">
      <c r="B57" s="364"/>
      <c r="C57" s="364"/>
      <c r="D57" s="364"/>
      <c r="E57" s="364"/>
    </row>
    <row r="58" spans="1:20" ht="15.75" customHeight="1" thickBot="1" x14ac:dyDescent="0.3">
      <c r="A58" s="361"/>
      <c r="B58" s="348" t="s">
        <v>145</v>
      </c>
      <c r="C58" s="348" t="s">
        <v>55</v>
      </c>
      <c r="D58" s="351" t="s">
        <v>146</v>
      </c>
      <c r="E58" s="348" t="s">
        <v>55</v>
      </c>
      <c r="F58" s="348" t="s">
        <v>46</v>
      </c>
      <c r="G58" s="348" t="s">
        <v>145</v>
      </c>
      <c r="H58" s="351" t="s">
        <v>146</v>
      </c>
      <c r="I58" s="348" t="s">
        <v>147</v>
      </c>
      <c r="J58" s="348" t="s">
        <v>55</v>
      </c>
      <c r="K58" s="351" t="s">
        <v>148</v>
      </c>
      <c r="L58" s="348" t="s">
        <v>55</v>
      </c>
      <c r="M58" s="348" t="s">
        <v>46</v>
      </c>
      <c r="N58" s="348" t="s">
        <v>149</v>
      </c>
      <c r="O58" s="348" t="s">
        <v>55</v>
      </c>
      <c r="P58" s="351" t="s">
        <v>150</v>
      </c>
      <c r="Q58" s="348" t="s">
        <v>55</v>
      </c>
      <c r="R58" s="348" t="s">
        <v>46</v>
      </c>
    </row>
    <row r="59" spans="1:20" ht="15.75" thickTop="1" x14ac:dyDescent="0.25">
      <c r="A59" s="266" t="s">
        <v>193</v>
      </c>
      <c r="B59" s="232"/>
      <c r="C59" s="232"/>
      <c r="D59" s="267"/>
      <c r="E59" s="232"/>
      <c r="F59" s="232"/>
      <c r="G59" s="232"/>
      <c r="H59" s="267"/>
      <c r="I59" s="232"/>
      <c r="J59" s="232"/>
      <c r="K59" s="267"/>
      <c r="L59" s="232"/>
      <c r="M59" s="232"/>
      <c r="N59" s="232"/>
      <c r="O59" s="232"/>
      <c r="P59" s="267"/>
      <c r="Q59" s="232"/>
      <c r="R59" s="232"/>
    </row>
    <row r="60" spans="1:20" ht="15.75" thickBot="1" x14ac:dyDescent="0.3">
      <c r="A60" s="268" t="s">
        <v>194</v>
      </c>
      <c r="B60" s="269">
        <v>1531515</v>
      </c>
      <c r="C60" s="270">
        <f t="shared" ref="C60:C81" si="4">+B60/$B$60</f>
        <v>1</v>
      </c>
      <c r="D60" s="271">
        <v>1726220</v>
      </c>
      <c r="E60" s="270">
        <f>+D60/$D$60</f>
        <v>1</v>
      </c>
      <c r="F60" s="270">
        <f t="shared" ref="F60:F74" si="5">(D60-B60)/B60</f>
        <v>0.12713228404553661</v>
      </c>
      <c r="G60" s="269">
        <v>1531515</v>
      </c>
      <c r="H60" s="271">
        <v>1726220</v>
      </c>
      <c r="I60" s="269">
        <v>1535432</v>
      </c>
      <c r="J60" s="270">
        <f>I60/$I$60</f>
        <v>1</v>
      </c>
      <c r="K60" s="271">
        <v>1857180</v>
      </c>
      <c r="L60" s="270">
        <f>+K60/$K$60</f>
        <v>1</v>
      </c>
      <c r="M60" s="270">
        <f t="shared" ref="M60:M70" si="6">(K60-I60)/I60</f>
        <v>0.20954884358278322</v>
      </c>
      <c r="N60" s="269">
        <f t="shared" ref="N60:N81" si="7">+G60+I60</f>
        <v>3066947</v>
      </c>
      <c r="O60" s="270">
        <f>N60/$N$60</f>
        <v>1</v>
      </c>
      <c r="P60" s="271">
        <f t="shared" ref="P60:P74" si="8">+H60+K60</f>
        <v>3583400</v>
      </c>
      <c r="Q60" s="270">
        <f>P60/$P$60</f>
        <v>1</v>
      </c>
      <c r="R60" s="270">
        <f t="shared" ref="R60:R81" si="9">(P60-N60)/N60</f>
        <v>0.16839319362219171</v>
      </c>
    </row>
    <row r="61" spans="1:20" ht="15.75" thickBot="1" x14ac:dyDescent="0.3">
      <c r="A61" s="272" t="s">
        <v>195</v>
      </c>
      <c r="B61" s="274">
        <v>-842171</v>
      </c>
      <c r="C61" s="275">
        <f t="shared" si="4"/>
        <v>-0.54989405915057965</v>
      </c>
      <c r="D61" s="276">
        <v>-972781</v>
      </c>
      <c r="E61" s="275">
        <f t="shared" ref="E61:E87" si="10">+D61/$D$60</f>
        <v>-0.56353245820347353</v>
      </c>
      <c r="F61" s="275">
        <f t="shared" si="5"/>
        <v>0.15508726850010271</v>
      </c>
      <c r="G61" s="274">
        <v>-842171</v>
      </c>
      <c r="H61" s="276">
        <v>-972781</v>
      </c>
      <c r="I61" s="274">
        <v>-855871</v>
      </c>
      <c r="J61" s="275">
        <f t="shared" ref="J61:J87" si="11">I61/$I$60</f>
        <v>-0.55741380927322082</v>
      </c>
      <c r="K61" s="276">
        <v>-1044465</v>
      </c>
      <c r="L61" s="275">
        <f t="shared" ref="L61:L87" si="12">+K61/$K$60</f>
        <v>-0.56239298290957263</v>
      </c>
      <c r="M61" s="275">
        <f t="shared" si="6"/>
        <v>0.22035330090632818</v>
      </c>
      <c r="N61" s="274">
        <f t="shared" si="7"/>
        <v>-1698042</v>
      </c>
      <c r="O61" s="275">
        <f t="shared" ref="O61:O87" si="13">N61/$N$60</f>
        <v>-0.55365873619596295</v>
      </c>
      <c r="P61" s="276">
        <f t="shared" si="8"/>
        <v>-2017246</v>
      </c>
      <c r="Q61" s="275">
        <f t="shared" ref="Q61:Q87" si="14">P61/$P$60</f>
        <v>-0.56294189875537204</v>
      </c>
      <c r="R61" s="275">
        <f t="shared" si="9"/>
        <v>0.18798357166666077</v>
      </c>
    </row>
    <row r="62" spans="1:20" ht="15.75" thickBot="1" x14ac:dyDescent="0.3">
      <c r="A62" s="277" t="s">
        <v>196</v>
      </c>
      <c r="B62" s="278">
        <f>SUM(B60:B61)</f>
        <v>689344</v>
      </c>
      <c r="C62" s="279">
        <f t="shared" si="4"/>
        <v>0.45010594084942035</v>
      </c>
      <c r="D62" s="280">
        <f>SUM(D60:D61)</f>
        <v>753439</v>
      </c>
      <c r="E62" s="279">
        <f t="shared" si="10"/>
        <v>0.43646754179652653</v>
      </c>
      <c r="F62" s="279">
        <f t="shared" si="5"/>
        <v>9.297970244174171E-2</v>
      </c>
      <c r="G62" s="278">
        <f>SUM(G60:G61)</f>
        <v>689344</v>
      </c>
      <c r="H62" s="280">
        <f>SUM(H60:H61)</f>
        <v>753439</v>
      </c>
      <c r="I62" s="278">
        <f>SUM(I60:I61)</f>
        <v>679561</v>
      </c>
      <c r="J62" s="279">
        <f t="shared" si="11"/>
        <v>0.44258619072677918</v>
      </c>
      <c r="K62" s="280">
        <f>SUM(K60:K61)</f>
        <v>812715</v>
      </c>
      <c r="L62" s="279">
        <f t="shared" si="12"/>
        <v>0.43760701709042743</v>
      </c>
      <c r="M62" s="279">
        <f t="shared" si="6"/>
        <v>0.19594120321795983</v>
      </c>
      <c r="N62" s="278">
        <f t="shared" si="7"/>
        <v>1368905</v>
      </c>
      <c r="O62" s="279">
        <f t="shared" si="13"/>
        <v>0.44634126380403705</v>
      </c>
      <c r="P62" s="280">
        <f t="shared" si="8"/>
        <v>1566154</v>
      </c>
      <c r="Q62" s="279">
        <f t="shared" si="14"/>
        <v>0.43705810124462802</v>
      </c>
      <c r="R62" s="279">
        <f t="shared" si="9"/>
        <v>0.14409254111863132</v>
      </c>
    </row>
    <row r="63" spans="1:20" ht="15.75" thickBot="1" x14ac:dyDescent="0.3">
      <c r="A63" s="272" t="s">
        <v>7</v>
      </c>
      <c r="B63" s="274">
        <v>-84830</v>
      </c>
      <c r="C63" s="275">
        <f t="shared" si="4"/>
        <v>-5.5389597881835957E-2</v>
      </c>
      <c r="D63" s="276">
        <v>-96265</v>
      </c>
      <c r="E63" s="275">
        <f t="shared" si="10"/>
        <v>-5.5766356547832838E-2</v>
      </c>
      <c r="F63" s="275">
        <f t="shared" si="5"/>
        <v>0.13479900978427442</v>
      </c>
      <c r="G63" s="274">
        <v>-84830</v>
      </c>
      <c r="H63" s="276">
        <v>-96265</v>
      </c>
      <c r="I63" s="274">
        <v>-78423</v>
      </c>
      <c r="J63" s="275">
        <f t="shared" si="11"/>
        <v>-5.1075527929598963E-2</v>
      </c>
      <c r="K63" s="276">
        <v>-86818</v>
      </c>
      <c r="L63" s="275">
        <f t="shared" si="12"/>
        <v>-4.6747218901775814E-2</v>
      </c>
      <c r="M63" s="275">
        <f t="shared" si="6"/>
        <v>0.107047677339556</v>
      </c>
      <c r="N63" s="274">
        <f t="shared" si="7"/>
        <v>-163253</v>
      </c>
      <c r="O63" s="275">
        <f t="shared" si="13"/>
        <v>-5.3229808014289129E-2</v>
      </c>
      <c r="P63" s="276">
        <f t="shared" si="8"/>
        <v>-183083</v>
      </c>
      <c r="Q63" s="275">
        <f t="shared" si="14"/>
        <v>-5.1091979684098898E-2</v>
      </c>
      <c r="R63" s="275">
        <f t="shared" si="9"/>
        <v>0.12146790564338787</v>
      </c>
    </row>
    <row r="64" spans="1:20" ht="15.75" thickBot="1" x14ac:dyDescent="0.3">
      <c r="A64" s="272" t="s">
        <v>8</v>
      </c>
      <c r="B64" s="274">
        <v>-382688</v>
      </c>
      <c r="C64" s="275">
        <f t="shared" si="4"/>
        <v>-0.24987545012618226</v>
      </c>
      <c r="D64" s="276">
        <v>-436316</v>
      </c>
      <c r="E64" s="275">
        <f t="shared" si="10"/>
        <v>-0.25275804937956925</v>
      </c>
      <c r="F64" s="275">
        <f t="shared" si="5"/>
        <v>0.14013504473618196</v>
      </c>
      <c r="G64" s="274">
        <v>-382688</v>
      </c>
      <c r="H64" s="276">
        <v>-436316</v>
      </c>
      <c r="I64" s="274">
        <v>-403616</v>
      </c>
      <c r="J64" s="275">
        <f t="shared" si="11"/>
        <v>-0.26286803974386364</v>
      </c>
      <c r="K64" s="276">
        <v>-519884</v>
      </c>
      <c r="L64" s="275">
        <f t="shared" si="12"/>
        <v>-0.279931939822742</v>
      </c>
      <c r="M64" s="275">
        <f t="shared" si="6"/>
        <v>0.28806588440497899</v>
      </c>
      <c r="N64" s="274">
        <f t="shared" si="7"/>
        <v>-786304</v>
      </c>
      <c r="O64" s="275">
        <f t="shared" si="13"/>
        <v>-0.2563800417809633</v>
      </c>
      <c r="P64" s="276">
        <f t="shared" si="8"/>
        <v>-956200</v>
      </c>
      <c r="Q64" s="275">
        <f t="shared" si="14"/>
        <v>-0.26684154713400682</v>
      </c>
      <c r="R64" s="275">
        <f t="shared" si="9"/>
        <v>0.21606910304411525</v>
      </c>
    </row>
    <row r="65" spans="1:18" ht="15.75" thickBot="1" x14ac:dyDescent="0.3">
      <c r="A65" s="272" t="s">
        <v>84</v>
      </c>
      <c r="B65" s="274">
        <v>-29293</v>
      </c>
      <c r="C65" s="275">
        <f t="shared" si="4"/>
        <v>-1.9126812339415548E-2</v>
      </c>
      <c r="D65" s="276">
        <v>-32449</v>
      </c>
      <c r="E65" s="275">
        <f t="shared" si="10"/>
        <v>-1.8797719873480785E-2</v>
      </c>
      <c r="F65" s="275">
        <f t="shared" si="5"/>
        <v>0.10773905028505104</v>
      </c>
      <c r="G65" s="274">
        <v>-29293</v>
      </c>
      <c r="H65" s="276">
        <v>-32449</v>
      </c>
      <c r="I65" s="274">
        <v>-27305</v>
      </c>
      <c r="J65" s="275">
        <f t="shared" si="11"/>
        <v>-1.7783268812946455E-2</v>
      </c>
      <c r="K65" s="276">
        <v>-32184</v>
      </c>
      <c r="L65" s="275">
        <f t="shared" si="12"/>
        <v>-1.7329499563854878E-2</v>
      </c>
      <c r="M65" s="275">
        <f t="shared" si="6"/>
        <v>0.17868522248672405</v>
      </c>
      <c r="N65" s="274">
        <f t="shared" si="7"/>
        <v>-56598</v>
      </c>
      <c r="O65" s="275">
        <f t="shared" si="13"/>
        <v>-1.8454182612219906E-2</v>
      </c>
      <c r="P65" s="276">
        <f t="shared" si="8"/>
        <v>-64633</v>
      </c>
      <c r="Q65" s="275">
        <f t="shared" si="14"/>
        <v>-1.8036780711056539E-2</v>
      </c>
      <c r="R65" s="275">
        <f t="shared" si="9"/>
        <v>0.14196614721368248</v>
      </c>
    </row>
    <row r="66" spans="1:18" ht="15.75" thickBot="1" x14ac:dyDescent="0.3">
      <c r="A66" s="272" t="s">
        <v>197</v>
      </c>
      <c r="B66" s="274">
        <v>1077</v>
      </c>
      <c r="C66" s="275">
        <f t="shared" si="4"/>
        <v>7.0322523775477228E-4</v>
      </c>
      <c r="D66" s="276">
        <v>8166</v>
      </c>
      <c r="E66" s="275">
        <f t="shared" si="10"/>
        <v>4.730567366847795E-3</v>
      </c>
      <c r="F66" s="275">
        <f t="shared" si="5"/>
        <v>6.5821727019498608</v>
      </c>
      <c r="G66" s="274">
        <v>1077</v>
      </c>
      <c r="H66" s="276">
        <v>8166</v>
      </c>
      <c r="I66" s="274">
        <v>884</v>
      </c>
      <c r="J66" s="275">
        <f t="shared" si="11"/>
        <v>5.757337348707074E-4</v>
      </c>
      <c r="K66" s="276">
        <v>-286</v>
      </c>
      <c r="L66" s="275">
        <f t="shared" si="12"/>
        <v>-1.5399692006159876E-4</v>
      </c>
      <c r="M66" s="275">
        <f t="shared" si="6"/>
        <v>-1.3235294117647058</v>
      </c>
      <c r="N66" s="274">
        <f t="shared" si="7"/>
        <v>1961</v>
      </c>
      <c r="O66" s="275">
        <f t="shared" si="13"/>
        <v>6.3939807241533686E-4</v>
      </c>
      <c r="P66" s="276">
        <f t="shared" si="8"/>
        <v>7880</v>
      </c>
      <c r="Q66" s="275">
        <f t="shared" si="14"/>
        <v>2.1990288552771113E-3</v>
      </c>
      <c r="R66" s="275">
        <f t="shared" si="9"/>
        <v>3.0183579806221315</v>
      </c>
    </row>
    <row r="67" spans="1:18" ht="15.75" thickBot="1" x14ac:dyDescent="0.3">
      <c r="A67" s="272" t="s">
        <v>144</v>
      </c>
      <c r="B67" s="274">
        <v>2033</v>
      </c>
      <c r="C67" s="275">
        <f t="shared" si="4"/>
        <v>1.327443740348609E-3</v>
      </c>
      <c r="D67" s="276">
        <v>2206</v>
      </c>
      <c r="E67" s="275">
        <f t="shared" si="10"/>
        <v>1.2779367635643198E-3</v>
      </c>
      <c r="F67" s="275">
        <f t="shared" si="5"/>
        <v>8.5095917363502208E-2</v>
      </c>
      <c r="G67" s="274">
        <v>2033</v>
      </c>
      <c r="H67" s="276">
        <v>2206</v>
      </c>
      <c r="I67" s="274">
        <v>-9538</v>
      </c>
      <c r="J67" s="275">
        <f t="shared" si="11"/>
        <v>-6.2119325375529491E-3</v>
      </c>
      <c r="K67" s="276">
        <v>-116</v>
      </c>
      <c r="L67" s="275">
        <f t="shared" si="12"/>
        <v>-6.2460289255753351E-5</v>
      </c>
      <c r="M67" s="275">
        <f t="shared" si="6"/>
        <v>-0.98783812119941283</v>
      </c>
      <c r="N67" s="274">
        <f t="shared" si="7"/>
        <v>-7505</v>
      </c>
      <c r="O67" s="275">
        <f t="shared" si="13"/>
        <v>-2.4470589155926072E-3</v>
      </c>
      <c r="P67" s="276">
        <f t="shared" si="8"/>
        <v>2090</v>
      </c>
      <c r="Q67" s="275">
        <f t="shared" si="14"/>
        <v>5.8324496288441143E-4</v>
      </c>
      <c r="R67" s="275">
        <f t="shared" si="9"/>
        <v>-1.2784810126582278</v>
      </c>
    </row>
    <row r="68" spans="1:18" ht="15.75" thickBot="1" x14ac:dyDescent="0.3">
      <c r="A68" s="268" t="s">
        <v>198</v>
      </c>
      <c r="B68" s="269">
        <f>SUM(B62:B67)</f>
        <v>195643</v>
      </c>
      <c r="C68" s="270">
        <f t="shared" si="4"/>
        <v>0.12774474948008999</v>
      </c>
      <c r="D68" s="271">
        <f>SUM(D62:D67)</f>
        <v>198781</v>
      </c>
      <c r="E68" s="270">
        <f t="shared" si="10"/>
        <v>0.11515392012605577</v>
      </c>
      <c r="F68" s="270">
        <f t="shared" si="5"/>
        <v>1.6039418737189677E-2</v>
      </c>
      <c r="G68" s="269">
        <f>SUM(G62:G67)</f>
        <v>195643</v>
      </c>
      <c r="H68" s="271">
        <f>SUM(H62:H67)</f>
        <v>198781</v>
      </c>
      <c r="I68" s="269">
        <f>SUM(I62:I67)</f>
        <v>161563</v>
      </c>
      <c r="J68" s="270">
        <f t="shared" si="11"/>
        <v>0.1052231554376879</v>
      </c>
      <c r="K68" s="271">
        <f>SUM(K62:K67)</f>
        <v>173427</v>
      </c>
      <c r="L68" s="270">
        <f t="shared" si="12"/>
        <v>9.3381901592737376E-2</v>
      </c>
      <c r="M68" s="270">
        <f t="shared" si="6"/>
        <v>7.3432654753873103E-2</v>
      </c>
      <c r="N68" s="269">
        <f t="shared" si="7"/>
        <v>357206</v>
      </c>
      <c r="O68" s="270">
        <f t="shared" si="13"/>
        <v>0.11646957055338746</v>
      </c>
      <c r="P68" s="271">
        <f t="shared" si="8"/>
        <v>372208</v>
      </c>
      <c r="Q68" s="270">
        <f t="shared" si="14"/>
        <v>0.10387006753362728</v>
      </c>
      <c r="R68" s="270">
        <f t="shared" si="9"/>
        <v>4.1998174722709024E-2</v>
      </c>
    </row>
    <row r="69" spans="1:18" ht="15.75" thickBot="1" x14ac:dyDescent="0.3">
      <c r="A69" s="272" t="s">
        <v>51</v>
      </c>
      <c r="B69" s="274">
        <v>3334</v>
      </c>
      <c r="C69" s="275">
        <f t="shared" si="4"/>
        <v>2.1769293803847825E-3</v>
      </c>
      <c r="D69" s="276">
        <v>3035</v>
      </c>
      <c r="E69" s="275">
        <f t="shared" si="10"/>
        <v>1.7581768256653267E-3</v>
      </c>
      <c r="F69" s="275">
        <f t="shared" si="5"/>
        <v>-8.9682063587282548E-2</v>
      </c>
      <c r="G69" s="274">
        <v>3334</v>
      </c>
      <c r="H69" s="276">
        <v>3035</v>
      </c>
      <c r="I69" s="274">
        <v>2808</v>
      </c>
      <c r="J69" s="275">
        <f t="shared" si="11"/>
        <v>1.8288012754716588E-3</v>
      </c>
      <c r="K69" s="276">
        <v>1921</v>
      </c>
      <c r="L69" s="275">
        <f t="shared" si="12"/>
        <v>1.0343639281060533E-3</v>
      </c>
      <c r="M69" s="275">
        <f t="shared" si="6"/>
        <v>-0.31588319088319089</v>
      </c>
      <c r="N69" s="274">
        <f t="shared" si="7"/>
        <v>6142</v>
      </c>
      <c r="O69" s="275">
        <f t="shared" si="13"/>
        <v>2.0026430192631303E-3</v>
      </c>
      <c r="P69" s="276">
        <f t="shared" si="8"/>
        <v>4956</v>
      </c>
      <c r="Q69" s="275">
        <f t="shared" si="14"/>
        <v>1.3830440363900207E-3</v>
      </c>
      <c r="R69" s="275">
        <f t="shared" si="9"/>
        <v>-0.19309671116900032</v>
      </c>
    </row>
    <row r="70" spans="1:18" ht="15.75" thickBot="1" x14ac:dyDescent="0.3">
      <c r="A70" s="272" t="s">
        <v>11</v>
      </c>
      <c r="B70" s="274">
        <v>-40751</v>
      </c>
      <c r="C70" s="275">
        <f t="shared" si="4"/>
        <v>-2.6608293095398999E-2</v>
      </c>
      <c r="D70" s="276">
        <v>-50910</v>
      </c>
      <c r="E70" s="275">
        <f t="shared" si="10"/>
        <v>-2.9492185237107667E-2</v>
      </c>
      <c r="F70" s="275">
        <f t="shared" si="5"/>
        <v>0.24929449584059288</v>
      </c>
      <c r="G70" s="274">
        <v>-40751</v>
      </c>
      <c r="H70" s="276">
        <v>-50910</v>
      </c>
      <c r="I70" s="274">
        <v>-37491</v>
      </c>
      <c r="J70" s="275">
        <f t="shared" si="11"/>
        <v>-2.4417232414069786E-2</v>
      </c>
      <c r="K70" s="276">
        <v>-59361</v>
      </c>
      <c r="L70" s="275">
        <f t="shared" si="12"/>
        <v>-3.1962976125092885E-2</v>
      </c>
      <c r="M70" s="275">
        <f t="shared" si="6"/>
        <v>0.58334000160038413</v>
      </c>
      <c r="N70" s="274">
        <f t="shared" si="7"/>
        <v>-78242</v>
      </c>
      <c r="O70" s="275">
        <f t="shared" si="13"/>
        <v>-2.5511363580785713E-2</v>
      </c>
      <c r="P70" s="276">
        <f t="shared" si="8"/>
        <v>-110271</v>
      </c>
      <c r="Q70" s="275">
        <f t="shared" si="14"/>
        <v>-3.0772729809677959E-2</v>
      </c>
      <c r="R70" s="275">
        <f t="shared" si="9"/>
        <v>0.40935814524168607</v>
      </c>
    </row>
    <row r="71" spans="1:18" ht="15.75" thickBot="1" x14ac:dyDescent="0.3">
      <c r="A71" s="272" t="s">
        <v>199</v>
      </c>
      <c r="B71" s="274">
        <v>43363</v>
      </c>
      <c r="C71" s="275">
        <f t="shared" si="4"/>
        <v>2.8313793857716051E-2</v>
      </c>
      <c r="D71" s="276">
        <v>46468</v>
      </c>
      <c r="E71" s="275">
        <f t="shared" si="10"/>
        <v>2.6918932696875255E-2</v>
      </c>
      <c r="F71" s="275">
        <f t="shared" si="5"/>
        <v>7.1604824389456451E-2</v>
      </c>
      <c r="G71" s="274">
        <v>43363</v>
      </c>
      <c r="H71" s="276">
        <v>46468</v>
      </c>
      <c r="I71" s="274">
        <v>0</v>
      </c>
      <c r="J71" s="275">
        <f t="shared" si="11"/>
        <v>0</v>
      </c>
      <c r="K71" s="276">
        <v>494</v>
      </c>
      <c r="L71" s="275">
        <f t="shared" si="12"/>
        <v>2.6599468010639788E-4</v>
      </c>
      <c r="M71" s="275" t="s">
        <v>131</v>
      </c>
      <c r="N71" s="274">
        <f t="shared" si="7"/>
        <v>43363</v>
      </c>
      <c r="O71" s="275">
        <f t="shared" si="13"/>
        <v>1.4138816223430011E-2</v>
      </c>
      <c r="P71" s="276">
        <f t="shared" si="8"/>
        <v>46962</v>
      </c>
      <c r="Q71" s="275">
        <f t="shared" si="14"/>
        <v>1.3105430596640063E-2</v>
      </c>
      <c r="R71" s="275">
        <f t="shared" si="9"/>
        <v>8.2997025113576095E-2</v>
      </c>
    </row>
    <row r="72" spans="1:18" ht="15.75" thickBot="1" x14ac:dyDescent="0.3">
      <c r="A72" s="272" t="s">
        <v>200</v>
      </c>
      <c r="B72" s="274">
        <v>6535</v>
      </c>
      <c r="C72" s="275">
        <f t="shared" si="4"/>
        <v>4.2670166469149827E-3</v>
      </c>
      <c r="D72" s="276">
        <v>5949</v>
      </c>
      <c r="E72" s="275">
        <f t="shared" si="10"/>
        <v>3.4462582984787571E-3</v>
      </c>
      <c r="F72" s="275">
        <f t="shared" si="5"/>
        <v>-8.9671002295332827E-2</v>
      </c>
      <c r="G72" s="274">
        <v>6535</v>
      </c>
      <c r="H72" s="276">
        <v>5949</v>
      </c>
      <c r="I72" s="274">
        <v>-7532</v>
      </c>
      <c r="J72" s="275">
        <f t="shared" si="11"/>
        <v>-4.9054598315001899E-3</v>
      </c>
      <c r="K72" s="276">
        <v>6965</v>
      </c>
      <c r="L72" s="275">
        <f t="shared" si="12"/>
        <v>3.7503096091924316E-3</v>
      </c>
      <c r="M72" s="275">
        <f t="shared" ref="M72:M81" si="15">(K72-I72)/I72</f>
        <v>-1.9247211895910781</v>
      </c>
      <c r="N72" s="274">
        <f t="shared" si="7"/>
        <v>-997</v>
      </c>
      <c r="O72" s="275">
        <f t="shared" si="13"/>
        <v>-3.2507897919331505E-4</v>
      </c>
      <c r="P72" s="276">
        <f t="shared" si="8"/>
        <v>12914</v>
      </c>
      <c r="Q72" s="275">
        <f t="shared" si="14"/>
        <v>3.6038399285594686E-3</v>
      </c>
      <c r="R72" s="275">
        <f t="shared" si="9"/>
        <v>-13.952858575727182</v>
      </c>
    </row>
    <row r="73" spans="1:18" ht="15.75" thickBot="1" x14ac:dyDescent="0.3">
      <c r="A73" s="272" t="s">
        <v>201</v>
      </c>
      <c r="B73" s="274">
        <v>-6192</v>
      </c>
      <c r="C73" s="275">
        <f t="shared" si="4"/>
        <v>-4.0430554059215874E-3</v>
      </c>
      <c r="D73" s="276">
        <v>-4194</v>
      </c>
      <c r="E73" s="275">
        <f t="shared" si="10"/>
        <v>-2.4295860319078679E-3</v>
      </c>
      <c r="F73" s="275">
        <f t="shared" si="5"/>
        <v>-0.32267441860465118</v>
      </c>
      <c r="G73" s="274">
        <v>-6192</v>
      </c>
      <c r="H73" s="276">
        <v>-4194</v>
      </c>
      <c r="I73" s="274">
        <v>-2161</v>
      </c>
      <c r="J73" s="275">
        <f t="shared" si="11"/>
        <v>-1.4074214944067858E-3</v>
      </c>
      <c r="K73" s="276">
        <v>-3172</v>
      </c>
      <c r="L73" s="275">
        <f t="shared" si="12"/>
        <v>-1.7079658406831864E-3</v>
      </c>
      <c r="M73" s="275">
        <f t="shared" si="15"/>
        <v>0.46783896344285053</v>
      </c>
      <c r="N73" s="274">
        <f t="shared" si="7"/>
        <v>-8353</v>
      </c>
      <c r="O73" s="275">
        <f t="shared" si="13"/>
        <v>-2.72355537933978E-3</v>
      </c>
      <c r="P73" s="276">
        <f t="shared" si="8"/>
        <v>-7366</v>
      </c>
      <c r="Q73" s="275">
        <f t="shared" si="14"/>
        <v>-2.055589663448122E-3</v>
      </c>
      <c r="R73" s="275">
        <f t="shared" si="9"/>
        <v>-0.11816113971028373</v>
      </c>
    </row>
    <row r="74" spans="1:18" ht="24" thickBot="1" x14ac:dyDescent="0.3">
      <c r="A74" s="272" t="s">
        <v>202</v>
      </c>
      <c r="B74" s="273">
        <v>1468</v>
      </c>
      <c r="C74" s="275">
        <f t="shared" si="4"/>
        <v>9.5852799352275358E-4</v>
      </c>
      <c r="D74" s="281">
        <v>390</v>
      </c>
      <c r="E74" s="275">
        <f t="shared" si="10"/>
        <v>2.2592717034908643E-4</v>
      </c>
      <c r="F74" s="275">
        <f t="shared" si="5"/>
        <v>-0.73433242506811991</v>
      </c>
      <c r="G74" s="273">
        <v>1468</v>
      </c>
      <c r="H74" s="281">
        <v>390</v>
      </c>
      <c r="I74" s="273">
        <v>1360</v>
      </c>
      <c r="J74" s="275">
        <f t="shared" si="11"/>
        <v>8.85744207493396E-4</v>
      </c>
      <c r="K74" s="281">
        <v>758</v>
      </c>
      <c r="L74" s="275">
        <f t="shared" si="12"/>
        <v>4.0814568324018134E-4</v>
      </c>
      <c r="M74" s="275">
        <f t="shared" si="15"/>
        <v>-0.44264705882352939</v>
      </c>
      <c r="N74" s="273">
        <f t="shared" si="7"/>
        <v>2828</v>
      </c>
      <c r="O74" s="275">
        <f t="shared" si="13"/>
        <v>9.2208962202476922E-4</v>
      </c>
      <c r="P74" s="281">
        <f t="shared" si="8"/>
        <v>1148</v>
      </c>
      <c r="Q74" s="275">
        <f t="shared" si="14"/>
        <v>3.2036613272311211E-4</v>
      </c>
      <c r="R74" s="275">
        <f t="shared" si="9"/>
        <v>-0.59405940594059403</v>
      </c>
    </row>
    <row r="75" spans="1:18" ht="15.75" thickBot="1" x14ac:dyDescent="0.3">
      <c r="A75" s="272" t="s">
        <v>203</v>
      </c>
      <c r="B75" s="273">
        <v>3206</v>
      </c>
      <c r="C75" s="275">
        <f t="shared" si="4"/>
        <v>2.0933520076525532E-3</v>
      </c>
      <c r="D75" s="281" t="s">
        <v>184</v>
      </c>
      <c r="E75" s="275" t="s">
        <v>131</v>
      </c>
      <c r="F75" s="275" t="s">
        <v>131</v>
      </c>
      <c r="G75" s="273">
        <v>3206</v>
      </c>
      <c r="H75" s="281" t="s">
        <v>184</v>
      </c>
      <c r="I75" s="273">
        <v>557</v>
      </c>
      <c r="J75" s="275">
        <f t="shared" si="11"/>
        <v>3.6276435556898643E-4</v>
      </c>
      <c r="K75" s="281">
        <v>62</v>
      </c>
      <c r="L75" s="275">
        <f t="shared" si="12"/>
        <v>3.3383947705661271E-5</v>
      </c>
      <c r="M75" s="275">
        <f t="shared" si="15"/>
        <v>-0.88868940754039494</v>
      </c>
      <c r="N75" s="273">
        <f t="shared" si="7"/>
        <v>3763</v>
      </c>
      <c r="O75" s="275">
        <f t="shared" si="13"/>
        <v>1.2269530578780787E-3</v>
      </c>
      <c r="P75" s="281">
        <v>0</v>
      </c>
      <c r="Q75" s="275">
        <f t="shared" si="14"/>
        <v>0</v>
      </c>
      <c r="R75" s="275">
        <f t="shared" si="9"/>
        <v>-1</v>
      </c>
    </row>
    <row r="76" spans="1:18" ht="24" thickBot="1" x14ac:dyDescent="0.3">
      <c r="A76" s="277" t="s">
        <v>204</v>
      </c>
      <c r="B76" s="278">
        <f>SUM(B68:B75)</f>
        <v>206606</v>
      </c>
      <c r="C76" s="279">
        <f t="shared" si="4"/>
        <v>0.1349030208649605</v>
      </c>
      <c r="D76" s="280">
        <f>SUM(D68:D75)</f>
        <v>199519</v>
      </c>
      <c r="E76" s="279">
        <f t="shared" si="10"/>
        <v>0.11558144384840865</v>
      </c>
      <c r="F76" s="279">
        <f t="shared" ref="F76:F81" si="16">(D76-B76)/B76</f>
        <v>-3.4302004782048923E-2</v>
      </c>
      <c r="G76" s="278">
        <f>SUM(G68:G75)</f>
        <v>206606</v>
      </c>
      <c r="H76" s="280">
        <f>SUM(H68:H75)</f>
        <v>199519</v>
      </c>
      <c r="I76" s="278">
        <f>SUM(I68:I75)</f>
        <v>119104</v>
      </c>
      <c r="J76" s="279">
        <f t="shared" si="11"/>
        <v>7.7570351536245169E-2</v>
      </c>
      <c r="K76" s="280">
        <f>SUM(K68:K75)</f>
        <v>121094</v>
      </c>
      <c r="L76" s="279">
        <f t="shared" si="12"/>
        <v>6.5203157475312037E-2</v>
      </c>
      <c r="M76" s="279">
        <f t="shared" si="15"/>
        <v>1.6708087049973133E-2</v>
      </c>
      <c r="N76" s="278">
        <f t="shared" si="7"/>
        <v>325710</v>
      </c>
      <c r="O76" s="279">
        <f t="shared" si="13"/>
        <v>0.10620007453666463</v>
      </c>
      <c r="P76" s="280">
        <f t="shared" ref="P76:P81" si="17">+H76+K76</f>
        <v>320613</v>
      </c>
      <c r="Q76" s="279">
        <f t="shared" si="14"/>
        <v>8.9471730758497514E-2</v>
      </c>
      <c r="R76" s="279">
        <f t="shared" si="9"/>
        <v>-1.5648890116975223E-2</v>
      </c>
    </row>
    <row r="77" spans="1:18" ht="15.75" thickBot="1" x14ac:dyDescent="0.3">
      <c r="A77" s="272" t="s">
        <v>205</v>
      </c>
      <c r="B77" s="274">
        <v>-36515</v>
      </c>
      <c r="C77" s="275">
        <f t="shared" si="4"/>
        <v>-2.3842404416541792E-2</v>
      </c>
      <c r="D77" s="276">
        <v>-51436</v>
      </c>
      <c r="E77" s="275">
        <f t="shared" si="10"/>
        <v>-2.979689726686054E-2</v>
      </c>
      <c r="F77" s="275">
        <f t="shared" si="16"/>
        <v>0.40862659181158428</v>
      </c>
      <c r="G77" s="274">
        <v>-36515</v>
      </c>
      <c r="H77" s="276">
        <v>-51436</v>
      </c>
      <c r="I77" s="274">
        <v>-18667</v>
      </c>
      <c r="J77" s="275">
        <f t="shared" si="11"/>
        <v>-1.215749053035237E-2</v>
      </c>
      <c r="K77" s="276">
        <v>-38426</v>
      </c>
      <c r="L77" s="275">
        <f t="shared" si="12"/>
        <v>-2.0690509266737742E-2</v>
      </c>
      <c r="M77" s="275">
        <f t="shared" si="15"/>
        <v>1.0584989553757969</v>
      </c>
      <c r="N77" s="274">
        <f t="shared" si="7"/>
        <v>-55182</v>
      </c>
      <c r="O77" s="275">
        <f t="shared" si="13"/>
        <v>-1.7992485686906229E-2</v>
      </c>
      <c r="P77" s="276">
        <f t="shared" si="17"/>
        <v>-89862</v>
      </c>
      <c r="Q77" s="275">
        <f t="shared" si="14"/>
        <v>-2.5077300887425349E-2</v>
      </c>
      <c r="R77" s="275">
        <f t="shared" si="9"/>
        <v>0.6284658040665434</v>
      </c>
    </row>
    <row r="78" spans="1:18" ht="15.75" thickBot="1" x14ac:dyDescent="0.3">
      <c r="A78" s="282" t="s">
        <v>206</v>
      </c>
      <c r="B78" s="283">
        <v>-10883</v>
      </c>
      <c r="C78" s="284">
        <f t="shared" si="4"/>
        <v>-7.1060355269128937E-3</v>
      </c>
      <c r="D78" s="285">
        <v>3407</v>
      </c>
      <c r="E78" s="284">
        <f t="shared" si="10"/>
        <v>1.9736765881521474E-3</v>
      </c>
      <c r="F78" s="284">
        <f t="shared" si="16"/>
        <v>-1.3130570614720205</v>
      </c>
      <c r="G78" s="283">
        <v>-10883</v>
      </c>
      <c r="H78" s="285">
        <v>3407</v>
      </c>
      <c r="I78" s="283">
        <v>1248</v>
      </c>
      <c r="J78" s="284">
        <f t="shared" si="11"/>
        <v>8.1280056687629278E-4</v>
      </c>
      <c r="K78" s="285">
        <v>1408</v>
      </c>
      <c r="L78" s="284">
        <f t="shared" si="12"/>
        <v>7.5813868338017851E-4</v>
      </c>
      <c r="M78" s="284">
        <f t="shared" si="15"/>
        <v>0.12820512820512819</v>
      </c>
      <c r="N78" s="283">
        <f t="shared" si="7"/>
        <v>-9635</v>
      </c>
      <c r="O78" s="284">
        <f t="shared" si="13"/>
        <v>-3.1415606464669913E-3</v>
      </c>
      <c r="P78" s="285">
        <f t="shared" si="17"/>
        <v>4815</v>
      </c>
      <c r="Q78" s="284">
        <f t="shared" si="14"/>
        <v>1.3436959312384887E-3</v>
      </c>
      <c r="R78" s="284">
        <f t="shared" si="9"/>
        <v>-1.4997405293201869</v>
      </c>
    </row>
    <row r="79" spans="1:18" ht="15.75" thickBot="1" x14ac:dyDescent="0.3">
      <c r="A79" s="277" t="s">
        <v>207</v>
      </c>
      <c r="B79" s="278">
        <f>SUM(B76:B78)</f>
        <v>159208</v>
      </c>
      <c r="C79" s="279">
        <f t="shared" si="4"/>
        <v>0.10395458092150583</v>
      </c>
      <c r="D79" s="280">
        <f>SUM(D76:D78)</f>
        <v>151490</v>
      </c>
      <c r="E79" s="279">
        <f t="shared" si="10"/>
        <v>8.7758223169700264E-2</v>
      </c>
      <c r="F79" s="279">
        <f t="shared" si="16"/>
        <v>-4.847746344404804E-2</v>
      </c>
      <c r="G79" s="278">
        <f>SUM(G76:G78)</f>
        <v>159208</v>
      </c>
      <c r="H79" s="280">
        <f>SUM(H76:H78)</f>
        <v>151490</v>
      </c>
      <c r="I79" s="278">
        <f>SUM(I76:I78)</f>
        <v>101685</v>
      </c>
      <c r="J79" s="279">
        <f t="shared" si="11"/>
        <v>6.6225661572769101E-2</v>
      </c>
      <c r="K79" s="280">
        <f>SUM(K76:K78)</f>
        <v>84076</v>
      </c>
      <c r="L79" s="279">
        <f t="shared" si="12"/>
        <v>4.5270786891954469E-2</v>
      </c>
      <c r="M79" s="279">
        <f t="shared" si="15"/>
        <v>-0.17317205094163349</v>
      </c>
      <c r="N79" s="278">
        <f t="shared" si="7"/>
        <v>260893</v>
      </c>
      <c r="O79" s="279">
        <f t="shared" si="13"/>
        <v>8.5066028203291413E-2</v>
      </c>
      <c r="P79" s="280">
        <f t="shared" si="17"/>
        <v>235566</v>
      </c>
      <c r="Q79" s="279">
        <f t="shared" si="14"/>
        <v>6.5738125802310657E-2</v>
      </c>
      <c r="R79" s="279">
        <f t="shared" si="9"/>
        <v>-9.7078112482895287E-2</v>
      </c>
    </row>
    <row r="80" spans="1:18" ht="15.75" thickBot="1" x14ac:dyDescent="0.3">
      <c r="A80" s="272" t="s">
        <v>208</v>
      </c>
      <c r="B80" s="273">
        <v>254</v>
      </c>
      <c r="C80" s="275">
        <f t="shared" si="4"/>
        <v>1.658488490155173E-4</v>
      </c>
      <c r="D80" s="281">
        <v>-304</v>
      </c>
      <c r="E80" s="275">
        <f t="shared" si="10"/>
        <v>-1.7610733278492893E-4</v>
      </c>
      <c r="F80" s="275">
        <f t="shared" si="16"/>
        <v>-2.1968503937007875</v>
      </c>
      <c r="G80" s="273">
        <v>254</v>
      </c>
      <c r="H80" s="281">
        <v>-304</v>
      </c>
      <c r="I80" s="273">
        <v>-8532</v>
      </c>
      <c r="J80" s="275">
        <f t="shared" si="11"/>
        <v>-5.5567423370100405E-3</v>
      </c>
      <c r="K80" s="281">
        <v>-4010</v>
      </c>
      <c r="L80" s="275">
        <f t="shared" si="12"/>
        <v>-2.1591875854790597E-3</v>
      </c>
      <c r="M80" s="275">
        <f t="shared" si="15"/>
        <v>-0.53000468823253633</v>
      </c>
      <c r="N80" s="273">
        <f t="shared" si="7"/>
        <v>-8278</v>
      </c>
      <c r="O80" s="275">
        <f t="shared" si="13"/>
        <v>-2.699101093041386E-3</v>
      </c>
      <c r="P80" s="281">
        <f t="shared" si="17"/>
        <v>-4314</v>
      </c>
      <c r="Q80" s="275">
        <f t="shared" si="14"/>
        <v>-1.2038845788915555E-3</v>
      </c>
      <c r="R80" s="275">
        <f t="shared" si="9"/>
        <v>-0.47885962792945158</v>
      </c>
    </row>
    <row r="81" spans="1:18" x14ac:dyDescent="0.25">
      <c r="A81" s="286" t="s">
        <v>209</v>
      </c>
      <c r="B81" s="287">
        <f>SUM(B79:B80)</f>
        <v>159462</v>
      </c>
      <c r="C81" s="288">
        <f t="shared" si="4"/>
        <v>0.10412042977052134</v>
      </c>
      <c r="D81" s="287">
        <f>SUM(D79:D80)</f>
        <v>151186</v>
      </c>
      <c r="E81" s="288">
        <f t="shared" si="10"/>
        <v>8.7582115836915345E-2</v>
      </c>
      <c r="F81" s="288">
        <f t="shared" si="16"/>
        <v>-5.1899512109468089E-2</v>
      </c>
      <c r="G81" s="287">
        <f>SUM(G79:G80)</f>
        <v>159462</v>
      </c>
      <c r="H81" s="287">
        <f>SUM(H79:H80)</f>
        <v>151186</v>
      </c>
      <c r="I81" s="287">
        <f>SUM(I79:I80)</f>
        <v>93153</v>
      </c>
      <c r="J81" s="288">
        <f t="shared" si="11"/>
        <v>6.066891923575906E-2</v>
      </c>
      <c r="K81" s="287">
        <f>SUM(K79:K80)</f>
        <v>80066</v>
      </c>
      <c r="L81" s="288">
        <f t="shared" si="12"/>
        <v>4.3111599306475408E-2</v>
      </c>
      <c r="M81" s="288">
        <f t="shared" si="15"/>
        <v>-0.14048930254527497</v>
      </c>
      <c r="N81" s="287">
        <f t="shared" si="7"/>
        <v>252615</v>
      </c>
      <c r="O81" s="288">
        <f t="shared" si="13"/>
        <v>8.2366927110250024E-2</v>
      </c>
      <c r="P81" s="287">
        <f t="shared" si="17"/>
        <v>231252</v>
      </c>
      <c r="Q81" s="288">
        <f t="shared" si="14"/>
        <v>6.4534241223419095E-2</v>
      </c>
      <c r="R81" s="288">
        <f t="shared" si="9"/>
        <v>-8.4567424737248376E-2</v>
      </c>
    </row>
    <row r="82" spans="1:18" x14ac:dyDescent="0.25">
      <c r="A82" s="289"/>
      <c r="B82" s="291"/>
      <c r="C82" s="292"/>
      <c r="D82" s="294"/>
      <c r="E82" s="292"/>
      <c r="F82" s="292"/>
      <c r="G82" s="291"/>
      <c r="H82" s="294"/>
      <c r="I82" s="291"/>
      <c r="J82" s="292"/>
      <c r="K82" s="294"/>
      <c r="L82" s="292"/>
      <c r="M82" s="292"/>
      <c r="N82" s="291"/>
      <c r="O82" s="292"/>
      <c r="P82" s="294"/>
      <c r="Q82" s="292"/>
      <c r="R82" s="292"/>
    </row>
    <row r="83" spans="1:18" x14ac:dyDescent="0.25">
      <c r="A83" s="295" t="s">
        <v>210</v>
      </c>
      <c r="B83" s="297"/>
      <c r="C83" s="298"/>
      <c r="D83" s="300"/>
      <c r="E83" s="298"/>
      <c r="F83" s="298"/>
      <c r="G83" s="297"/>
      <c r="H83" s="300"/>
      <c r="I83" s="297"/>
      <c r="J83" s="298"/>
      <c r="K83" s="300"/>
      <c r="L83" s="298"/>
      <c r="M83" s="298"/>
      <c r="N83" s="297"/>
      <c r="O83" s="298"/>
      <c r="P83" s="300"/>
      <c r="Q83" s="298"/>
      <c r="R83" s="298"/>
    </row>
    <row r="84" spans="1:18" ht="15.75" thickBot="1" x14ac:dyDescent="0.3">
      <c r="A84" s="301" t="s">
        <v>211</v>
      </c>
      <c r="B84" s="274">
        <f>+B81-B85</f>
        <v>158694</v>
      </c>
      <c r="C84" s="275">
        <f>+B84/$B$60</f>
        <v>0.10361896553412797</v>
      </c>
      <c r="D84" s="302">
        <f>+D81-D85</f>
        <v>150991</v>
      </c>
      <c r="E84" s="275">
        <f t="shared" si="10"/>
        <v>8.7469152251740803E-2</v>
      </c>
      <c r="F84" s="275">
        <f>(D84-B84)/B84</f>
        <v>-4.853995740229624E-2</v>
      </c>
      <c r="G84" s="274">
        <f>+G81-G85</f>
        <v>158694</v>
      </c>
      <c r="H84" s="302">
        <f>+H81-H85</f>
        <v>150991</v>
      </c>
      <c r="I84" s="274">
        <f>+I81-I85</f>
        <v>92533</v>
      </c>
      <c r="J84" s="275">
        <f t="shared" si="11"/>
        <v>6.0265124082342948E-2</v>
      </c>
      <c r="K84" s="302">
        <f>+K81-K85</f>
        <v>79293</v>
      </c>
      <c r="L84" s="275">
        <f t="shared" si="12"/>
        <v>4.2695376861693536E-2</v>
      </c>
      <c r="M84" s="275">
        <f>(K84-I84)/I84</f>
        <v>-0.14308408891962868</v>
      </c>
      <c r="N84" s="274">
        <f>+G84+I84</f>
        <v>251227</v>
      </c>
      <c r="O84" s="275">
        <f t="shared" si="13"/>
        <v>8.191435978515442E-2</v>
      </c>
      <c r="P84" s="302">
        <f>+H84+K84</f>
        <v>230284</v>
      </c>
      <c r="Q84" s="275">
        <f t="shared" si="14"/>
        <v>6.4264106714293681E-2</v>
      </c>
      <c r="R84" s="275">
        <f>(P84-N84)/N84</f>
        <v>-8.336285510713419E-2</v>
      </c>
    </row>
    <row r="85" spans="1:18" ht="15.75" thickBot="1" x14ac:dyDescent="0.3">
      <c r="A85" s="303" t="s">
        <v>188</v>
      </c>
      <c r="B85" s="304">
        <v>768</v>
      </c>
      <c r="C85" s="284">
        <f>+B85/$B$60</f>
        <v>5.0146423639337522E-4</v>
      </c>
      <c r="D85" s="305">
        <v>195</v>
      </c>
      <c r="E85" s="284">
        <f t="shared" si="10"/>
        <v>1.1296358517454322E-4</v>
      </c>
      <c r="F85" s="284">
        <f>(D85-B85)/B85</f>
        <v>-0.74609375</v>
      </c>
      <c r="G85" s="304">
        <v>768</v>
      </c>
      <c r="H85" s="305">
        <v>195</v>
      </c>
      <c r="I85" s="304">
        <v>620</v>
      </c>
      <c r="J85" s="284">
        <f t="shared" si="11"/>
        <v>4.03795153416107E-4</v>
      </c>
      <c r="K85" s="305">
        <v>773</v>
      </c>
      <c r="L85" s="284">
        <f t="shared" si="12"/>
        <v>4.162224447818736E-4</v>
      </c>
      <c r="M85" s="284">
        <f>(K85-I85)/I85</f>
        <v>0.24677419354838709</v>
      </c>
      <c r="N85" s="304">
        <f>+G85+I85</f>
        <v>1388</v>
      </c>
      <c r="O85" s="284">
        <f t="shared" si="13"/>
        <v>4.5256732509560811E-4</v>
      </c>
      <c r="P85" s="305">
        <f>+H85+K85</f>
        <v>968</v>
      </c>
      <c r="Q85" s="284">
        <f t="shared" si="14"/>
        <v>2.7013450912541164E-4</v>
      </c>
      <c r="R85" s="284">
        <f>(P85-N85)/N85</f>
        <v>-0.30259365994236309</v>
      </c>
    </row>
    <row r="86" spans="1:18" ht="15.75" thickBot="1" x14ac:dyDescent="0.3">
      <c r="A86" s="306" t="s">
        <v>212</v>
      </c>
      <c r="B86" s="278">
        <f>SUM(B84:B85)</f>
        <v>159462</v>
      </c>
      <c r="C86" s="279">
        <f>+B86/$B$60</f>
        <v>0.10412042977052134</v>
      </c>
      <c r="D86" s="307">
        <f>SUM(D84:D85)</f>
        <v>151186</v>
      </c>
      <c r="E86" s="279">
        <f t="shared" si="10"/>
        <v>8.7582115836915345E-2</v>
      </c>
      <c r="F86" s="279">
        <f>(D86-B86)/B86</f>
        <v>-5.1899512109468089E-2</v>
      </c>
      <c r="G86" s="278">
        <f>SUM(G84:G85)</f>
        <v>159462</v>
      </c>
      <c r="H86" s="307">
        <f>SUM(H84:H85)</f>
        <v>151186</v>
      </c>
      <c r="I86" s="278">
        <f>SUM(I84:I85)</f>
        <v>93153</v>
      </c>
      <c r="J86" s="279">
        <f t="shared" si="11"/>
        <v>6.066891923575906E-2</v>
      </c>
      <c r="K86" s="307">
        <f>SUM(K84:K85)</f>
        <v>80066</v>
      </c>
      <c r="L86" s="279">
        <f t="shared" si="12"/>
        <v>4.3111599306475408E-2</v>
      </c>
      <c r="M86" s="279">
        <f>(K86-I86)/I86</f>
        <v>-0.14048930254527497</v>
      </c>
      <c r="N86" s="278">
        <f>+G86+I86</f>
        <v>252615</v>
      </c>
      <c r="O86" s="279">
        <f t="shared" si="13"/>
        <v>8.2366927110250024E-2</v>
      </c>
      <c r="P86" s="307">
        <f>+H86+K86</f>
        <v>231252</v>
      </c>
      <c r="Q86" s="279">
        <f t="shared" si="14"/>
        <v>6.4534241223419095E-2</v>
      </c>
      <c r="R86" s="279">
        <f>(P86-N86)/N86</f>
        <v>-8.4567424737248376E-2</v>
      </c>
    </row>
    <row r="87" spans="1:18" x14ac:dyDescent="0.25">
      <c r="A87" s="286" t="s">
        <v>213</v>
      </c>
      <c r="B87" s="287">
        <v>236970</v>
      </c>
      <c r="C87" s="288">
        <f>+B87/$B$60</f>
        <v>0.15472914075278402</v>
      </c>
      <c r="D87" s="287">
        <v>234916</v>
      </c>
      <c r="E87" s="288">
        <f t="shared" si="10"/>
        <v>0.13608694140955382</v>
      </c>
      <c r="F87" s="288">
        <f>(D87-B87)/B87</f>
        <v>-8.6677638519643829E-3</v>
      </c>
      <c r="G87" s="287">
        <v>236970</v>
      </c>
      <c r="H87" s="287">
        <v>234916</v>
      </c>
      <c r="I87" s="287">
        <v>200071</v>
      </c>
      <c r="J87" s="288">
        <f t="shared" si="11"/>
        <v>0.13030274215986121</v>
      </c>
      <c r="K87" s="287">
        <v>223967</v>
      </c>
      <c r="L87" s="288">
        <f t="shared" si="12"/>
        <v>0.12059520348054577</v>
      </c>
      <c r="M87" s="288">
        <f>(K87-I87)/I87</f>
        <v>0.1194375996521235</v>
      </c>
      <c r="N87" s="287">
        <f>+G87+I87</f>
        <v>437041</v>
      </c>
      <c r="O87" s="288">
        <f t="shared" si="13"/>
        <v>0.14250034317515106</v>
      </c>
      <c r="P87" s="287">
        <f>+H87+K87</f>
        <v>458883</v>
      </c>
      <c r="Q87" s="288">
        <f t="shared" si="14"/>
        <v>0.1280579896187978</v>
      </c>
      <c r="R87" s="288">
        <f>(P87-N87)/N87</f>
        <v>4.9977004445807147E-2</v>
      </c>
    </row>
  </sheetData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88"/>
  <sheetViews>
    <sheetView topLeftCell="A46" zoomScaleNormal="100" workbookViewId="0">
      <selection activeCell="B61" sqref="B61"/>
    </sheetView>
  </sheetViews>
  <sheetFormatPr baseColWidth="10" defaultColWidth="11.42578125" defaultRowHeight="15" x14ac:dyDescent="0.25"/>
  <cols>
    <col min="1" max="1" width="50.85546875" style="229" bestFit="1" customWidth="1"/>
    <col min="2" max="7" width="11.42578125" style="229" customWidth="1"/>
    <col min="8" max="8" width="11.42578125" style="229"/>
    <col min="9" max="10" width="11.42578125" style="229" customWidth="1"/>
    <col min="11" max="12" width="11.42578125" style="229"/>
    <col min="13" max="13" width="9.28515625" style="229" customWidth="1"/>
    <col min="14" max="16" width="11.42578125" style="229"/>
    <col min="17" max="17" width="9.5703125" style="229" bestFit="1" customWidth="1"/>
    <col min="18" max="16384" width="11.42578125" style="229"/>
  </cols>
  <sheetData>
    <row r="1" spans="1:10" ht="18.75" x14ac:dyDescent="0.3">
      <c r="A1" s="228" t="s">
        <v>157</v>
      </c>
      <c r="B1" s="362"/>
      <c r="C1" s="362"/>
      <c r="D1" s="362"/>
      <c r="E1" s="362"/>
    </row>
    <row r="2" spans="1:10" x14ac:dyDescent="0.25">
      <c r="A2" s="230" t="s">
        <v>216</v>
      </c>
      <c r="B2" s="362"/>
      <c r="C2" s="362"/>
      <c r="D2" s="362"/>
      <c r="E2" s="362"/>
    </row>
    <row r="3" spans="1:10" x14ac:dyDescent="0.25">
      <c r="A3" s="230" t="s">
        <v>88</v>
      </c>
      <c r="B3" s="362"/>
      <c r="C3" s="362"/>
      <c r="D3" s="362"/>
      <c r="E3" s="362"/>
    </row>
    <row r="4" spans="1:10" x14ac:dyDescent="0.25">
      <c r="A4" s="231" t="s">
        <v>159</v>
      </c>
      <c r="B4" s="362"/>
      <c r="C4" s="362"/>
      <c r="D4" s="362"/>
      <c r="E4" s="362"/>
    </row>
    <row r="5" spans="1:10" ht="15.75" thickBot="1" x14ac:dyDescent="0.3">
      <c r="B5" s="363"/>
      <c r="C5" s="363"/>
      <c r="D5" s="363"/>
      <c r="E5" s="363"/>
    </row>
    <row r="6" spans="1:10" ht="24" customHeight="1" thickBot="1" x14ac:dyDescent="0.3">
      <c r="A6" s="346"/>
      <c r="B6" s="354" t="s">
        <v>139</v>
      </c>
      <c r="C6" s="334" t="s">
        <v>225</v>
      </c>
      <c r="D6" s="233" t="s">
        <v>140</v>
      </c>
      <c r="E6" s="354" t="s">
        <v>139</v>
      </c>
      <c r="F6" s="334" t="s">
        <v>227</v>
      </c>
      <c r="G6" s="233" t="s">
        <v>140</v>
      </c>
      <c r="H6" s="354" t="s">
        <v>139</v>
      </c>
      <c r="I6" s="356" t="s">
        <v>239</v>
      </c>
      <c r="J6" s="233" t="s">
        <v>140</v>
      </c>
    </row>
    <row r="7" spans="1:10" ht="15.75" thickTop="1" x14ac:dyDescent="0.25">
      <c r="A7" s="234" t="s">
        <v>20</v>
      </c>
      <c r="B7" s="235"/>
      <c r="C7" s="236"/>
      <c r="D7" s="235"/>
      <c r="E7" s="235"/>
      <c r="F7" s="236"/>
      <c r="G7" s="235"/>
      <c r="H7" s="235"/>
      <c r="I7" s="236"/>
      <c r="J7" s="235"/>
    </row>
    <row r="8" spans="1:10" x14ac:dyDescent="0.25">
      <c r="A8" s="237" t="s">
        <v>160</v>
      </c>
      <c r="B8" s="238"/>
      <c r="C8" s="239"/>
      <c r="D8" s="238"/>
      <c r="E8" s="238"/>
      <c r="F8" s="239"/>
      <c r="G8" s="238"/>
      <c r="H8" s="238"/>
      <c r="I8" s="239"/>
      <c r="J8" s="238"/>
    </row>
    <row r="9" spans="1:10" ht="15.75" thickBot="1" x14ac:dyDescent="0.3">
      <c r="A9" s="240" t="s">
        <v>161</v>
      </c>
      <c r="B9" s="242">
        <v>391863</v>
      </c>
      <c r="C9" s="243">
        <v>246779</v>
      </c>
      <c r="D9" s="244">
        <f>(C9-B9)/B9</f>
        <v>-0.37024164057336367</v>
      </c>
      <c r="E9" s="242">
        <v>391863</v>
      </c>
      <c r="F9" s="243">
        <v>205415</v>
      </c>
      <c r="G9" s="244">
        <f>(F9-E9)/E9</f>
        <v>-0.47579893993564076</v>
      </c>
      <c r="H9" s="242">
        <v>391863</v>
      </c>
      <c r="I9" s="243">
        <v>198448</v>
      </c>
      <c r="J9" s="244">
        <f>(I9-H9)/H9</f>
        <v>-0.49357811275879582</v>
      </c>
    </row>
    <row r="10" spans="1:10" ht="15.75" thickBot="1" x14ac:dyDescent="0.3">
      <c r="A10" s="240" t="s">
        <v>162</v>
      </c>
      <c r="B10" s="242">
        <v>739808</v>
      </c>
      <c r="C10" s="243">
        <v>817267</v>
      </c>
      <c r="D10" s="244">
        <f>(C10-B10)/B10</f>
        <v>0.10470149011635452</v>
      </c>
      <c r="E10" s="242">
        <v>739808</v>
      </c>
      <c r="F10" s="243">
        <v>777437</v>
      </c>
      <c r="G10" s="244">
        <f>(F10-E10)/E10</f>
        <v>5.0863196937583809E-2</v>
      </c>
      <c r="H10" s="242">
        <v>739808</v>
      </c>
      <c r="I10" s="243">
        <v>858278</v>
      </c>
      <c r="J10" s="244">
        <f>(I10-H10)/H10</f>
        <v>0.16013614343180935</v>
      </c>
    </row>
    <row r="11" spans="1:10" ht="15.75" thickBot="1" x14ac:dyDescent="0.3">
      <c r="A11" s="240" t="s">
        <v>36</v>
      </c>
      <c r="B11" s="242">
        <v>841852</v>
      </c>
      <c r="C11" s="243">
        <v>947650</v>
      </c>
      <c r="D11" s="244">
        <f>(C11-B11)/B11</f>
        <v>0.12567292113103015</v>
      </c>
      <c r="E11" s="242">
        <v>841852</v>
      </c>
      <c r="F11" s="243">
        <v>1029688</v>
      </c>
      <c r="G11" s="244">
        <f>(F11-E11)/E11</f>
        <v>0.22312235404797992</v>
      </c>
      <c r="H11" s="242">
        <v>841852</v>
      </c>
      <c r="I11" s="243">
        <v>1141072</v>
      </c>
      <c r="J11" s="244">
        <f>(I11-H11)/H11</f>
        <v>0.35543064576671435</v>
      </c>
    </row>
    <row r="12" spans="1:10" ht="15.75" thickBot="1" x14ac:dyDescent="0.3">
      <c r="A12" s="240" t="s">
        <v>163</v>
      </c>
      <c r="B12" s="242">
        <v>47770</v>
      </c>
      <c r="C12" s="243">
        <v>50525</v>
      </c>
      <c r="D12" s="244">
        <f>(C12-B12)/B12</f>
        <v>5.7672179191961485E-2</v>
      </c>
      <c r="E12" s="242">
        <v>47770</v>
      </c>
      <c r="F12" s="243">
        <v>52924</v>
      </c>
      <c r="G12" s="244">
        <f>(F12-E12)/E12</f>
        <v>0.10789198241574209</v>
      </c>
      <c r="H12" s="242">
        <v>47770</v>
      </c>
      <c r="I12" s="243">
        <v>60685</v>
      </c>
      <c r="J12" s="244">
        <f>(I12-H12)/H12</f>
        <v>0.27035796525015698</v>
      </c>
    </row>
    <row r="13" spans="1:10" ht="15.75" thickBot="1" x14ac:dyDescent="0.3">
      <c r="A13" s="240" t="s">
        <v>164</v>
      </c>
      <c r="B13" s="242">
        <v>139352</v>
      </c>
      <c r="C13" s="243">
        <v>191719</v>
      </c>
      <c r="D13" s="244">
        <f>(C13-B13)/B13</f>
        <v>0.37578936793156897</v>
      </c>
      <c r="E13" s="242">
        <v>139352</v>
      </c>
      <c r="F13" s="243">
        <v>237173</v>
      </c>
      <c r="G13" s="244">
        <f>(F13-E13)/E13</f>
        <v>0.70197054940008041</v>
      </c>
      <c r="H13" s="242">
        <v>139352</v>
      </c>
      <c r="I13" s="243">
        <v>297669</v>
      </c>
      <c r="J13" s="244">
        <f>(I13-H13)/H13</f>
        <v>1.1360942074745968</v>
      </c>
    </row>
    <row r="14" spans="1:10" ht="15.75" thickBot="1" x14ac:dyDescent="0.3">
      <c r="A14" s="245" t="s">
        <v>165</v>
      </c>
      <c r="B14" s="247">
        <v>0</v>
      </c>
      <c r="C14" s="248">
        <v>90</v>
      </c>
      <c r="D14" s="244" t="s">
        <v>131</v>
      </c>
      <c r="E14" s="247">
        <v>0</v>
      </c>
      <c r="F14" s="248">
        <v>90</v>
      </c>
      <c r="G14" s="244" t="s">
        <v>131</v>
      </c>
      <c r="H14" s="247">
        <v>0</v>
      </c>
      <c r="I14" s="248">
        <v>90</v>
      </c>
      <c r="J14" s="244" t="s">
        <v>131</v>
      </c>
    </row>
    <row r="15" spans="1:10" ht="15.75" thickBot="1" x14ac:dyDescent="0.3">
      <c r="A15" s="249" t="s">
        <v>166</v>
      </c>
      <c r="B15" s="250">
        <f>SUM(B9:B14)</f>
        <v>2160645</v>
      </c>
      <c r="C15" s="251">
        <f>SUM(C9:C14)</f>
        <v>2254030</v>
      </c>
      <c r="D15" s="244">
        <f>(C15-B15)/B15</f>
        <v>4.3220890058292778E-2</v>
      </c>
      <c r="E15" s="250">
        <f>SUM(E9:E14)</f>
        <v>2160645</v>
      </c>
      <c r="F15" s="251">
        <f>SUM(F9:F14)</f>
        <v>2302727</v>
      </c>
      <c r="G15" s="244">
        <f>(F15-E15)/E15</f>
        <v>6.5759067315546982E-2</v>
      </c>
      <c r="H15" s="250">
        <f>SUM(H9:H14)</f>
        <v>2160645</v>
      </c>
      <c r="I15" s="251">
        <f>SUM(I9:I14)</f>
        <v>2556242</v>
      </c>
      <c r="J15" s="244">
        <f>(I15-H15)/H15</f>
        <v>0.18309208592804463</v>
      </c>
    </row>
    <row r="16" spans="1:10" x14ac:dyDescent="0.25">
      <c r="A16" s="237" t="s">
        <v>167</v>
      </c>
      <c r="B16" s="238"/>
      <c r="C16" s="239"/>
      <c r="D16" s="238"/>
      <c r="E16" s="238"/>
      <c r="F16" s="239"/>
      <c r="G16" s="238"/>
      <c r="H16" s="238"/>
      <c r="I16" s="239"/>
      <c r="J16" s="238"/>
    </row>
    <row r="17" spans="1:10" ht="15.75" thickBot="1" x14ac:dyDescent="0.3">
      <c r="A17" s="240" t="s">
        <v>162</v>
      </c>
      <c r="B17" s="242">
        <v>23124</v>
      </c>
      <c r="C17" s="243">
        <v>22127</v>
      </c>
      <c r="D17" s="244">
        <f t="shared" ref="D17:D28" si="0">(C17-B17)/B17</f>
        <v>-4.3115377962290258E-2</v>
      </c>
      <c r="E17" s="242">
        <v>23124</v>
      </c>
      <c r="F17" s="243">
        <v>25955</v>
      </c>
      <c r="G17" s="244">
        <f t="shared" ref="G17:G28" si="1">(F17-E17)/E17</f>
        <v>0.12242691575851929</v>
      </c>
      <c r="H17" s="242">
        <v>23124</v>
      </c>
      <c r="I17" s="243">
        <v>29491</v>
      </c>
      <c r="J17" s="244">
        <f t="shared" ref="J17:J28" si="2">(I17-H17)/H17</f>
        <v>0.27534163639508735</v>
      </c>
    </row>
    <row r="18" spans="1:10" ht="15.75" thickBot="1" x14ac:dyDescent="0.3">
      <c r="A18" s="240" t="s">
        <v>168</v>
      </c>
      <c r="B18" s="242">
        <v>4185</v>
      </c>
      <c r="C18" s="243">
        <v>0</v>
      </c>
      <c r="D18" s="244">
        <f t="shared" si="0"/>
        <v>-1</v>
      </c>
      <c r="E18" s="242">
        <v>4185</v>
      </c>
      <c r="F18" s="243">
        <v>0</v>
      </c>
      <c r="G18" s="244">
        <f t="shared" si="1"/>
        <v>-1</v>
      </c>
      <c r="H18" s="242">
        <v>4185</v>
      </c>
      <c r="I18" s="243">
        <v>0</v>
      </c>
      <c r="J18" s="244">
        <f t="shared" si="2"/>
        <v>-1</v>
      </c>
    </row>
    <row r="19" spans="1:10" ht="15.75" thickBot="1" x14ac:dyDescent="0.3">
      <c r="A19" s="240" t="s">
        <v>169</v>
      </c>
      <c r="B19" s="242">
        <v>83323</v>
      </c>
      <c r="C19" s="243">
        <v>88211</v>
      </c>
      <c r="D19" s="244">
        <f t="shared" si="0"/>
        <v>5.8663274246006508E-2</v>
      </c>
      <c r="E19" s="242">
        <v>83323</v>
      </c>
      <c r="F19" s="243">
        <v>99303</v>
      </c>
      <c r="G19" s="244">
        <f t="shared" si="1"/>
        <v>0.19178378118886741</v>
      </c>
      <c r="H19" s="242">
        <v>83323</v>
      </c>
      <c r="I19" s="243">
        <v>101811</v>
      </c>
      <c r="J19" s="244">
        <f t="shared" si="2"/>
        <v>0.22188351355568089</v>
      </c>
    </row>
    <row r="20" spans="1:10" ht="15.75" thickBot="1" x14ac:dyDescent="0.3">
      <c r="A20" s="240" t="s">
        <v>170</v>
      </c>
      <c r="B20" s="242">
        <v>4016462</v>
      </c>
      <c r="C20" s="243">
        <v>3326010</v>
      </c>
      <c r="D20" s="244">
        <f t="shared" si="0"/>
        <v>-0.17190552282083088</v>
      </c>
      <c r="E20" s="242">
        <v>4016462</v>
      </c>
      <c r="F20" s="243">
        <v>3560224</v>
      </c>
      <c r="G20" s="244">
        <f t="shared" si="1"/>
        <v>-0.11359201207430819</v>
      </c>
      <c r="H20" s="242">
        <v>4016462</v>
      </c>
      <c r="I20" s="243">
        <v>3564491</v>
      </c>
      <c r="J20" s="244">
        <f t="shared" si="2"/>
        <v>-0.11252963429007917</v>
      </c>
    </row>
    <row r="21" spans="1:10" ht="15.75" thickBot="1" x14ac:dyDescent="0.3">
      <c r="A21" s="240" t="s">
        <v>171</v>
      </c>
      <c r="B21" s="242">
        <v>2963335</v>
      </c>
      <c r="C21" s="243">
        <v>3102326</v>
      </c>
      <c r="D21" s="244">
        <f t="shared" si="0"/>
        <v>4.6903573170093832E-2</v>
      </c>
      <c r="E21" s="242">
        <v>2963335</v>
      </c>
      <c r="F21" s="243">
        <v>3153387</v>
      </c>
      <c r="G21" s="244">
        <f t="shared" si="1"/>
        <v>6.4134497112206354E-2</v>
      </c>
      <c r="H21" s="242">
        <v>2963335</v>
      </c>
      <c r="I21" s="243">
        <v>3335183</v>
      </c>
      <c r="J21" s="244">
        <f t="shared" si="2"/>
        <v>0.125482944047838</v>
      </c>
    </row>
    <row r="22" spans="1:10" ht="15.75" thickBot="1" x14ac:dyDescent="0.3">
      <c r="A22" s="240" t="s">
        <v>141</v>
      </c>
      <c r="B22" s="242">
        <v>96280</v>
      </c>
      <c r="C22" s="243">
        <v>91664</v>
      </c>
      <c r="D22" s="244">
        <f t="shared" si="0"/>
        <v>-4.7943498130452844E-2</v>
      </c>
      <c r="E22" s="242">
        <v>96280</v>
      </c>
      <c r="F22" s="243">
        <v>93406</v>
      </c>
      <c r="G22" s="244">
        <f t="shared" si="1"/>
        <v>-2.9850436227669298E-2</v>
      </c>
      <c r="H22" s="242">
        <v>96280</v>
      </c>
      <c r="I22" s="243">
        <v>97061</v>
      </c>
      <c r="J22" s="244">
        <f t="shared" si="2"/>
        <v>8.111757374324886E-3</v>
      </c>
    </row>
    <row r="23" spans="1:10" ht="15.75" thickBot="1" x14ac:dyDescent="0.3">
      <c r="A23" s="240" t="s">
        <v>172</v>
      </c>
      <c r="B23" s="242">
        <v>1373072</v>
      </c>
      <c r="C23" s="243">
        <v>1917055</v>
      </c>
      <c r="D23" s="244">
        <f t="shared" si="0"/>
        <v>0.39617951571366977</v>
      </c>
      <c r="E23" s="242">
        <v>1373072</v>
      </c>
      <c r="F23" s="243">
        <v>1907535</v>
      </c>
      <c r="G23" s="244">
        <f t="shared" si="1"/>
        <v>0.38924615752123704</v>
      </c>
      <c r="H23" s="242">
        <v>1373072</v>
      </c>
      <c r="I23" s="243">
        <v>2001447</v>
      </c>
      <c r="J23" s="244">
        <f t="shared" si="2"/>
        <v>0.45764169686658823</v>
      </c>
    </row>
    <row r="24" spans="1:10" ht="15.75" thickBot="1" x14ac:dyDescent="0.3">
      <c r="A24" s="240" t="s">
        <v>173</v>
      </c>
      <c r="B24" s="242">
        <v>766829</v>
      </c>
      <c r="C24" s="243">
        <v>1172268</v>
      </c>
      <c r="D24" s="244">
        <f t="shared" si="0"/>
        <v>0.52872152722445287</v>
      </c>
      <c r="E24" s="242">
        <v>766829</v>
      </c>
      <c r="F24" s="243">
        <v>1167856</v>
      </c>
      <c r="G24" s="244">
        <f t="shared" si="1"/>
        <v>0.52296796287047043</v>
      </c>
      <c r="H24" s="242">
        <v>766829</v>
      </c>
      <c r="I24" s="243">
        <v>1233087</v>
      </c>
      <c r="J24" s="244">
        <f t="shared" si="2"/>
        <v>0.60803386413398552</v>
      </c>
    </row>
    <row r="25" spans="1:10" ht="15.75" thickBot="1" x14ac:dyDescent="0.3">
      <c r="A25" s="240" t="s">
        <v>174</v>
      </c>
      <c r="B25" s="242">
        <v>297783</v>
      </c>
      <c r="C25" s="243">
        <v>339127</v>
      </c>
      <c r="D25" s="244">
        <f t="shared" si="0"/>
        <v>0.13883935617547005</v>
      </c>
      <c r="E25" s="242">
        <v>297783</v>
      </c>
      <c r="F25" s="243">
        <v>336121</v>
      </c>
      <c r="G25" s="244">
        <f t="shared" si="1"/>
        <v>0.12874475708821526</v>
      </c>
      <c r="H25" s="242">
        <v>297783</v>
      </c>
      <c r="I25" s="243">
        <v>360477</v>
      </c>
      <c r="J25" s="244">
        <f t="shared" si="2"/>
        <v>0.2105358600054402</v>
      </c>
    </row>
    <row r="26" spans="1:10" ht="15.75" thickBot="1" x14ac:dyDescent="0.3">
      <c r="A26" s="245" t="s">
        <v>25</v>
      </c>
      <c r="B26" s="247">
        <v>32348</v>
      </c>
      <c r="C26" s="248">
        <v>33883</v>
      </c>
      <c r="D26" s="252">
        <f t="shared" si="0"/>
        <v>4.7452701867194261E-2</v>
      </c>
      <c r="E26" s="247">
        <v>32348</v>
      </c>
      <c r="F26" s="248">
        <v>37352</v>
      </c>
      <c r="G26" s="252">
        <f t="shared" si="1"/>
        <v>0.15469271670582416</v>
      </c>
      <c r="H26" s="247">
        <v>32348</v>
      </c>
      <c r="I26" s="248">
        <v>38591</v>
      </c>
      <c r="J26" s="252">
        <f t="shared" si="2"/>
        <v>0.19299493013478422</v>
      </c>
    </row>
    <row r="27" spans="1:10" ht="15.75" thickBot="1" x14ac:dyDescent="0.3">
      <c r="A27" s="249" t="s">
        <v>175</v>
      </c>
      <c r="B27" s="250">
        <f>SUM(B17:B26)</f>
        <v>9656741</v>
      </c>
      <c r="C27" s="251">
        <f>SUM(C17:C26)</f>
        <v>10092671</v>
      </c>
      <c r="D27" s="253">
        <f t="shared" si="0"/>
        <v>4.5142558964768757E-2</v>
      </c>
      <c r="E27" s="250">
        <f>SUM(E17:E26)</f>
        <v>9656741</v>
      </c>
      <c r="F27" s="251">
        <f>SUM(F17:F26)</f>
        <v>10381139</v>
      </c>
      <c r="G27" s="253">
        <f t="shared" si="1"/>
        <v>7.5014748764619457E-2</v>
      </c>
      <c r="H27" s="250">
        <f>SUM(H17:H26)</f>
        <v>9656741</v>
      </c>
      <c r="I27" s="251">
        <f>SUM(I17:I26)</f>
        <v>10761639</v>
      </c>
      <c r="J27" s="253">
        <f t="shared" si="2"/>
        <v>0.11441727597333304</v>
      </c>
    </row>
    <row r="28" spans="1:10" ht="15.75" thickBot="1" x14ac:dyDescent="0.3">
      <c r="A28" s="249" t="s">
        <v>176</v>
      </c>
      <c r="B28" s="250">
        <f>+B15+B27</f>
        <v>11817386</v>
      </c>
      <c r="C28" s="251">
        <f>+C15+C27</f>
        <v>12346701</v>
      </c>
      <c r="D28" s="253">
        <f t="shared" si="0"/>
        <v>4.4791208478761717E-2</v>
      </c>
      <c r="E28" s="250">
        <f>+E15+E27</f>
        <v>11817386</v>
      </c>
      <c r="F28" s="251">
        <f>+F15+F27</f>
        <v>12683866</v>
      </c>
      <c r="G28" s="253">
        <f t="shared" si="1"/>
        <v>7.3322475884260704E-2</v>
      </c>
      <c r="H28" s="250">
        <f>+H15+H27</f>
        <v>11817386</v>
      </c>
      <c r="I28" s="251">
        <f>+I15+I27</f>
        <v>13317881</v>
      </c>
      <c r="J28" s="253">
        <f t="shared" si="2"/>
        <v>0.12697351173939819</v>
      </c>
    </row>
    <row r="29" spans="1:10" x14ac:dyDescent="0.25">
      <c r="A29" s="234" t="s">
        <v>142</v>
      </c>
      <c r="B29" s="254"/>
      <c r="C29" s="255"/>
      <c r="D29" s="254"/>
      <c r="E29" s="254"/>
      <c r="F29" s="255"/>
      <c r="G29" s="254"/>
      <c r="H29" s="254"/>
      <c r="I29" s="255"/>
      <c r="J29" s="254"/>
    </row>
    <row r="30" spans="1:10" x14ac:dyDescent="0.25">
      <c r="A30" s="237" t="s">
        <v>177</v>
      </c>
      <c r="B30" s="256"/>
      <c r="C30" s="239"/>
      <c r="D30" s="256"/>
      <c r="E30" s="256"/>
      <c r="F30" s="239"/>
      <c r="G30" s="256"/>
      <c r="H30" s="256"/>
      <c r="I30" s="239"/>
      <c r="J30" s="256"/>
    </row>
    <row r="31" spans="1:10" ht="15.75" thickBot="1" x14ac:dyDescent="0.3">
      <c r="A31" s="240" t="s">
        <v>28</v>
      </c>
      <c r="B31" s="242">
        <v>455480</v>
      </c>
      <c r="C31" s="243">
        <v>708303</v>
      </c>
      <c r="D31" s="244">
        <f t="shared" ref="D31:D37" si="3">(C31-B31)/B31</f>
        <v>0.5550693773601475</v>
      </c>
      <c r="E31" s="242">
        <v>455480</v>
      </c>
      <c r="F31" s="243">
        <v>788166</v>
      </c>
      <c r="G31" s="244">
        <f t="shared" ref="G31:G37" si="4">(F31-E31)/E31</f>
        <v>0.73040748221656271</v>
      </c>
      <c r="H31" s="242">
        <v>455480</v>
      </c>
      <c r="I31" s="243">
        <v>962314</v>
      </c>
      <c r="J31" s="244">
        <f t="shared" ref="J31:J37" si="5">(I31-H31)/H31</f>
        <v>1.1127469921840696</v>
      </c>
    </row>
    <row r="32" spans="1:10" ht="15.75" thickBot="1" x14ac:dyDescent="0.3">
      <c r="A32" s="240" t="s">
        <v>178</v>
      </c>
      <c r="B32" s="242">
        <v>656458</v>
      </c>
      <c r="C32" s="243">
        <v>829817</v>
      </c>
      <c r="D32" s="244">
        <f t="shared" si="3"/>
        <v>0.26408239369464609</v>
      </c>
      <c r="E32" s="242">
        <v>656458</v>
      </c>
      <c r="F32" s="243">
        <v>783029</v>
      </c>
      <c r="G32" s="244">
        <f t="shared" si="4"/>
        <v>0.19280898397155644</v>
      </c>
      <c r="H32" s="242">
        <v>656458</v>
      </c>
      <c r="I32" s="243">
        <v>826429</v>
      </c>
      <c r="J32" s="244">
        <f t="shared" si="5"/>
        <v>0.25892136282900047</v>
      </c>
    </row>
    <row r="33" spans="1:10" ht="15.75" thickBot="1" x14ac:dyDescent="0.3">
      <c r="A33" s="240" t="s">
        <v>30</v>
      </c>
      <c r="B33" s="242">
        <v>150217</v>
      </c>
      <c r="C33" s="243">
        <v>180907</v>
      </c>
      <c r="D33" s="244">
        <f t="shared" si="3"/>
        <v>0.20430443957741135</v>
      </c>
      <c r="E33" s="242">
        <v>150217</v>
      </c>
      <c r="F33" s="243">
        <v>183780</v>
      </c>
      <c r="G33" s="244">
        <f t="shared" si="4"/>
        <v>0.22343010444889727</v>
      </c>
      <c r="H33" s="242">
        <v>150217</v>
      </c>
      <c r="I33" s="243">
        <v>210538</v>
      </c>
      <c r="J33" s="244">
        <f t="shared" si="5"/>
        <v>0.4015590778673519</v>
      </c>
    </row>
    <row r="34" spans="1:10" ht="15.75" thickBot="1" x14ac:dyDescent="0.3">
      <c r="A34" s="240" t="s">
        <v>179</v>
      </c>
      <c r="B34" s="242">
        <v>137300</v>
      </c>
      <c r="C34" s="243">
        <v>114638</v>
      </c>
      <c r="D34" s="244">
        <f t="shared" si="3"/>
        <v>-0.16505462490895847</v>
      </c>
      <c r="E34" s="242">
        <v>137300</v>
      </c>
      <c r="F34" s="243">
        <v>133356</v>
      </c>
      <c r="G34" s="244">
        <f t="shared" si="4"/>
        <v>-2.8725418790968682E-2</v>
      </c>
      <c r="H34" s="242">
        <v>137300</v>
      </c>
      <c r="I34" s="243">
        <v>177986</v>
      </c>
      <c r="J34" s="244">
        <f t="shared" si="5"/>
        <v>0.2963292061179898</v>
      </c>
    </row>
    <row r="35" spans="1:10" ht="15.75" thickBot="1" x14ac:dyDescent="0.3">
      <c r="A35" s="240" t="s">
        <v>180</v>
      </c>
      <c r="B35" s="242">
        <v>2417</v>
      </c>
      <c r="C35" s="243">
        <v>3919</v>
      </c>
      <c r="D35" s="244">
        <f t="shared" si="3"/>
        <v>0.62143152668597434</v>
      </c>
      <c r="E35" s="242">
        <v>2417</v>
      </c>
      <c r="F35" s="243">
        <v>3371</v>
      </c>
      <c r="G35" s="244">
        <f t="shared" si="4"/>
        <v>0.39470417873396774</v>
      </c>
      <c r="H35" s="242">
        <v>2417</v>
      </c>
      <c r="I35" s="243">
        <v>3025</v>
      </c>
      <c r="J35" s="244">
        <f t="shared" si="5"/>
        <v>0.25155151013653287</v>
      </c>
    </row>
    <row r="36" spans="1:10" ht="15.75" thickBot="1" x14ac:dyDescent="0.3">
      <c r="A36" s="245" t="s">
        <v>143</v>
      </c>
      <c r="B36" s="247">
        <v>13885</v>
      </c>
      <c r="C36" s="248">
        <v>24077</v>
      </c>
      <c r="D36" s="252">
        <f t="shared" si="3"/>
        <v>0.73402952826791501</v>
      </c>
      <c r="E36" s="247">
        <v>13885</v>
      </c>
      <c r="F36" s="248">
        <v>17127</v>
      </c>
      <c r="G36" s="252">
        <f t="shared" si="4"/>
        <v>0.23348937702556716</v>
      </c>
      <c r="H36" s="247">
        <v>13885</v>
      </c>
      <c r="I36" s="248">
        <v>19917</v>
      </c>
      <c r="J36" s="252">
        <f t="shared" si="5"/>
        <v>0.43442563917897009</v>
      </c>
    </row>
    <row r="37" spans="1:10" ht="15.75" thickBot="1" x14ac:dyDescent="0.3">
      <c r="A37" s="249" t="s">
        <v>181</v>
      </c>
      <c r="B37" s="250">
        <f>SUM(B31:B36)</f>
        <v>1415757</v>
      </c>
      <c r="C37" s="251">
        <f>SUM(C31:C36)</f>
        <v>1861661</v>
      </c>
      <c r="D37" s="253">
        <f t="shared" si="3"/>
        <v>0.31495800479884611</v>
      </c>
      <c r="E37" s="250">
        <f>SUM(E31:E36)</f>
        <v>1415757</v>
      </c>
      <c r="F37" s="251">
        <f>SUM(F31:F36)</f>
        <v>1908829</v>
      </c>
      <c r="G37" s="253">
        <f t="shared" si="4"/>
        <v>0.3482744567040813</v>
      </c>
      <c r="H37" s="250">
        <f>SUM(H31:H36)</f>
        <v>1415757</v>
      </c>
      <c r="I37" s="251">
        <f>SUM(I31:I36)</f>
        <v>2200209</v>
      </c>
      <c r="J37" s="253">
        <f t="shared" si="5"/>
        <v>0.55408661232118228</v>
      </c>
    </row>
    <row r="38" spans="1:10" x14ac:dyDescent="0.25">
      <c r="A38" s="237" t="s">
        <v>182</v>
      </c>
      <c r="B38" s="238"/>
      <c r="C38" s="239"/>
      <c r="D38" s="238"/>
      <c r="E38" s="238"/>
      <c r="F38" s="239"/>
      <c r="G38" s="238"/>
      <c r="H38" s="238"/>
      <c r="I38" s="239"/>
      <c r="J38" s="238"/>
    </row>
    <row r="39" spans="1:10" ht="15.75" thickBot="1" x14ac:dyDescent="0.3">
      <c r="A39" s="240" t="s">
        <v>28</v>
      </c>
      <c r="B39" s="242">
        <v>1688797</v>
      </c>
      <c r="C39" s="243">
        <v>2294658</v>
      </c>
      <c r="D39" s="244">
        <f>(C39-B39)/B39</f>
        <v>0.35875300583788344</v>
      </c>
      <c r="E39" s="242">
        <v>1688797</v>
      </c>
      <c r="F39" s="243">
        <v>2291154</v>
      </c>
      <c r="G39" s="244">
        <f>(F39-E39)/E39</f>
        <v>0.35667815610757242</v>
      </c>
      <c r="H39" s="242">
        <v>1688797</v>
      </c>
      <c r="I39" s="243">
        <v>2119518</v>
      </c>
      <c r="J39" s="244">
        <f>(I39-H39)/H39</f>
        <v>0.25504604757114085</v>
      </c>
    </row>
    <row r="40" spans="1:10" ht="15.75" thickBot="1" x14ac:dyDescent="0.3">
      <c r="A40" s="240" t="s">
        <v>178</v>
      </c>
      <c r="B40" s="241">
        <v>159</v>
      </c>
      <c r="C40" s="257">
        <v>159</v>
      </c>
      <c r="D40" s="244">
        <f>(C40-B40)/B40</f>
        <v>0</v>
      </c>
      <c r="E40" s="241">
        <v>159</v>
      </c>
      <c r="F40" s="257">
        <v>159</v>
      </c>
      <c r="G40" s="244">
        <f>(F40-E40)/E40</f>
        <v>0</v>
      </c>
      <c r="H40" s="241">
        <v>159</v>
      </c>
      <c r="I40" s="257">
        <v>146</v>
      </c>
      <c r="J40" s="244">
        <f>(I40-H40)/H40</f>
        <v>-8.1761006289308172E-2</v>
      </c>
    </row>
    <row r="41" spans="1:10" ht="15.75" thickBot="1" x14ac:dyDescent="0.3">
      <c r="A41" s="240" t="s">
        <v>179</v>
      </c>
      <c r="B41" s="242">
        <v>209287</v>
      </c>
      <c r="C41" s="243">
        <v>218228</v>
      </c>
      <c r="D41" s="244">
        <f>(C41-B41)/B41</f>
        <v>4.2721239255185464E-2</v>
      </c>
      <c r="E41" s="242">
        <v>209287</v>
      </c>
      <c r="F41" s="243">
        <v>221192</v>
      </c>
      <c r="G41" s="244">
        <f>(F41-E41)/E41</f>
        <v>5.6883609588746553E-2</v>
      </c>
      <c r="H41" s="242">
        <v>209287</v>
      </c>
      <c r="I41" s="243">
        <v>230323</v>
      </c>
      <c r="J41" s="244">
        <f>(I41-H41)/H41</f>
        <v>0.10051269309608336</v>
      </c>
    </row>
    <row r="42" spans="1:10" ht="15.75" thickBot="1" x14ac:dyDescent="0.3">
      <c r="A42" s="240" t="s">
        <v>183</v>
      </c>
      <c r="B42" s="242">
        <v>471713</v>
      </c>
      <c r="C42" s="243">
        <v>649011</v>
      </c>
      <c r="D42" s="244">
        <f>(C42-B42)/B42</f>
        <v>0.37585989786162349</v>
      </c>
      <c r="E42" s="242">
        <v>471713</v>
      </c>
      <c r="F42" s="243">
        <v>645944</v>
      </c>
      <c r="G42" s="244">
        <f>(F42-E42)/E42</f>
        <v>0.36935806305952984</v>
      </c>
      <c r="H42" s="242">
        <v>471713</v>
      </c>
      <c r="I42" s="243">
        <v>667566</v>
      </c>
      <c r="J42" s="244">
        <f>(I42-H42)/H42</f>
        <v>0.41519525643770683</v>
      </c>
    </row>
    <row r="43" spans="1:10" ht="15.75" thickBot="1" x14ac:dyDescent="0.3">
      <c r="A43" s="245" t="s">
        <v>143</v>
      </c>
      <c r="B43" s="246" t="s">
        <v>184</v>
      </c>
      <c r="C43" s="258" t="s">
        <v>184</v>
      </c>
      <c r="D43" s="252" t="s">
        <v>131</v>
      </c>
      <c r="E43" s="246" t="s">
        <v>184</v>
      </c>
      <c r="F43" s="258" t="s">
        <v>184</v>
      </c>
      <c r="G43" s="252" t="s">
        <v>131</v>
      </c>
      <c r="H43" s="246" t="s">
        <v>184</v>
      </c>
      <c r="I43" s="243">
        <v>28060</v>
      </c>
      <c r="J43" s="252" t="s">
        <v>131</v>
      </c>
    </row>
    <row r="44" spans="1:10" ht="15.75" thickBot="1" x14ac:dyDescent="0.3">
      <c r="A44" s="249" t="s">
        <v>185</v>
      </c>
      <c r="B44" s="250">
        <f>SUM(B39:B43)</f>
        <v>2369956</v>
      </c>
      <c r="C44" s="251">
        <f>SUM(C39:C43)</f>
        <v>3162056</v>
      </c>
      <c r="D44" s="253">
        <f>(C44-B44)/B44</f>
        <v>0.33422561431520248</v>
      </c>
      <c r="E44" s="250">
        <f>SUM(E39:E43)</f>
        <v>2369956</v>
      </c>
      <c r="F44" s="251">
        <f>SUM(F39:F43)</f>
        <v>3158449</v>
      </c>
      <c r="G44" s="253">
        <f>(F44-E44)/E44</f>
        <v>0.33270364513096445</v>
      </c>
      <c r="H44" s="250">
        <f>SUM(H39:H43)</f>
        <v>2369956</v>
      </c>
      <c r="I44" s="251">
        <f>SUM(I39:I43)</f>
        <v>3045613</v>
      </c>
      <c r="J44" s="253">
        <f>(I44-H44)/H44</f>
        <v>0.28509263463119144</v>
      </c>
    </row>
    <row r="45" spans="1:10" ht="15.75" thickBot="1" x14ac:dyDescent="0.3">
      <c r="A45" s="249" t="s">
        <v>186</v>
      </c>
      <c r="B45" s="250">
        <f>+B37+B44</f>
        <v>3785713</v>
      </c>
      <c r="C45" s="251">
        <f>+C37+C44</f>
        <v>5023717</v>
      </c>
      <c r="D45" s="253">
        <f>(C45-B45)/B45</f>
        <v>0.32702003559171022</v>
      </c>
      <c r="E45" s="250">
        <f>+E37+E44</f>
        <v>3785713</v>
      </c>
      <c r="F45" s="251">
        <f>+F37+F44</f>
        <v>5067278</v>
      </c>
      <c r="G45" s="253">
        <f>(F45-E45)/E45</f>
        <v>0.33852671874492335</v>
      </c>
      <c r="H45" s="250">
        <f>+H37+H44</f>
        <v>3785713</v>
      </c>
      <c r="I45" s="251">
        <f>+I37+I44</f>
        <v>5245822</v>
      </c>
      <c r="J45" s="253">
        <f>(I45-H45)/H45</f>
        <v>0.38568930080013991</v>
      </c>
    </row>
    <row r="46" spans="1:10" x14ac:dyDescent="0.25">
      <c r="A46" s="234" t="s">
        <v>34</v>
      </c>
      <c r="B46" s="254"/>
      <c r="C46" s="255"/>
      <c r="D46" s="254"/>
      <c r="E46" s="254"/>
      <c r="F46" s="255"/>
      <c r="G46" s="254"/>
      <c r="H46" s="254"/>
      <c r="I46" s="255"/>
      <c r="J46" s="254"/>
    </row>
    <row r="47" spans="1:10" ht="15.75" thickBot="1" x14ac:dyDescent="0.3">
      <c r="A47" s="249" t="s">
        <v>187</v>
      </c>
      <c r="B47" s="250">
        <v>8001755</v>
      </c>
      <c r="C47" s="251">
        <v>7291710</v>
      </c>
      <c r="D47" s="253">
        <f>(C47-B47)/B47</f>
        <v>-8.8736158505227911E-2</v>
      </c>
      <c r="E47" s="250">
        <v>8001755</v>
      </c>
      <c r="F47" s="251">
        <v>7585730</v>
      </c>
      <c r="G47" s="253">
        <f>(F47-E47)/E47</f>
        <v>-5.1991719316574925E-2</v>
      </c>
      <c r="H47" s="250">
        <v>8001755</v>
      </c>
      <c r="I47" s="251">
        <v>8037783</v>
      </c>
      <c r="J47" s="253">
        <f>(I47-H47)/H47</f>
        <v>4.5025122613726615E-3</v>
      </c>
    </row>
    <row r="48" spans="1:10" ht="15.75" thickBot="1" x14ac:dyDescent="0.3">
      <c r="A48" s="259" t="s">
        <v>188</v>
      </c>
      <c r="B48" s="247">
        <v>29918</v>
      </c>
      <c r="C48" s="248">
        <v>31274</v>
      </c>
      <c r="D48" s="252">
        <f>(C48-B48)/B48</f>
        <v>4.5323885286449629E-2</v>
      </c>
      <c r="E48" s="247">
        <v>29918</v>
      </c>
      <c r="F48" s="248">
        <v>30858</v>
      </c>
      <c r="G48" s="252">
        <f>(F48-E48)/E48</f>
        <v>3.1419212514205493E-2</v>
      </c>
      <c r="H48" s="247">
        <v>29918</v>
      </c>
      <c r="I48" s="248">
        <v>34276</v>
      </c>
      <c r="J48" s="252">
        <f>(I48-H48)/H48</f>
        <v>0.14566481716692292</v>
      </c>
    </row>
    <row r="49" spans="1:32" ht="15.75" thickBot="1" x14ac:dyDescent="0.3">
      <c r="A49" s="249" t="s">
        <v>189</v>
      </c>
      <c r="B49" s="250">
        <f>SUM(B47:B48)</f>
        <v>8031673</v>
      </c>
      <c r="C49" s="251">
        <f>SUM(C47:C48)</f>
        <v>7322984</v>
      </c>
      <c r="D49" s="253">
        <f>(C49-B49)/B49</f>
        <v>-8.8236784540406468E-2</v>
      </c>
      <c r="E49" s="250">
        <f>SUM(E47:E48)</f>
        <v>8031673</v>
      </c>
      <c r="F49" s="251">
        <f>SUM(F47:F48)</f>
        <v>7616588</v>
      </c>
      <c r="G49" s="253">
        <f>(F49-E49)/E49</f>
        <v>-5.1681013407791875E-2</v>
      </c>
      <c r="H49" s="250">
        <f>SUM(H47:H48)</f>
        <v>8031673</v>
      </c>
      <c r="I49" s="251">
        <f>SUM(I47:I48)</f>
        <v>8072059</v>
      </c>
      <c r="J49" s="253">
        <f>(I49-H49)/H49</f>
        <v>5.0283421648266808E-3</v>
      </c>
    </row>
    <row r="50" spans="1:32" ht="15.75" thickBot="1" x14ac:dyDescent="0.3">
      <c r="A50" s="260" t="s">
        <v>190</v>
      </c>
      <c r="B50" s="261">
        <f>+B45+B49</f>
        <v>11817386</v>
      </c>
      <c r="C50" s="251">
        <f>+C45+C49</f>
        <v>12346701</v>
      </c>
      <c r="D50" s="262">
        <f>(C50-B50)/B50</f>
        <v>4.4791208478761717E-2</v>
      </c>
      <c r="E50" s="261">
        <f>+E45+E49</f>
        <v>11817386</v>
      </c>
      <c r="F50" s="251">
        <f>+F45+F49</f>
        <v>12683866</v>
      </c>
      <c r="G50" s="262">
        <f>(F50-E50)/E50</f>
        <v>7.3322475884260704E-2</v>
      </c>
      <c r="H50" s="261">
        <f>+H45+H49</f>
        <v>11817386</v>
      </c>
      <c r="I50" s="251">
        <f>+I45+I49</f>
        <v>13317881</v>
      </c>
      <c r="J50" s="262">
        <f>(I50-H50)/H50</f>
        <v>0.12697351173939819</v>
      </c>
    </row>
    <row r="52" spans="1:32" x14ac:dyDescent="0.25">
      <c r="C52" s="263"/>
      <c r="E52" s="263"/>
      <c r="H52" s="263"/>
      <c r="J52" s="263"/>
      <c r="M52" s="263"/>
      <c r="O52" s="263"/>
      <c r="R52" s="263"/>
      <c r="T52" s="263"/>
    </row>
    <row r="53" spans="1:32" ht="18.75" x14ac:dyDescent="0.3">
      <c r="A53" s="264" t="s">
        <v>191</v>
      </c>
      <c r="B53" s="362"/>
      <c r="C53" s="362"/>
      <c r="D53" s="362"/>
      <c r="E53" s="362"/>
    </row>
    <row r="54" spans="1:32" x14ac:dyDescent="0.25">
      <c r="A54" s="230" t="s">
        <v>217</v>
      </c>
      <c r="B54" s="362"/>
      <c r="C54" s="362"/>
      <c r="D54" s="362"/>
      <c r="E54" s="362"/>
    </row>
    <row r="55" spans="1:32" x14ac:dyDescent="0.25">
      <c r="A55" s="230" t="s">
        <v>88</v>
      </c>
      <c r="B55" s="362"/>
      <c r="C55" s="362"/>
      <c r="D55" s="362"/>
      <c r="E55" s="362"/>
    </row>
    <row r="56" spans="1:32" x14ac:dyDescent="0.25">
      <c r="A56" s="265" t="s">
        <v>159</v>
      </c>
      <c r="B56" s="362"/>
      <c r="C56" s="362"/>
      <c r="D56" s="362"/>
      <c r="E56" s="362"/>
    </row>
    <row r="57" spans="1:32" ht="15.75" thickBot="1" x14ac:dyDescent="0.3">
      <c r="B57" s="364"/>
      <c r="C57" s="364"/>
      <c r="D57" s="364"/>
      <c r="E57" s="364"/>
    </row>
    <row r="58" spans="1:32" s="339" customFormat="1" ht="15.75" customHeight="1" thickBot="1" x14ac:dyDescent="0.3">
      <c r="A58" s="348"/>
      <c r="B58" s="348" t="s">
        <v>145</v>
      </c>
      <c r="C58" s="348" t="s">
        <v>55</v>
      </c>
      <c r="D58" s="351" t="s">
        <v>146</v>
      </c>
      <c r="E58" s="348" t="s">
        <v>55</v>
      </c>
      <c r="F58" s="348" t="s">
        <v>46</v>
      </c>
      <c r="G58" s="348" t="s">
        <v>149</v>
      </c>
      <c r="H58" s="348" t="s">
        <v>55</v>
      </c>
      <c r="I58" s="351" t="s">
        <v>150</v>
      </c>
      <c r="J58" s="348" t="s">
        <v>55</v>
      </c>
      <c r="K58" s="348" t="s">
        <v>46</v>
      </c>
      <c r="L58" s="348" t="s">
        <v>145</v>
      </c>
      <c r="M58" s="351" t="s">
        <v>146</v>
      </c>
      <c r="N58" s="348" t="s">
        <v>147</v>
      </c>
      <c r="O58" s="351" t="s">
        <v>148</v>
      </c>
      <c r="P58" s="348" t="s">
        <v>151</v>
      </c>
      <c r="Q58" s="348" t="s">
        <v>55</v>
      </c>
      <c r="R58" s="351" t="s">
        <v>152</v>
      </c>
      <c r="S58" s="348" t="s">
        <v>55</v>
      </c>
      <c r="T58" s="348" t="s">
        <v>46</v>
      </c>
      <c r="U58" s="348" t="s">
        <v>223</v>
      </c>
      <c r="V58" s="348" t="s">
        <v>55</v>
      </c>
      <c r="W58" s="351" t="s">
        <v>224</v>
      </c>
      <c r="X58" s="348" t="s">
        <v>55</v>
      </c>
      <c r="Y58" s="348" t="s">
        <v>46</v>
      </c>
    </row>
    <row r="59" spans="1:32" ht="15.75" thickTop="1" x14ac:dyDescent="0.25">
      <c r="A59" s="266" t="s">
        <v>193</v>
      </c>
      <c r="B59" s="232"/>
      <c r="C59" s="232"/>
      <c r="D59" s="267"/>
      <c r="E59" s="232"/>
      <c r="F59" s="232"/>
      <c r="G59" s="232"/>
      <c r="H59" s="232"/>
      <c r="I59" s="267"/>
      <c r="J59" s="232"/>
      <c r="K59" s="232"/>
      <c r="L59" s="232"/>
      <c r="M59" s="267"/>
      <c r="N59" s="232"/>
      <c r="O59" s="267"/>
      <c r="P59" s="232"/>
      <c r="Q59" s="232"/>
      <c r="R59" s="267"/>
      <c r="S59" s="232"/>
      <c r="T59" s="232"/>
      <c r="U59" s="232"/>
      <c r="V59" s="232"/>
      <c r="W59" s="267"/>
      <c r="X59" s="232"/>
      <c r="Y59" s="232"/>
    </row>
    <row r="60" spans="1:32" ht="15.75" thickBot="1" x14ac:dyDescent="0.3">
      <c r="A60" s="268" t="s">
        <v>194</v>
      </c>
      <c r="B60" s="269">
        <v>1531515</v>
      </c>
      <c r="C60" s="270">
        <f t="shared" ref="C60:C81" si="6">+B60/$B$60</f>
        <v>1</v>
      </c>
      <c r="D60" s="271">
        <v>1726220</v>
      </c>
      <c r="E60" s="270">
        <f>+D60/$D$60</f>
        <v>1</v>
      </c>
      <c r="F60" s="270">
        <f t="shared" ref="F60:F74" si="7">(D60-B60)/B60</f>
        <v>0.12713228404553661</v>
      </c>
      <c r="G60" s="269">
        <v>3066947</v>
      </c>
      <c r="H60" s="270">
        <f>+G60/$G$60</f>
        <v>1</v>
      </c>
      <c r="I60" s="271">
        <v>3583400</v>
      </c>
      <c r="J60" s="270">
        <f t="shared" ref="J60:J81" si="8">+I60/$I$60</f>
        <v>1</v>
      </c>
      <c r="K60" s="270">
        <f t="shared" ref="K60:K70" si="9">(I60-G60)/G60</f>
        <v>0.16839319362219171</v>
      </c>
      <c r="L60" s="269">
        <v>1531515</v>
      </c>
      <c r="M60" s="271">
        <v>1726220</v>
      </c>
      <c r="N60" s="269">
        <v>1535432</v>
      </c>
      <c r="O60" s="271">
        <v>1857180</v>
      </c>
      <c r="P60" s="269">
        <v>1626920</v>
      </c>
      <c r="Q60" s="270">
        <f t="shared" ref="Q60:Q81" si="10">+P60/$P$60</f>
        <v>1</v>
      </c>
      <c r="R60" s="271">
        <v>2099201</v>
      </c>
      <c r="S60" s="270">
        <f t="shared" ref="S60:S81" si="11">+R60/$R$60</f>
        <v>1</v>
      </c>
      <c r="T60" s="270">
        <f t="shared" ref="T60:T70" si="12">(R60-P60)/P60</f>
        <v>0.29029147100041797</v>
      </c>
      <c r="U60" s="269">
        <v>4693867</v>
      </c>
      <c r="V60" s="270">
        <f t="shared" ref="V60:V81" si="13">U60/$U$60</f>
        <v>1</v>
      </c>
      <c r="W60" s="271">
        <v>5682601</v>
      </c>
      <c r="X60" s="270">
        <f t="shared" ref="X60:X81" si="14">+W60/$W$60</f>
        <v>1</v>
      </c>
      <c r="Y60" s="270">
        <f t="shared" ref="Y60:Y70" si="15">(W60-U60)/U60</f>
        <v>0.21064380392542012</v>
      </c>
      <c r="AA60" s="263"/>
      <c r="AB60" s="263"/>
      <c r="AC60" s="263"/>
      <c r="AD60" s="263"/>
      <c r="AE60" s="263"/>
      <c r="AF60" s="263"/>
    </row>
    <row r="61" spans="1:32" ht="15.75" thickBot="1" x14ac:dyDescent="0.3">
      <c r="A61" s="272" t="s">
        <v>195</v>
      </c>
      <c r="B61" s="274">
        <v>-842171</v>
      </c>
      <c r="C61" s="275">
        <f t="shared" si="6"/>
        <v>-0.54989405915057965</v>
      </c>
      <c r="D61" s="276">
        <v>-972781</v>
      </c>
      <c r="E61" s="275">
        <f t="shared" ref="E61:E87" si="16">+D61/$D$60</f>
        <v>-0.56353245820347353</v>
      </c>
      <c r="F61" s="275">
        <f t="shared" si="7"/>
        <v>0.15508726850010271</v>
      </c>
      <c r="G61" s="274">
        <v>-1698042</v>
      </c>
      <c r="H61" s="275">
        <f t="shared" ref="H61:H87" si="17">+G61/$G$60</f>
        <v>-0.55365873619596295</v>
      </c>
      <c r="I61" s="276">
        <v>-2017246</v>
      </c>
      <c r="J61" s="275">
        <f t="shared" si="8"/>
        <v>-0.56294189875537204</v>
      </c>
      <c r="K61" s="275">
        <f t="shared" si="9"/>
        <v>0.18798357166666077</v>
      </c>
      <c r="L61" s="274">
        <v>-842171</v>
      </c>
      <c r="M61" s="276">
        <v>-972781</v>
      </c>
      <c r="N61" s="274">
        <v>-855871</v>
      </c>
      <c r="O61" s="276">
        <v>-1044465</v>
      </c>
      <c r="P61" s="274">
        <v>-908503</v>
      </c>
      <c r="Q61" s="275">
        <f t="shared" si="10"/>
        <v>-0.55841897573328747</v>
      </c>
      <c r="R61" s="276">
        <v>-1187912</v>
      </c>
      <c r="S61" s="275">
        <f t="shared" si="11"/>
        <v>-0.56588768774405118</v>
      </c>
      <c r="T61" s="275">
        <f t="shared" si="12"/>
        <v>0.3075487918036594</v>
      </c>
      <c r="U61" s="274">
        <v>-2606545</v>
      </c>
      <c r="V61" s="275">
        <f t="shared" si="13"/>
        <v>-0.55530866128077339</v>
      </c>
      <c r="W61" s="276">
        <v>-3205158</v>
      </c>
      <c r="X61" s="275">
        <f t="shared" si="14"/>
        <v>-0.56403009818919192</v>
      </c>
      <c r="Y61" s="275">
        <f t="shared" si="15"/>
        <v>0.22965765026116947</v>
      </c>
      <c r="AA61" s="263"/>
      <c r="AB61" s="263"/>
      <c r="AC61" s="263"/>
      <c r="AD61" s="263"/>
      <c r="AE61" s="263"/>
      <c r="AF61" s="263"/>
    </row>
    <row r="62" spans="1:32" ht="15.75" thickBot="1" x14ac:dyDescent="0.3">
      <c r="A62" s="277" t="s">
        <v>196</v>
      </c>
      <c r="B62" s="278">
        <f>SUM(B60:B61)</f>
        <v>689344</v>
      </c>
      <c r="C62" s="279">
        <f t="shared" si="6"/>
        <v>0.45010594084942035</v>
      </c>
      <c r="D62" s="280">
        <f>SUM(D60:D61)</f>
        <v>753439</v>
      </c>
      <c r="E62" s="279">
        <f t="shared" si="16"/>
        <v>0.43646754179652653</v>
      </c>
      <c r="F62" s="279">
        <f t="shared" si="7"/>
        <v>9.297970244174171E-2</v>
      </c>
      <c r="G62" s="278">
        <f>SUM(G60:G61)</f>
        <v>1368905</v>
      </c>
      <c r="H62" s="279">
        <f t="shared" si="17"/>
        <v>0.44634126380403705</v>
      </c>
      <c r="I62" s="280">
        <f>SUM(I60:I61)</f>
        <v>1566154</v>
      </c>
      <c r="J62" s="279">
        <f t="shared" si="8"/>
        <v>0.43705810124462802</v>
      </c>
      <c r="K62" s="279">
        <f t="shared" si="9"/>
        <v>0.14409254111863132</v>
      </c>
      <c r="L62" s="278">
        <f>SUM(L60:L61)</f>
        <v>689344</v>
      </c>
      <c r="M62" s="280">
        <f>SUM(M60:M61)</f>
        <v>753439</v>
      </c>
      <c r="N62" s="278">
        <f>SUM(N60:N61)</f>
        <v>679561</v>
      </c>
      <c r="O62" s="280">
        <f>SUM(O60:O61)</f>
        <v>812715</v>
      </c>
      <c r="P62" s="278">
        <f>SUM(P60:P61)</f>
        <v>718417</v>
      </c>
      <c r="Q62" s="279">
        <f t="shared" si="10"/>
        <v>0.44158102426671259</v>
      </c>
      <c r="R62" s="280">
        <f>SUM(R60:R61)</f>
        <v>911289</v>
      </c>
      <c r="S62" s="279">
        <f t="shared" si="11"/>
        <v>0.43411231225594882</v>
      </c>
      <c r="T62" s="279">
        <f t="shared" si="12"/>
        <v>0.26846803458158702</v>
      </c>
      <c r="U62" s="278">
        <f>SUM(U60:U61)</f>
        <v>2087322</v>
      </c>
      <c r="V62" s="279">
        <f t="shared" si="13"/>
        <v>0.44469133871922661</v>
      </c>
      <c r="W62" s="280">
        <f>SUM(W60:W61)</f>
        <v>2477443</v>
      </c>
      <c r="X62" s="279">
        <f t="shared" si="14"/>
        <v>0.43596990181080814</v>
      </c>
      <c r="Y62" s="279">
        <f t="shared" si="15"/>
        <v>0.18690024826069002</v>
      </c>
      <c r="AA62" s="263"/>
      <c r="AB62" s="263"/>
      <c r="AC62" s="263"/>
      <c r="AD62" s="263"/>
      <c r="AE62" s="263"/>
      <c r="AF62" s="263"/>
    </row>
    <row r="63" spans="1:32" ht="15.75" thickBot="1" x14ac:dyDescent="0.3">
      <c r="A63" s="272" t="s">
        <v>7</v>
      </c>
      <c r="B63" s="274">
        <v>-84830</v>
      </c>
      <c r="C63" s="275">
        <f t="shared" si="6"/>
        <v>-5.5389597881835957E-2</v>
      </c>
      <c r="D63" s="276">
        <v>-96265</v>
      </c>
      <c r="E63" s="275">
        <f t="shared" si="16"/>
        <v>-5.5766356547832838E-2</v>
      </c>
      <c r="F63" s="275">
        <f t="shared" si="7"/>
        <v>0.13479900978427442</v>
      </c>
      <c r="G63" s="274">
        <v>-163253</v>
      </c>
      <c r="H63" s="275">
        <f t="shared" si="17"/>
        <v>-5.3229808014289129E-2</v>
      </c>
      <c r="I63" s="276">
        <v>-183083</v>
      </c>
      <c r="J63" s="275">
        <f t="shared" si="8"/>
        <v>-5.1091979684098898E-2</v>
      </c>
      <c r="K63" s="275">
        <f t="shared" si="9"/>
        <v>0.12146790564338787</v>
      </c>
      <c r="L63" s="274">
        <v>-84830</v>
      </c>
      <c r="M63" s="276">
        <v>-96265</v>
      </c>
      <c r="N63" s="274">
        <v>-78423</v>
      </c>
      <c r="O63" s="276">
        <v>-86818</v>
      </c>
      <c r="P63" s="274">
        <v>-81372</v>
      </c>
      <c r="Q63" s="275">
        <f t="shared" si="10"/>
        <v>-5.0015981117694785E-2</v>
      </c>
      <c r="R63" s="276">
        <v>-95398</v>
      </c>
      <c r="S63" s="275">
        <f t="shared" si="11"/>
        <v>-4.5444909753758693E-2</v>
      </c>
      <c r="T63" s="275">
        <f t="shared" si="12"/>
        <v>0.17236887381408839</v>
      </c>
      <c r="U63" s="274">
        <v>-244625</v>
      </c>
      <c r="V63" s="275">
        <f t="shared" si="13"/>
        <v>-5.2115878016995368E-2</v>
      </c>
      <c r="W63" s="276">
        <v>-278481</v>
      </c>
      <c r="X63" s="275">
        <f t="shared" si="14"/>
        <v>-4.9005904162548103E-2</v>
      </c>
      <c r="Y63" s="275">
        <f t="shared" si="15"/>
        <v>0.13839959121103731</v>
      </c>
      <c r="AA63" s="263"/>
      <c r="AB63" s="263"/>
      <c r="AC63" s="263"/>
      <c r="AD63" s="263"/>
      <c r="AE63" s="263"/>
      <c r="AF63" s="263"/>
    </row>
    <row r="64" spans="1:32" ht="15.75" thickBot="1" x14ac:dyDescent="0.3">
      <c r="A64" s="272" t="s">
        <v>8</v>
      </c>
      <c r="B64" s="274">
        <v>-382688</v>
      </c>
      <c r="C64" s="275">
        <f t="shared" si="6"/>
        <v>-0.24987545012618226</v>
      </c>
      <c r="D64" s="276">
        <v>-436316</v>
      </c>
      <c r="E64" s="275">
        <f t="shared" si="16"/>
        <v>-0.25275804937956925</v>
      </c>
      <c r="F64" s="275">
        <f t="shared" si="7"/>
        <v>0.14013504473618196</v>
      </c>
      <c r="G64" s="274">
        <v>-786304</v>
      </c>
      <c r="H64" s="275">
        <f t="shared" si="17"/>
        <v>-0.2563800417809633</v>
      </c>
      <c r="I64" s="276">
        <v>-956200</v>
      </c>
      <c r="J64" s="275">
        <f t="shared" si="8"/>
        <v>-0.26684154713400682</v>
      </c>
      <c r="K64" s="275">
        <f t="shared" si="9"/>
        <v>0.21606910304411525</v>
      </c>
      <c r="L64" s="274">
        <v>-382688</v>
      </c>
      <c r="M64" s="276">
        <v>-436316</v>
      </c>
      <c r="N64" s="274">
        <v>-403616</v>
      </c>
      <c r="O64" s="276">
        <v>-519884</v>
      </c>
      <c r="P64" s="274">
        <v>-430108</v>
      </c>
      <c r="Q64" s="275">
        <f t="shared" si="10"/>
        <v>-0.26436948344110345</v>
      </c>
      <c r="R64" s="276">
        <v>-561107</v>
      </c>
      <c r="S64" s="275">
        <f t="shared" si="11"/>
        <v>-0.2672955091008436</v>
      </c>
      <c r="T64" s="275">
        <f t="shared" si="12"/>
        <v>0.30457233997042604</v>
      </c>
      <c r="U64" s="274">
        <v>-1216412</v>
      </c>
      <c r="V64" s="275">
        <f t="shared" si="13"/>
        <v>-0.25914922600065149</v>
      </c>
      <c r="W64" s="276">
        <v>-1517307</v>
      </c>
      <c r="X64" s="275">
        <f t="shared" si="14"/>
        <v>-0.26700924453432506</v>
      </c>
      <c r="Y64" s="275">
        <f t="shared" si="15"/>
        <v>0.24736273565206526</v>
      </c>
      <c r="AA64" s="263"/>
      <c r="AB64" s="263"/>
      <c r="AC64" s="263"/>
      <c r="AD64" s="263"/>
      <c r="AE64" s="263"/>
      <c r="AF64" s="263"/>
    </row>
    <row r="65" spans="1:32" ht="15.75" thickBot="1" x14ac:dyDescent="0.3">
      <c r="A65" s="272" t="s">
        <v>84</v>
      </c>
      <c r="B65" s="274">
        <v>-29293</v>
      </c>
      <c r="C65" s="275">
        <f t="shared" si="6"/>
        <v>-1.9126812339415548E-2</v>
      </c>
      <c r="D65" s="276">
        <v>-32449</v>
      </c>
      <c r="E65" s="275">
        <f t="shared" si="16"/>
        <v>-1.8797719873480785E-2</v>
      </c>
      <c r="F65" s="275">
        <f t="shared" si="7"/>
        <v>0.10773905028505104</v>
      </c>
      <c r="G65" s="274">
        <v>-56598</v>
      </c>
      <c r="H65" s="275">
        <f t="shared" si="17"/>
        <v>-1.8454182612219906E-2</v>
      </c>
      <c r="I65" s="276">
        <v>-64633</v>
      </c>
      <c r="J65" s="275">
        <f t="shared" si="8"/>
        <v>-1.8036780711056539E-2</v>
      </c>
      <c r="K65" s="275">
        <f t="shared" si="9"/>
        <v>0.14196614721368248</v>
      </c>
      <c r="L65" s="274">
        <v>-29293</v>
      </c>
      <c r="M65" s="276">
        <v>-32449</v>
      </c>
      <c r="N65" s="274">
        <v>-27305</v>
      </c>
      <c r="O65" s="276">
        <v>-32184</v>
      </c>
      <c r="P65" s="274">
        <v>-31296</v>
      </c>
      <c r="Q65" s="275">
        <f t="shared" si="10"/>
        <v>-1.9236348437538416E-2</v>
      </c>
      <c r="R65" s="276">
        <v>-31887</v>
      </c>
      <c r="S65" s="275">
        <f t="shared" si="11"/>
        <v>-1.51900651724156E-2</v>
      </c>
      <c r="T65" s="275">
        <f t="shared" si="12"/>
        <v>1.8884202453987729E-2</v>
      </c>
      <c r="U65" s="274">
        <v>-87894</v>
      </c>
      <c r="V65" s="275">
        <f t="shared" si="13"/>
        <v>-1.8725285569446259E-2</v>
      </c>
      <c r="W65" s="276">
        <v>-96520</v>
      </c>
      <c r="X65" s="275">
        <f t="shared" si="14"/>
        <v>-1.6985179849861004E-2</v>
      </c>
      <c r="Y65" s="275">
        <f t="shared" si="15"/>
        <v>9.8140942498919151E-2</v>
      </c>
      <c r="AA65" s="263"/>
      <c r="AB65" s="263"/>
      <c r="AC65" s="263"/>
      <c r="AD65" s="263"/>
      <c r="AE65" s="263"/>
      <c r="AF65" s="263"/>
    </row>
    <row r="66" spans="1:32" ht="15.75" thickBot="1" x14ac:dyDescent="0.3">
      <c r="A66" s="272" t="s">
        <v>197</v>
      </c>
      <c r="B66" s="274">
        <v>1077</v>
      </c>
      <c r="C66" s="275">
        <f t="shared" si="6"/>
        <v>7.0322523775477228E-4</v>
      </c>
      <c r="D66" s="276">
        <v>8166</v>
      </c>
      <c r="E66" s="275">
        <f t="shared" si="16"/>
        <v>4.730567366847795E-3</v>
      </c>
      <c r="F66" s="275">
        <f t="shared" si="7"/>
        <v>6.5821727019498608</v>
      </c>
      <c r="G66" s="274">
        <v>1961</v>
      </c>
      <c r="H66" s="275">
        <f t="shared" si="17"/>
        <v>6.3939807241533686E-4</v>
      </c>
      <c r="I66" s="276">
        <v>7880</v>
      </c>
      <c r="J66" s="275">
        <f t="shared" si="8"/>
        <v>2.1990288552771113E-3</v>
      </c>
      <c r="K66" s="275">
        <f t="shared" si="9"/>
        <v>3.0183579806221315</v>
      </c>
      <c r="L66" s="274">
        <v>1077</v>
      </c>
      <c r="M66" s="276">
        <v>8166</v>
      </c>
      <c r="N66" s="274">
        <v>884</v>
      </c>
      <c r="O66" s="276">
        <v>-286</v>
      </c>
      <c r="P66" s="274">
        <v>1803</v>
      </c>
      <c r="Q66" s="275">
        <f t="shared" si="10"/>
        <v>1.1082290462960686E-3</v>
      </c>
      <c r="R66" s="276">
        <v>-4707</v>
      </c>
      <c r="S66" s="275">
        <f t="shared" si="11"/>
        <v>-2.2422817062301321E-3</v>
      </c>
      <c r="T66" s="275">
        <f t="shared" si="12"/>
        <v>-3.6106489184692179</v>
      </c>
      <c r="U66" s="274">
        <v>3764</v>
      </c>
      <c r="V66" s="275">
        <f t="shared" si="13"/>
        <v>8.0189745469993079E-4</v>
      </c>
      <c r="W66" s="276">
        <v>3173</v>
      </c>
      <c r="X66" s="275">
        <f t="shared" si="14"/>
        <v>5.583710698674779E-4</v>
      </c>
      <c r="Y66" s="275">
        <f t="shared" si="15"/>
        <v>-0.15701381509032944</v>
      </c>
      <c r="AA66" s="263"/>
      <c r="AB66" s="263"/>
      <c r="AC66" s="263"/>
      <c r="AD66" s="263"/>
      <c r="AE66" s="263"/>
      <c r="AF66" s="263"/>
    </row>
    <row r="67" spans="1:32" ht="15.75" thickBot="1" x14ac:dyDescent="0.3">
      <c r="A67" s="272" t="s">
        <v>144</v>
      </c>
      <c r="B67" s="274">
        <v>2033</v>
      </c>
      <c r="C67" s="275">
        <f t="shared" si="6"/>
        <v>1.327443740348609E-3</v>
      </c>
      <c r="D67" s="276">
        <v>2206</v>
      </c>
      <c r="E67" s="275">
        <f t="shared" si="16"/>
        <v>1.2779367635643198E-3</v>
      </c>
      <c r="F67" s="275">
        <f t="shared" si="7"/>
        <v>8.5095917363502208E-2</v>
      </c>
      <c r="G67" s="274">
        <v>-7505</v>
      </c>
      <c r="H67" s="275">
        <f t="shared" si="17"/>
        <v>-2.4470589155926072E-3</v>
      </c>
      <c r="I67" s="276">
        <v>2090</v>
      </c>
      <c r="J67" s="275">
        <f t="shared" si="8"/>
        <v>5.8324496288441143E-4</v>
      </c>
      <c r="K67" s="275">
        <f t="shared" si="9"/>
        <v>-1.2784810126582278</v>
      </c>
      <c r="L67" s="274">
        <v>2033</v>
      </c>
      <c r="M67" s="276">
        <v>2206</v>
      </c>
      <c r="N67" s="274">
        <v>-9538</v>
      </c>
      <c r="O67" s="276">
        <v>-116</v>
      </c>
      <c r="P67" s="274">
        <v>-8862</v>
      </c>
      <c r="Q67" s="275">
        <f t="shared" si="10"/>
        <v>-5.4471025004302611E-3</v>
      </c>
      <c r="R67" s="276">
        <v>-3726</v>
      </c>
      <c r="S67" s="275">
        <f t="shared" si="11"/>
        <v>-1.7749610447022463E-3</v>
      </c>
      <c r="T67" s="275">
        <f t="shared" si="12"/>
        <v>-0.57955314827352744</v>
      </c>
      <c r="U67" s="274">
        <v>-16367</v>
      </c>
      <c r="V67" s="275">
        <f t="shared" si="13"/>
        <v>-3.4868904466189604E-3</v>
      </c>
      <c r="W67" s="276">
        <v>-1636</v>
      </c>
      <c r="X67" s="275">
        <f t="shared" si="14"/>
        <v>-2.8789633479457737E-4</v>
      </c>
      <c r="Y67" s="275">
        <f t="shared" si="15"/>
        <v>-0.90004276898637503</v>
      </c>
      <c r="AA67" s="263"/>
      <c r="AB67" s="263"/>
      <c r="AC67" s="263"/>
      <c r="AD67" s="263"/>
      <c r="AE67" s="263"/>
      <c r="AF67" s="263"/>
    </row>
    <row r="68" spans="1:32" ht="15.75" thickBot="1" x14ac:dyDescent="0.3">
      <c r="A68" s="268" t="s">
        <v>198</v>
      </c>
      <c r="B68" s="269">
        <f>SUM(B62:B67)</f>
        <v>195643</v>
      </c>
      <c r="C68" s="270">
        <f t="shared" si="6"/>
        <v>0.12774474948008999</v>
      </c>
      <c r="D68" s="271">
        <f>SUM(D62:D67)</f>
        <v>198781</v>
      </c>
      <c r="E68" s="270">
        <f t="shared" si="16"/>
        <v>0.11515392012605577</v>
      </c>
      <c r="F68" s="270">
        <f t="shared" si="7"/>
        <v>1.6039418737189677E-2</v>
      </c>
      <c r="G68" s="269">
        <f>SUM(G62:G67)</f>
        <v>357206</v>
      </c>
      <c r="H68" s="270">
        <f t="shared" si="17"/>
        <v>0.11646957055338746</v>
      </c>
      <c r="I68" s="271">
        <f>SUM(I62:I67)</f>
        <v>372208</v>
      </c>
      <c r="J68" s="270">
        <f t="shared" si="8"/>
        <v>0.10387006753362728</v>
      </c>
      <c r="K68" s="270">
        <f t="shared" si="9"/>
        <v>4.1998174722709024E-2</v>
      </c>
      <c r="L68" s="269">
        <f>SUM(L62:L67)</f>
        <v>195643</v>
      </c>
      <c r="M68" s="271">
        <f>SUM(M62:M67)</f>
        <v>198781</v>
      </c>
      <c r="N68" s="269">
        <f>SUM(N62:N67)</f>
        <v>161563</v>
      </c>
      <c r="O68" s="271">
        <f>SUM(O62:O67)</f>
        <v>173427</v>
      </c>
      <c r="P68" s="269">
        <f>SUM(P62:P67)</f>
        <v>168582</v>
      </c>
      <c r="Q68" s="270">
        <f t="shared" si="10"/>
        <v>0.10362033781624173</v>
      </c>
      <c r="R68" s="271">
        <f>SUM(R62:R67)</f>
        <v>214464</v>
      </c>
      <c r="S68" s="270">
        <f t="shared" si="11"/>
        <v>0.10216458547799853</v>
      </c>
      <c r="T68" s="270">
        <f t="shared" si="12"/>
        <v>0.27216428800227782</v>
      </c>
      <c r="U68" s="269">
        <f>SUM(U62:U67)</f>
        <v>525788</v>
      </c>
      <c r="V68" s="270">
        <f t="shared" si="13"/>
        <v>0.11201595614021445</v>
      </c>
      <c r="W68" s="271">
        <f>SUM(W62:W67)</f>
        <v>586672</v>
      </c>
      <c r="X68" s="270">
        <f t="shared" si="14"/>
        <v>0.10324004799914686</v>
      </c>
      <c r="Y68" s="270">
        <f t="shared" si="15"/>
        <v>0.11579571994796382</v>
      </c>
      <c r="AA68" s="263"/>
      <c r="AB68" s="263"/>
      <c r="AC68" s="263"/>
      <c r="AD68" s="263"/>
      <c r="AE68" s="263"/>
      <c r="AF68" s="263"/>
    </row>
    <row r="69" spans="1:32" ht="15.75" thickBot="1" x14ac:dyDescent="0.3">
      <c r="A69" s="272" t="s">
        <v>51</v>
      </c>
      <c r="B69" s="274">
        <v>3334</v>
      </c>
      <c r="C69" s="275">
        <f t="shared" si="6"/>
        <v>2.1769293803847825E-3</v>
      </c>
      <c r="D69" s="276">
        <v>3035</v>
      </c>
      <c r="E69" s="275">
        <f t="shared" si="16"/>
        <v>1.7581768256653267E-3</v>
      </c>
      <c r="F69" s="275">
        <f t="shared" si="7"/>
        <v>-8.9682063587282548E-2</v>
      </c>
      <c r="G69" s="274">
        <v>6142</v>
      </c>
      <c r="H69" s="275">
        <f t="shared" si="17"/>
        <v>2.0026430192631303E-3</v>
      </c>
      <c r="I69" s="276">
        <v>4956</v>
      </c>
      <c r="J69" s="275">
        <f t="shared" si="8"/>
        <v>1.3830440363900207E-3</v>
      </c>
      <c r="K69" s="275">
        <f t="shared" si="9"/>
        <v>-0.19309671116900032</v>
      </c>
      <c r="L69" s="274">
        <v>3334</v>
      </c>
      <c r="M69" s="276">
        <v>3035</v>
      </c>
      <c r="N69" s="274">
        <v>2808</v>
      </c>
      <c r="O69" s="276">
        <v>1921</v>
      </c>
      <c r="P69" s="274">
        <v>1674</v>
      </c>
      <c r="Q69" s="275">
        <f t="shared" si="10"/>
        <v>1.0289381161950187E-3</v>
      </c>
      <c r="R69" s="276">
        <v>2291</v>
      </c>
      <c r="S69" s="275">
        <f t="shared" si="11"/>
        <v>1.0913676203469797E-3</v>
      </c>
      <c r="T69" s="275">
        <f t="shared" si="12"/>
        <v>0.36857825567502989</v>
      </c>
      <c r="U69" s="274">
        <v>7816</v>
      </c>
      <c r="V69" s="275">
        <f t="shared" si="13"/>
        <v>1.6651515690580922E-3</v>
      </c>
      <c r="W69" s="276">
        <v>7247</v>
      </c>
      <c r="X69" s="275">
        <f t="shared" si="14"/>
        <v>1.2752962947776907E-3</v>
      </c>
      <c r="Y69" s="275">
        <f t="shared" si="15"/>
        <v>-7.2799385875127937E-2</v>
      </c>
      <c r="AA69" s="263"/>
      <c r="AB69" s="263"/>
      <c r="AC69" s="263"/>
      <c r="AD69" s="263"/>
      <c r="AE69" s="263"/>
      <c r="AF69" s="263"/>
    </row>
    <row r="70" spans="1:32" ht="15.75" thickBot="1" x14ac:dyDescent="0.3">
      <c r="A70" s="272" t="s">
        <v>11</v>
      </c>
      <c r="B70" s="274">
        <v>-40751</v>
      </c>
      <c r="C70" s="275">
        <f t="shared" si="6"/>
        <v>-2.6608293095398999E-2</v>
      </c>
      <c r="D70" s="276">
        <v>-50910</v>
      </c>
      <c r="E70" s="275">
        <f t="shared" si="16"/>
        <v>-2.9492185237107667E-2</v>
      </c>
      <c r="F70" s="275">
        <f t="shared" si="7"/>
        <v>0.24929449584059288</v>
      </c>
      <c r="G70" s="274">
        <v>-78242</v>
      </c>
      <c r="H70" s="275">
        <f t="shared" si="17"/>
        <v>-2.5511363580785713E-2</v>
      </c>
      <c r="I70" s="276">
        <v>-110271</v>
      </c>
      <c r="J70" s="275">
        <f t="shared" si="8"/>
        <v>-3.0772729809677959E-2</v>
      </c>
      <c r="K70" s="275">
        <f t="shared" si="9"/>
        <v>0.40935814524168607</v>
      </c>
      <c r="L70" s="274">
        <v>-40751</v>
      </c>
      <c r="M70" s="276">
        <v>-50910</v>
      </c>
      <c r="N70" s="274">
        <v>-37491</v>
      </c>
      <c r="O70" s="276">
        <v>-59361</v>
      </c>
      <c r="P70" s="274">
        <v>-43700</v>
      </c>
      <c r="Q70" s="275">
        <f t="shared" si="10"/>
        <v>-2.6860570894696727E-2</v>
      </c>
      <c r="R70" s="276">
        <v>-60813</v>
      </c>
      <c r="S70" s="275">
        <f t="shared" si="11"/>
        <v>-2.8969593669210331E-2</v>
      </c>
      <c r="T70" s="275">
        <f t="shared" si="12"/>
        <v>0.39160183066361554</v>
      </c>
      <c r="U70" s="274">
        <v>-121942</v>
      </c>
      <c r="V70" s="275">
        <f t="shared" si="13"/>
        <v>-2.5979006222374857E-2</v>
      </c>
      <c r="W70" s="276">
        <v>-171084</v>
      </c>
      <c r="X70" s="275">
        <f t="shared" si="14"/>
        <v>-3.010663602811459E-2</v>
      </c>
      <c r="Y70" s="275">
        <f t="shared" si="15"/>
        <v>0.40299486641190074</v>
      </c>
      <c r="AA70" s="263"/>
      <c r="AB70" s="263"/>
      <c r="AC70" s="263"/>
      <c r="AD70" s="263"/>
      <c r="AE70" s="263"/>
      <c r="AF70" s="263"/>
    </row>
    <row r="71" spans="1:32" ht="15.75" thickBot="1" x14ac:dyDescent="0.3">
      <c r="A71" s="272" t="s">
        <v>199</v>
      </c>
      <c r="B71" s="274">
        <v>43363</v>
      </c>
      <c r="C71" s="275">
        <f t="shared" si="6"/>
        <v>2.8313793857716051E-2</v>
      </c>
      <c r="D71" s="276">
        <v>46468</v>
      </c>
      <c r="E71" s="275">
        <f t="shared" si="16"/>
        <v>2.6918932696875255E-2</v>
      </c>
      <c r="F71" s="275">
        <f t="shared" si="7"/>
        <v>7.1604824389456451E-2</v>
      </c>
      <c r="G71" s="274">
        <v>43363</v>
      </c>
      <c r="H71" s="275">
        <f t="shared" si="17"/>
        <v>1.4138816223430011E-2</v>
      </c>
      <c r="I71" s="276">
        <v>46962</v>
      </c>
      <c r="J71" s="275">
        <f t="shared" si="8"/>
        <v>1.3105430596640063E-2</v>
      </c>
      <c r="K71" s="275" t="s">
        <v>131</v>
      </c>
      <c r="L71" s="274">
        <v>43363</v>
      </c>
      <c r="M71" s="276">
        <v>46468</v>
      </c>
      <c r="N71" s="274">
        <v>0</v>
      </c>
      <c r="O71" s="276">
        <v>494</v>
      </c>
      <c r="P71" s="274">
        <v>3</v>
      </c>
      <c r="Q71" s="275">
        <f t="shared" si="10"/>
        <v>1.843975118629066E-6</v>
      </c>
      <c r="R71" s="276">
        <v>0</v>
      </c>
      <c r="S71" s="275">
        <f t="shared" si="11"/>
        <v>0</v>
      </c>
      <c r="T71" s="275" t="s">
        <v>131</v>
      </c>
      <c r="U71" s="274">
        <v>43366</v>
      </c>
      <c r="V71" s="275">
        <f t="shared" si="13"/>
        <v>9.2388642456209345E-3</v>
      </c>
      <c r="W71" s="276">
        <v>46962</v>
      </c>
      <c r="X71" s="275">
        <f t="shared" si="14"/>
        <v>8.2641733952462972E-3</v>
      </c>
      <c r="Y71" s="275" t="s">
        <v>131</v>
      </c>
      <c r="AA71" s="263"/>
      <c r="AB71" s="263"/>
      <c r="AC71" s="263"/>
      <c r="AD71" s="263"/>
      <c r="AE71" s="263"/>
      <c r="AF71" s="263"/>
    </row>
    <row r="72" spans="1:32" ht="15.75" thickBot="1" x14ac:dyDescent="0.3">
      <c r="A72" s="272" t="s">
        <v>200</v>
      </c>
      <c r="B72" s="274">
        <v>6535</v>
      </c>
      <c r="C72" s="275">
        <f t="shared" si="6"/>
        <v>4.2670166469149827E-3</v>
      </c>
      <c r="D72" s="276">
        <v>5949</v>
      </c>
      <c r="E72" s="275">
        <f t="shared" si="16"/>
        <v>3.4462582984787571E-3</v>
      </c>
      <c r="F72" s="275">
        <f t="shared" si="7"/>
        <v>-8.9671002295332827E-2</v>
      </c>
      <c r="G72" s="274">
        <v>-997</v>
      </c>
      <c r="H72" s="275">
        <f t="shared" si="17"/>
        <v>-3.2507897919331505E-4</v>
      </c>
      <c r="I72" s="276">
        <v>12914</v>
      </c>
      <c r="J72" s="275">
        <f t="shared" si="8"/>
        <v>3.6038399285594686E-3</v>
      </c>
      <c r="K72" s="275">
        <f t="shared" ref="K72:K81" si="18">(I72-G72)/G72</f>
        <v>-13.952858575727182</v>
      </c>
      <c r="L72" s="274">
        <v>6535</v>
      </c>
      <c r="M72" s="276">
        <v>5949</v>
      </c>
      <c r="N72" s="274">
        <v>-7532</v>
      </c>
      <c r="O72" s="276">
        <v>6965</v>
      </c>
      <c r="P72" s="274">
        <v>-2044</v>
      </c>
      <c r="Q72" s="275">
        <f t="shared" si="10"/>
        <v>-1.2563617141592702E-3</v>
      </c>
      <c r="R72" s="276">
        <v>1857</v>
      </c>
      <c r="S72" s="275">
        <f t="shared" si="11"/>
        <v>8.8462229200538683E-4</v>
      </c>
      <c r="T72" s="275">
        <f t="shared" ref="T72:T81" si="19">(R72-P72)/P72</f>
        <v>-1.9085127201565557</v>
      </c>
      <c r="U72" s="274">
        <v>-3041</v>
      </c>
      <c r="V72" s="275">
        <f t="shared" si="13"/>
        <v>-6.4786667368291434E-4</v>
      </c>
      <c r="W72" s="276">
        <v>14771</v>
      </c>
      <c r="X72" s="275">
        <f t="shared" si="14"/>
        <v>2.5993378736251234E-3</v>
      </c>
      <c r="Y72" s="275">
        <f t="shared" ref="Y72:Y81" si="20">(W72-U72)/U72</f>
        <v>-5.8572837882275568</v>
      </c>
      <c r="AA72" s="263"/>
      <c r="AB72" s="263"/>
      <c r="AC72" s="263"/>
      <c r="AD72" s="263"/>
      <c r="AE72" s="263"/>
      <c r="AF72" s="263"/>
    </row>
    <row r="73" spans="1:32" ht="15.75" thickBot="1" x14ac:dyDescent="0.3">
      <c r="A73" s="272" t="s">
        <v>201</v>
      </c>
      <c r="B73" s="274">
        <v>-6192</v>
      </c>
      <c r="C73" s="275">
        <f t="shared" si="6"/>
        <v>-4.0430554059215874E-3</v>
      </c>
      <c r="D73" s="276">
        <v>-4194</v>
      </c>
      <c r="E73" s="275">
        <f t="shared" si="16"/>
        <v>-2.4295860319078679E-3</v>
      </c>
      <c r="F73" s="275">
        <f t="shared" si="7"/>
        <v>-0.32267441860465118</v>
      </c>
      <c r="G73" s="274">
        <v>-8353</v>
      </c>
      <c r="H73" s="275">
        <f t="shared" si="17"/>
        <v>-2.72355537933978E-3</v>
      </c>
      <c r="I73" s="276">
        <v>-7366</v>
      </c>
      <c r="J73" s="275">
        <f t="shared" si="8"/>
        <v>-2.055589663448122E-3</v>
      </c>
      <c r="K73" s="275">
        <f t="shared" si="18"/>
        <v>-0.11816113971028373</v>
      </c>
      <c r="L73" s="274">
        <v>-6192</v>
      </c>
      <c r="M73" s="276">
        <v>-4194</v>
      </c>
      <c r="N73" s="274">
        <v>-2161</v>
      </c>
      <c r="O73" s="276">
        <v>-3172</v>
      </c>
      <c r="P73" s="274">
        <v>-3512</v>
      </c>
      <c r="Q73" s="275">
        <f t="shared" si="10"/>
        <v>-2.1586802055417599E-3</v>
      </c>
      <c r="R73" s="276">
        <v>-10010</v>
      </c>
      <c r="S73" s="275">
        <f t="shared" si="11"/>
        <v>-4.7684809601367378E-3</v>
      </c>
      <c r="T73" s="275">
        <f t="shared" si="19"/>
        <v>1.8502277904328017</v>
      </c>
      <c r="U73" s="274">
        <v>-11865</v>
      </c>
      <c r="V73" s="275">
        <f t="shared" si="13"/>
        <v>-2.5277665515448136E-3</v>
      </c>
      <c r="W73" s="276">
        <v>-17376</v>
      </c>
      <c r="X73" s="275">
        <f t="shared" si="14"/>
        <v>-3.0577547147864156E-3</v>
      </c>
      <c r="Y73" s="275">
        <f t="shared" si="20"/>
        <v>0.46447534766118836</v>
      </c>
      <c r="AA73" s="263"/>
      <c r="AB73" s="263"/>
      <c r="AC73" s="263"/>
      <c r="AD73" s="263"/>
      <c r="AE73" s="263"/>
      <c r="AF73" s="263"/>
    </row>
    <row r="74" spans="1:32" ht="15.75" thickBot="1" x14ac:dyDescent="0.3">
      <c r="A74" s="272" t="s">
        <v>202</v>
      </c>
      <c r="B74" s="273">
        <v>1468</v>
      </c>
      <c r="C74" s="275">
        <f t="shared" si="6"/>
        <v>9.5852799352275358E-4</v>
      </c>
      <c r="D74" s="281">
        <v>390</v>
      </c>
      <c r="E74" s="275">
        <f t="shared" si="16"/>
        <v>2.2592717034908643E-4</v>
      </c>
      <c r="F74" s="275">
        <f t="shared" si="7"/>
        <v>-0.73433242506811991</v>
      </c>
      <c r="G74" s="273">
        <v>2828</v>
      </c>
      <c r="H74" s="275">
        <f t="shared" si="17"/>
        <v>9.2208962202476922E-4</v>
      </c>
      <c r="I74" s="281">
        <v>1148</v>
      </c>
      <c r="J74" s="275">
        <f t="shared" si="8"/>
        <v>3.2036613272311211E-4</v>
      </c>
      <c r="K74" s="275">
        <f t="shared" si="18"/>
        <v>-0.59405940594059403</v>
      </c>
      <c r="L74" s="273">
        <v>1468</v>
      </c>
      <c r="M74" s="281">
        <v>390</v>
      </c>
      <c r="N74" s="273">
        <v>1360</v>
      </c>
      <c r="O74" s="281">
        <v>758</v>
      </c>
      <c r="P74" s="273">
        <v>888</v>
      </c>
      <c r="Q74" s="275">
        <f t="shared" si="10"/>
        <v>5.4581663511420349E-4</v>
      </c>
      <c r="R74" s="281">
        <v>703</v>
      </c>
      <c r="S74" s="275">
        <f t="shared" si="11"/>
        <v>3.3488932217543721E-4</v>
      </c>
      <c r="T74" s="275">
        <f t="shared" si="19"/>
        <v>-0.20833333333333334</v>
      </c>
      <c r="U74" s="273">
        <v>3716</v>
      </c>
      <c r="V74" s="275">
        <f t="shared" si="13"/>
        <v>7.9167134475689239E-4</v>
      </c>
      <c r="W74" s="281">
        <v>1851</v>
      </c>
      <c r="X74" s="275">
        <f t="shared" si="14"/>
        <v>3.2573112206892582E-4</v>
      </c>
      <c r="Y74" s="275">
        <f t="shared" si="20"/>
        <v>-0.50188374596340146</v>
      </c>
      <c r="AA74" s="263"/>
      <c r="AB74" s="263"/>
      <c r="AC74" s="263"/>
      <c r="AD74" s="263"/>
      <c r="AE74" s="263"/>
      <c r="AF74" s="263"/>
    </row>
    <row r="75" spans="1:32" ht="15.75" thickBot="1" x14ac:dyDescent="0.3">
      <c r="A75" s="272" t="s">
        <v>203</v>
      </c>
      <c r="B75" s="273">
        <v>3206</v>
      </c>
      <c r="C75" s="275">
        <f t="shared" si="6"/>
        <v>2.0933520076525532E-3</v>
      </c>
      <c r="D75" s="281">
        <v>0</v>
      </c>
      <c r="E75" s="275" t="s">
        <v>131</v>
      </c>
      <c r="F75" s="275" t="s">
        <v>131</v>
      </c>
      <c r="G75" s="273">
        <v>3763</v>
      </c>
      <c r="H75" s="275">
        <f t="shared" si="17"/>
        <v>1.2269530578780787E-3</v>
      </c>
      <c r="I75" s="281">
        <v>62</v>
      </c>
      <c r="J75" s="275">
        <f t="shared" si="8"/>
        <v>1.7302003683652397E-5</v>
      </c>
      <c r="K75" s="275">
        <f t="shared" si="18"/>
        <v>-0.98352378421472231</v>
      </c>
      <c r="L75" s="273">
        <v>3206</v>
      </c>
      <c r="M75" s="281">
        <v>0</v>
      </c>
      <c r="N75" s="273">
        <v>557</v>
      </c>
      <c r="O75" s="281">
        <v>62</v>
      </c>
      <c r="P75" s="273">
        <v>0</v>
      </c>
      <c r="Q75" s="275">
        <f t="shared" si="10"/>
        <v>0</v>
      </c>
      <c r="R75" s="281">
        <v>20</v>
      </c>
      <c r="S75" s="275">
        <f t="shared" si="11"/>
        <v>9.5274344857876874E-6</v>
      </c>
      <c r="T75" s="275" t="e">
        <f t="shared" si="19"/>
        <v>#DIV/0!</v>
      </c>
      <c r="U75" s="273">
        <v>3763</v>
      </c>
      <c r="V75" s="275">
        <f t="shared" si="13"/>
        <v>8.0168441074278418E-4</v>
      </c>
      <c r="W75" s="281">
        <v>82</v>
      </c>
      <c r="X75" s="275">
        <f t="shared" si="14"/>
        <v>1.443001189068175E-5</v>
      </c>
      <c r="Y75" s="275">
        <f t="shared" si="20"/>
        <v>-0.97820887589689076</v>
      </c>
      <c r="AA75" s="263"/>
      <c r="AB75" s="263"/>
      <c r="AC75" s="263"/>
      <c r="AD75" s="263"/>
      <c r="AE75" s="263"/>
      <c r="AF75" s="263"/>
    </row>
    <row r="76" spans="1:32" ht="15.75" thickBot="1" x14ac:dyDescent="0.3">
      <c r="A76" s="277" t="s">
        <v>204</v>
      </c>
      <c r="B76" s="278">
        <f>SUM(B68:B75)</f>
        <v>206606</v>
      </c>
      <c r="C76" s="279">
        <f t="shared" si="6"/>
        <v>0.1349030208649605</v>
      </c>
      <c r="D76" s="280">
        <f>SUM(D68:D75)</f>
        <v>199519</v>
      </c>
      <c r="E76" s="279">
        <f t="shared" si="16"/>
        <v>0.11558144384840865</v>
      </c>
      <c r="F76" s="279">
        <f t="shared" ref="F76:F81" si="21">(D76-B76)/B76</f>
        <v>-3.4302004782048923E-2</v>
      </c>
      <c r="G76" s="278">
        <f>SUM(G68:G75)</f>
        <v>325710</v>
      </c>
      <c r="H76" s="279">
        <f t="shared" si="17"/>
        <v>0.10620007453666463</v>
      </c>
      <c r="I76" s="280">
        <f>SUM(I68:I75)</f>
        <v>320613</v>
      </c>
      <c r="J76" s="279">
        <f t="shared" si="8"/>
        <v>8.9471730758497514E-2</v>
      </c>
      <c r="K76" s="279">
        <f t="shared" si="18"/>
        <v>-1.5648890116975223E-2</v>
      </c>
      <c r="L76" s="278">
        <f>SUM(L68:L75)</f>
        <v>206606</v>
      </c>
      <c r="M76" s="280">
        <f>SUM(M68:M75)</f>
        <v>199519</v>
      </c>
      <c r="N76" s="278">
        <f>SUM(N68:N75)</f>
        <v>119104</v>
      </c>
      <c r="O76" s="280">
        <f>SUM(O68:O75)</f>
        <v>121094</v>
      </c>
      <c r="P76" s="278">
        <f>SUM(P68:P75)</f>
        <v>121891</v>
      </c>
      <c r="Q76" s="279">
        <f t="shared" si="10"/>
        <v>7.492132372827183E-2</v>
      </c>
      <c r="R76" s="280">
        <f>SUM(R68:R75)</f>
        <v>148512</v>
      </c>
      <c r="S76" s="279">
        <f t="shared" si="11"/>
        <v>7.0746917517665056E-2</v>
      </c>
      <c r="T76" s="279">
        <f t="shared" si="19"/>
        <v>0.2184000459426865</v>
      </c>
      <c r="U76" s="278">
        <f>SUM(U68:U75)</f>
        <v>447601</v>
      </c>
      <c r="V76" s="279">
        <f t="shared" si="13"/>
        <v>9.5358688262790578E-2</v>
      </c>
      <c r="W76" s="280">
        <f>SUM(W68:W75)</f>
        <v>469125</v>
      </c>
      <c r="X76" s="279">
        <f t="shared" si="14"/>
        <v>8.2554625953854585E-2</v>
      </c>
      <c r="Y76" s="279">
        <f t="shared" si="20"/>
        <v>4.8087470760789182E-2</v>
      </c>
      <c r="AA76" s="263"/>
      <c r="AB76" s="263"/>
      <c r="AC76" s="263"/>
      <c r="AD76" s="263"/>
      <c r="AE76" s="263"/>
      <c r="AF76" s="263"/>
    </row>
    <row r="77" spans="1:32" ht="15.75" thickBot="1" x14ac:dyDescent="0.3">
      <c r="A77" s="272" t="s">
        <v>205</v>
      </c>
      <c r="B77" s="274">
        <v>-36515</v>
      </c>
      <c r="C77" s="275">
        <f t="shared" si="6"/>
        <v>-2.3842404416541792E-2</v>
      </c>
      <c r="D77" s="276">
        <v>-51436</v>
      </c>
      <c r="E77" s="275">
        <f t="shared" si="16"/>
        <v>-2.979689726686054E-2</v>
      </c>
      <c r="F77" s="275">
        <f t="shared" si="21"/>
        <v>0.40862659181158428</v>
      </c>
      <c r="G77" s="274">
        <v>-55182</v>
      </c>
      <c r="H77" s="275">
        <f t="shared" si="17"/>
        <v>-1.7992485686906229E-2</v>
      </c>
      <c r="I77" s="276">
        <v>-89862</v>
      </c>
      <c r="J77" s="275">
        <f t="shared" si="8"/>
        <v>-2.5077300887425349E-2</v>
      </c>
      <c r="K77" s="275">
        <f t="shared" si="18"/>
        <v>0.6284658040665434</v>
      </c>
      <c r="L77" s="274">
        <v>-36515</v>
      </c>
      <c r="M77" s="276">
        <v>-51436</v>
      </c>
      <c r="N77" s="274">
        <v>-18667</v>
      </c>
      <c r="O77" s="276">
        <v>-38426</v>
      </c>
      <c r="P77" s="274">
        <v>-33624</v>
      </c>
      <c r="Q77" s="275">
        <f t="shared" si="10"/>
        <v>-2.0667273129594571E-2</v>
      </c>
      <c r="R77" s="276">
        <v>-47784</v>
      </c>
      <c r="S77" s="275">
        <f t="shared" si="11"/>
        <v>-2.2762946473443943E-2</v>
      </c>
      <c r="T77" s="275">
        <f t="shared" si="19"/>
        <v>0.42112776588151318</v>
      </c>
      <c r="U77" s="274">
        <v>-88806</v>
      </c>
      <c r="V77" s="275">
        <f t="shared" si="13"/>
        <v>-1.891958165836399E-2</v>
      </c>
      <c r="W77" s="276">
        <v>-137646</v>
      </c>
      <c r="X77" s="275">
        <f t="shared" si="14"/>
        <v>-2.4222358740302197E-2</v>
      </c>
      <c r="Y77" s="275">
        <f t="shared" si="20"/>
        <v>0.54996284034862508</v>
      </c>
      <c r="AA77" s="263"/>
      <c r="AB77" s="263"/>
      <c r="AC77" s="263"/>
      <c r="AD77" s="263"/>
      <c r="AE77" s="263"/>
      <c r="AF77" s="263"/>
    </row>
    <row r="78" spans="1:32" ht="15.75" thickBot="1" x14ac:dyDescent="0.3">
      <c r="A78" s="282" t="s">
        <v>206</v>
      </c>
      <c r="B78" s="283">
        <v>-10883</v>
      </c>
      <c r="C78" s="284">
        <f t="shared" si="6"/>
        <v>-7.1060355269128937E-3</v>
      </c>
      <c r="D78" s="285">
        <v>3407</v>
      </c>
      <c r="E78" s="284">
        <f t="shared" si="16"/>
        <v>1.9736765881521474E-3</v>
      </c>
      <c r="F78" s="284">
        <f t="shared" si="21"/>
        <v>-1.3130570614720205</v>
      </c>
      <c r="G78" s="283">
        <v>-9635</v>
      </c>
      <c r="H78" s="284">
        <f t="shared" si="17"/>
        <v>-3.1415606464669913E-3</v>
      </c>
      <c r="I78" s="285">
        <v>4815</v>
      </c>
      <c r="J78" s="284">
        <f t="shared" si="8"/>
        <v>1.3436959312384887E-3</v>
      </c>
      <c r="K78" s="284">
        <f t="shared" si="18"/>
        <v>-1.4997405293201869</v>
      </c>
      <c r="L78" s="283">
        <v>-10883</v>
      </c>
      <c r="M78" s="285">
        <v>3407</v>
      </c>
      <c r="N78" s="283">
        <v>1248</v>
      </c>
      <c r="O78" s="285">
        <v>1408</v>
      </c>
      <c r="P78" s="283">
        <v>-12266</v>
      </c>
      <c r="Q78" s="284">
        <f t="shared" si="10"/>
        <v>-7.5393996017013741E-3</v>
      </c>
      <c r="R78" s="285">
        <v>-3491</v>
      </c>
      <c r="S78" s="284">
        <f t="shared" si="11"/>
        <v>-1.6630136894942409E-3</v>
      </c>
      <c r="T78" s="284">
        <f t="shared" si="19"/>
        <v>-0.71539214087722158</v>
      </c>
      <c r="U78" s="283">
        <v>-21901</v>
      </c>
      <c r="V78" s="284">
        <f t="shared" si="13"/>
        <v>-4.6658757054684336E-3</v>
      </c>
      <c r="W78" s="285">
        <v>1324</v>
      </c>
      <c r="X78" s="284">
        <f t="shared" si="14"/>
        <v>2.3299189930808093E-4</v>
      </c>
      <c r="Y78" s="284">
        <f t="shared" si="20"/>
        <v>-1.0604538605543126</v>
      </c>
      <c r="AA78" s="263"/>
      <c r="AB78" s="263"/>
      <c r="AC78" s="263"/>
      <c r="AD78" s="263"/>
      <c r="AE78" s="263"/>
      <c r="AF78" s="263"/>
    </row>
    <row r="79" spans="1:32" ht="15.75" thickBot="1" x14ac:dyDescent="0.3">
      <c r="A79" s="277" t="s">
        <v>207</v>
      </c>
      <c r="B79" s="278">
        <f>SUM(B76:B78)</f>
        <v>159208</v>
      </c>
      <c r="C79" s="279">
        <f t="shared" si="6"/>
        <v>0.10395458092150583</v>
      </c>
      <c r="D79" s="280">
        <f>SUM(D76:D78)</f>
        <v>151490</v>
      </c>
      <c r="E79" s="279">
        <f t="shared" si="16"/>
        <v>8.7758223169700264E-2</v>
      </c>
      <c r="F79" s="279">
        <f t="shared" si="21"/>
        <v>-4.847746344404804E-2</v>
      </c>
      <c r="G79" s="278">
        <f>SUM(G76:G78)</f>
        <v>260893</v>
      </c>
      <c r="H79" s="279">
        <f t="shared" si="17"/>
        <v>8.5066028203291413E-2</v>
      </c>
      <c r="I79" s="280">
        <f>SUM(I76:I78)</f>
        <v>235566</v>
      </c>
      <c r="J79" s="279">
        <f t="shared" si="8"/>
        <v>6.5738125802310657E-2</v>
      </c>
      <c r="K79" s="279">
        <f t="shared" si="18"/>
        <v>-9.7078112482895287E-2</v>
      </c>
      <c r="L79" s="278">
        <f>SUM(L76:L78)</f>
        <v>159208</v>
      </c>
      <c r="M79" s="280">
        <f>SUM(M76:M78)</f>
        <v>151490</v>
      </c>
      <c r="N79" s="278">
        <f>SUM(N76:N78)</f>
        <v>101685</v>
      </c>
      <c r="O79" s="280">
        <f>SUM(O76:O78)</f>
        <v>84076</v>
      </c>
      <c r="P79" s="278">
        <f>SUM(P76:P78)</f>
        <v>76001</v>
      </c>
      <c r="Q79" s="279">
        <f t="shared" si="10"/>
        <v>4.671465099697588E-2</v>
      </c>
      <c r="R79" s="280">
        <f>SUM(R76:R78)</f>
        <v>97237</v>
      </c>
      <c r="S79" s="279">
        <f t="shared" si="11"/>
        <v>4.6320957354726869E-2</v>
      </c>
      <c r="T79" s="279">
        <f t="shared" si="19"/>
        <v>0.27941737608715672</v>
      </c>
      <c r="U79" s="278">
        <f>SUM(U76:U78)</f>
        <v>336894</v>
      </c>
      <c r="V79" s="279">
        <f t="shared" si="13"/>
        <v>7.1773230898958151E-2</v>
      </c>
      <c r="W79" s="280">
        <f>SUM(W76:W78)</f>
        <v>332803</v>
      </c>
      <c r="X79" s="279">
        <f t="shared" si="14"/>
        <v>5.8565259112860465E-2</v>
      </c>
      <c r="Y79" s="279">
        <f t="shared" si="20"/>
        <v>-1.2143285425089197E-2</v>
      </c>
      <c r="AA79" s="263"/>
      <c r="AB79" s="263"/>
      <c r="AC79" s="263"/>
      <c r="AD79" s="263"/>
      <c r="AE79" s="263"/>
      <c r="AF79" s="263"/>
    </row>
    <row r="80" spans="1:32" ht="15.75" thickBot="1" x14ac:dyDescent="0.3">
      <c r="A80" s="272" t="s">
        <v>208</v>
      </c>
      <c r="B80" s="273">
        <v>254</v>
      </c>
      <c r="C80" s="275">
        <f t="shared" si="6"/>
        <v>1.658488490155173E-4</v>
      </c>
      <c r="D80" s="281">
        <v>-304</v>
      </c>
      <c r="E80" s="275">
        <f t="shared" si="16"/>
        <v>-1.7610733278492893E-4</v>
      </c>
      <c r="F80" s="275">
        <f t="shared" si="21"/>
        <v>-2.1968503937007875</v>
      </c>
      <c r="G80" s="273">
        <v>-8278</v>
      </c>
      <c r="H80" s="275">
        <f t="shared" si="17"/>
        <v>-2.699101093041386E-3</v>
      </c>
      <c r="I80" s="281">
        <v>-4314</v>
      </c>
      <c r="J80" s="275">
        <f t="shared" si="8"/>
        <v>-1.2038845788915555E-3</v>
      </c>
      <c r="K80" s="275">
        <f t="shared" si="18"/>
        <v>-0.47885962792945158</v>
      </c>
      <c r="L80" s="273">
        <v>254</v>
      </c>
      <c r="M80" s="281">
        <v>-304</v>
      </c>
      <c r="N80" s="273">
        <v>-8532</v>
      </c>
      <c r="O80" s="281">
        <v>-4010</v>
      </c>
      <c r="P80" s="273">
        <v>-2404</v>
      </c>
      <c r="Q80" s="275">
        <f t="shared" si="10"/>
        <v>-1.4776387283947582E-3</v>
      </c>
      <c r="R80" s="281">
        <v>-446</v>
      </c>
      <c r="S80" s="275">
        <f t="shared" si="11"/>
        <v>-2.1246178903306544E-4</v>
      </c>
      <c r="T80" s="275">
        <f t="shared" si="19"/>
        <v>-0.81447587354409323</v>
      </c>
      <c r="U80" s="273">
        <v>-10682</v>
      </c>
      <c r="V80" s="275">
        <f t="shared" si="13"/>
        <v>-2.2757355502403456E-3</v>
      </c>
      <c r="W80" s="281">
        <v>-4760</v>
      </c>
      <c r="X80" s="275">
        <f t="shared" si="14"/>
        <v>-8.3764459267859914E-4</v>
      </c>
      <c r="Y80" s="275">
        <f t="shared" si="20"/>
        <v>-0.55439056356487548</v>
      </c>
      <c r="AA80" s="263"/>
      <c r="AB80" s="263"/>
      <c r="AC80" s="263"/>
      <c r="AD80" s="263"/>
      <c r="AE80" s="263"/>
      <c r="AF80" s="263"/>
    </row>
    <row r="81" spans="1:52" x14ac:dyDescent="0.25">
      <c r="A81" s="286" t="s">
        <v>209</v>
      </c>
      <c r="B81" s="287">
        <f>SUM(B79:B80)</f>
        <v>159462</v>
      </c>
      <c r="C81" s="288">
        <f t="shared" si="6"/>
        <v>0.10412042977052134</v>
      </c>
      <c r="D81" s="287">
        <f>SUM(D79:D80)</f>
        <v>151186</v>
      </c>
      <c r="E81" s="288">
        <f t="shared" si="16"/>
        <v>8.7582115836915345E-2</v>
      </c>
      <c r="F81" s="288">
        <f t="shared" si="21"/>
        <v>-5.1899512109468089E-2</v>
      </c>
      <c r="G81" s="287">
        <f>SUM(G79:G80)</f>
        <v>252615</v>
      </c>
      <c r="H81" s="288">
        <f t="shared" si="17"/>
        <v>8.2366927110250024E-2</v>
      </c>
      <c r="I81" s="287">
        <f>SUM(I79:I80)</f>
        <v>231252</v>
      </c>
      <c r="J81" s="288">
        <f t="shared" si="8"/>
        <v>6.4534241223419095E-2</v>
      </c>
      <c r="K81" s="288">
        <f t="shared" si="18"/>
        <v>-8.4567424737248376E-2</v>
      </c>
      <c r="L81" s="287">
        <f>SUM(L79:L80)</f>
        <v>159462</v>
      </c>
      <c r="M81" s="287">
        <f>SUM(M79:M80)</f>
        <v>151186</v>
      </c>
      <c r="N81" s="287">
        <f>SUM(N79:N80)</f>
        <v>93153</v>
      </c>
      <c r="O81" s="287">
        <f>SUM(O79:O80)</f>
        <v>80066</v>
      </c>
      <c r="P81" s="287">
        <f>SUM(P79:P80)</f>
        <v>73597</v>
      </c>
      <c r="Q81" s="288">
        <f t="shared" si="10"/>
        <v>4.5237012268581123E-2</v>
      </c>
      <c r="R81" s="287">
        <f>SUM(R79:R80)</f>
        <v>96791</v>
      </c>
      <c r="S81" s="288">
        <f t="shared" si="11"/>
        <v>4.6108495565693804E-2</v>
      </c>
      <c r="T81" s="288">
        <f t="shared" si="19"/>
        <v>0.31514871530089544</v>
      </c>
      <c r="U81" s="287">
        <f>SUM(U79:U80)</f>
        <v>326212</v>
      </c>
      <c r="V81" s="288">
        <f t="shared" si="13"/>
        <v>6.9497495348717811E-2</v>
      </c>
      <c r="W81" s="287">
        <f>SUM(W79:W80)</f>
        <v>328043</v>
      </c>
      <c r="X81" s="288">
        <f t="shared" si="14"/>
        <v>5.7727614520181866E-2</v>
      </c>
      <c r="Y81" s="288">
        <f t="shared" si="20"/>
        <v>5.6129143011293273E-3</v>
      </c>
      <c r="AA81" s="263"/>
      <c r="AB81" s="263"/>
      <c r="AC81" s="263"/>
      <c r="AD81" s="263"/>
      <c r="AE81" s="263"/>
      <c r="AF81" s="263"/>
    </row>
    <row r="82" spans="1:52" x14ac:dyDescent="0.25">
      <c r="A82" s="289"/>
      <c r="B82" s="291"/>
      <c r="C82" s="292"/>
      <c r="D82" s="294"/>
      <c r="E82" s="292"/>
      <c r="F82" s="292"/>
      <c r="G82" s="291"/>
      <c r="H82" s="292"/>
      <c r="I82" s="294"/>
      <c r="J82" s="292"/>
      <c r="K82" s="292"/>
      <c r="L82" s="291"/>
      <c r="M82" s="294"/>
      <c r="N82" s="291"/>
      <c r="O82" s="294"/>
      <c r="P82" s="291"/>
      <c r="Q82" s="292"/>
      <c r="R82" s="294"/>
      <c r="S82" s="292"/>
      <c r="T82" s="292"/>
      <c r="U82" s="291"/>
      <c r="V82" s="292"/>
      <c r="W82" s="294"/>
      <c r="X82" s="292"/>
      <c r="Y82" s="292"/>
      <c r="AA82" s="263"/>
      <c r="AB82" s="263"/>
      <c r="AC82" s="263"/>
      <c r="AD82" s="263"/>
      <c r="AE82" s="263"/>
      <c r="AF82" s="263"/>
    </row>
    <row r="83" spans="1:52" x14ac:dyDescent="0.25">
      <c r="A83" s="295" t="s">
        <v>210</v>
      </c>
      <c r="B83" s="297"/>
      <c r="C83" s="298"/>
      <c r="D83" s="300"/>
      <c r="E83" s="298"/>
      <c r="F83" s="298"/>
      <c r="G83" s="297"/>
      <c r="H83" s="298"/>
      <c r="I83" s="300"/>
      <c r="J83" s="298"/>
      <c r="K83" s="298"/>
      <c r="L83" s="297"/>
      <c r="M83" s="300"/>
      <c r="N83" s="297"/>
      <c r="O83" s="300"/>
      <c r="P83" s="297"/>
      <c r="Q83" s="298"/>
      <c r="R83" s="300"/>
      <c r="S83" s="298"/>
      <c r="T83" s="298"/>
      <c r="U83" s="297"/>
      <c r="V83" s="298"/>
      <c r="W83" s="300"/>
      <c r="X83" s="298"/>
      <c r="Y83" s="298"/>
      <c r="AA83" s="263"/>
      <c r="AB83" s="263"/>
      <c r="AC83" s="263"/>
      <c r="AD83" s="263"/>
      <c r="AE83" s="263"/>
      <c r="AF83" s="263"/>
    </row>
    <row r="84" spans="1:52" ht="15.75" thickBot="1" x14ac:dyDescent="0.3">
      <c r="A84" s="301" t="s">
        <v>211</v>
      </c>
      <c r="B84" s="274">
        <f>+B81-B85</f>
        <v>158694</v>
      </c>
      <c r="C84" s="275">
        <f>+B84/$B$60</f>
        <v>0.10361896553412797</v>
      </c>
      <c r="D84" s="302">
        <f>+D81-D85</f>
        <v>150991</v>
      </c>
      <c r="E84" s="275">
        <f t="shared" si="16"/>
        <v>8.7469152251740803E-2</v>
      </c>
      <c r="F84" s="275">
        <f>(D84-B84)/B84</f>
        <v>-4.853995740229624E-2</v>
      </c>
      <c r="G84" s="274">
        <f>+G81-G85</f>
        <v>251227</v>
      </c>
      <c r="H84" s="275">
        <f t="shared" si="17"/>
        <v>8.191435978515442E-2</v>
      </c>
      <c r="I84" s="302">
        <f>+I81-I85</f>
        <v>230284</v>
      </c>
      <c r="J84" s="275">
        <f>+I84/$I$60</f>
        <v>6.4264106714293681E-2</v>
      </c>
      <c r="K84" s="275">
        <f>(I84-G84)/G84</f>
        <v>-8.336285510713419E-2</v>
      </c>
      <c r="L84" s="274">
        <f>+L81-L85</f>
        <v>158694</v>
      </c>
      <c r="M84" s="302">
        <f>+M81-M85</f>
        <v>150991</v>
      </c>
      <c r="N84" s="274">
        <f>+N81-N85</f>
        <v>92533</v>
      </c>
      <c r="O84" s="302">
        <f>+O81-O85</f>
        <v>79293</v>
      </c>
      <c r="P84" s="274">
        <f>+P81-P85</f>
        <v>73285</v>
      </c>
      <c r="Q84" s="275">
        <f>+P84/$P$60</f>
        <v>4.5045238856243702E-2</v>
      </c>
      <c r="R84" s="302">
        <v>95871</v>
      </c>
      <c r="S84" s="275">
        <f>+R84/$R$60</f>
        <v>4.5670233579347567E-2</v>
      </c>
      <c r="T84" s="275">
        <f>(R84-P84)/P84</f>
        <v>0.3081940369789179</v>
      </c>
      <c r="U84" s="274">
        <f>+U81-U85</f>
        <v>324512</v>
      </c>
      <c r="V84" s="275">
        <f>U84/$U$60</f>
        <v>6.9135320621568533E-2</v>
      </c>
      <c r="W84" s="302">
        <f>+W81-W85</f>
        <v>326155</v>
      </c>
      <c r="X84" s="275">
        <f>+W84/$W$60</f>
        <v>5.739537229518666E-2</v>
      </c>
      <c r="Y84" s="275">
        <f>(W84-U84)/U84</f>
        <v>5.0629868849225912E-3</v>
      </c>
      <c r="AA84" s="263"/>
      <c r="AB84" s="263"/>
      <c r="AC84" s="263"/>
      <c r="AD84" s="263"/>
      <c r="AE84" s="263"/>
      <c r="AF84" s="263"/>
    </row>
    <row r="85" spans="1:52" ht="15.75" thickBot="1" x14ac:dyDescent="0.3">
      <c r="A85" s="303" t="s">
        <v>188</v>
      </c>
      <c r="B85" s="304">
        <v>768</v>
      </c>
      <c r="C85" s="284">
        <f>+B85/$B$60</f>
        <v>5.0146423639337522E-4</v>
      </c>
      <c r="D85" s="305">
        <v>195</v>
      </c>
      <c r="E85" s="284">
        <f t="shared" si="16"/>
        <v>1.1296358517454322E-4</v>
      </c>
      <c r="F85" s="284">
        <f>(D85-B85)/B85</f>
        <v>-0.74609375</v>
      </c>
      <c r="G85" s="304">
        <v>1388</v>
      </c>
      <c r="H85" s="284">
        <f t="shared" si="17"/>
        <v>4.5256732509560811E-4</v>
      </c>
      <c r="I85" s="305">
        <v>968</v>
      </c>
      <c r="J85" s="284">
        <f>+I85/$I$60</f>
        <v>2.7013450912541164E-4</v>
      </c>
      <c r="K85" s="284">
        <f>(I85-G85)/G85</f>
        <v>-0.30259365994236309</v>
      </c>
      <c r="L85" s="304">
        <v>768</v>
      </c>
      <c r="M85" s="305">
        <v>195</v>
      </c>
      <c r="N85" s="304">
        <v>620</v>
      </c>
      <c r="O85" s="305">
        <v>773</v>
      </c>
      <c r="P85" s="304">
        <v>312</v>
      </c>
      <c r="Q85" s="284">
        <f>+P85/$P$60</f>
        <v>1.9177341233742287E-4</v>
      </c>
      <c r="R85" s="305">
        <v>920</v>
      </c>
      <c r="S85" s="284">
        <f>+R85/$R$60</f>
        <v>4.3826198634623365E-4</v>
      </c>
      <c r="T85" s="284">
        <f>(R85-P85)/P85</f>
        <v>1.9487179487179487</v>
      </c>
      <c r="U85" s="304">
        <v>1700</v>
      </c>
      <c r="V85" s="284">
        <f>U85/$U$60</f>
        <v>3.6217472714927796E-4</v>
      </c>
      <c r="W85" s="305">
        <v>1888</v>
      </c>
      <c r="X85" s="284">
        <f>+W85/$W$60</f>
        <v>3.3224222499520905E-4</v>
      </c>
      <c r="Y85" s="284">
        <f>(W85-U85)/U85</f>
        <v>0.11058823529411765</v>
      </c>
      <c r="AA85" s="263"/>
      <c r="AB85" s="263"/>
      <c r="AC85" s="263"/>
      <c r="AD85" s="263"/>
      <c r="AE85" s="263"/>
      <c r="AF85" s="263"/>
    </row>
    <row r="86" spans="1:52" ht="15.75" thickBot="1" x14ac:dyDescent="0.3">
      <c r="A86" s="306" t="s">
        <v>212</v>
      </c>
      <c r="B86" s="278">
        <f>SUM(B84:B85)</f>
        <v>159462</v>
      </c>
      <c r="C86" s="279">
        <f>+B86/$B$60</f>
        <v>0.10412042977052134</v>
      </c>
      <c r="D86" s="307">
        <f>SUM(D84:D85)</f>
        <v>151186</v>
      </c>
      <c r="E86" s="279">
        <f t="shared" si="16"/>
        <v>8.7582115836915345E-2</v>
      </c>
      <c r="F86" s="279">
        <f>(D86-B86)/B86</f>
        <v>-5.1899512109468089E-2</v>
      </c>
      <c r="G86" s="278">
        <f>SUM(G84:G85)</f>
        <v>252615</v>
      </c>
      <c r="H86" s="279">
        <f t="shared" si="17"/>
        <v>8.2366927110250024E-2</v>
      </c>
      <c r="I86" s="307">
        <f>SUM(I84:I85)</f>
        <v>231252</v>
      </c>
      <c r="J86" s="279">
        <f>+I86/$I$60</f>
        <v>6.4534241223419095E-2</v>
      </c>
      <c r="K86" s="279">
        <f>(I86-G86)/G86</f>
        <v>-8.4567424737248376E-2</v>
      </c>
      <c r="L86" s="278">
        <f>SUM(L84:L85)</f>
        <v>159462</v>
      </c>
      <c r="M86" s="307">
        <f>SUM(M84:M85)</f>
        <v>151186</v>
      </c>
      <c r="N86" s="278">
        <f>SUM(N84:N85)</f>
        <v>93153</v>
      </c>
      <c r="O86" s="307">
        <f>SUM(O84:O85)</f>
        <v>80066</v>
      </c>
      <c r="P86" s="278">
        <v>73597</v>
      </c>
      <c r="Q86" s="279">
        <f>+P86/$P$60</f>
        <v>4.5237012268581123E-2</v>
      </c>
      <c r="R86" s="307">
        <f>SUM(R84:R85)</f>
        <v>96791</v>
      </c>
      <c r="S86" s="279">
        <f>+R86/$R$60</f>
        <v>4.6108495565693804E-2</v>
      </c>
      <c r="T86" s="279">
        <f>(R86-P86)/P86</f>
        <v>0.31514871530089544</v>
      </c>
      <c r="U86" s="278">
        <f>SUM(U84:U85)</f>
        <v>326212</v>
      </c>
      <c r="V86" s="279">
        <f>U86/$U$60</f>
        <v>6.9497495348717811E-2</v>
      </c>
      <c r="W86" s="307">
        <f>SUM(W84:W85)</f>
        <v>328043</v>
      </c>
      <c r="X86" s="279">
        <f>+W86/$W$60</f>
        <v>5.7727614520181866E-2</v>
      </c>
      <c r="Y86" s="279">
        <f>(W86-U86)/U86</f>
        <v>5.6129143011293273E-3</v>
      </c>
      <c r="AA86" s="263"/>
      <c r="AB86" s="263"/>
      <c r="AC86" s="263"/>
      <c r="AD86" s="263"/>
      <c r="AE86" s="263"/>
      <c r="AF86" s="263"/>
    </row>
    <row r="87" spans="1:52" x14ac:dyDescent="0.25">
      <c r="A87" s="286" t="s">
        <v>213</v>
      </c>
      <c r="B87" s="287">
        <v>236970</v>
      </c>
      <c r="C87" s="288">
        <f>+B87/$B$60</f>
        <v>0.15472914075278402</v>
      </c>
      <c r="D87" s="287">
        <v>234916</v>
      </c>
      <c r="E87" s="288">
        <f t="shared" si="16"/>
        <v>0.13608694140955382</v>
      </c>
      <c r="F87" s="288">
        <f>(D87-B87)/B87</f>
        <v>-8.6677638519643829E-3</v>
      </c>
      <c r="G87" s="287">
        <v>437041</v>
      </c>
      <c r="H87" s="288">
        <f t="shared" si="17"/>
        <v>0.14250034317515106</v>
      </c>
      <c r="I87" s="287">
        <v>458883</v>
      </c>
      <c r="J87" s="288">
        <f>+I87/$I$60</f>
        <v>0.1280579896187978</v>
      </c>
      <c r="K87" s="288">
        <f>(I87-G87)/G87</f>
        <v>4.9977004445807147E-2</v>
      </c>
      <c r="L87" s="287">
        <v>236970</v>
      </c>
      <c r="M87" s="287">
        <v>234916</v>
      </c>
      <c r="N87" s="287">
        <v>200071</v>
      </c>
      <c r="O87" s="287">
        <v>223967</v>
      </c>
      <c r="P87" s="287">
        <v>208023</v>
      </c>
      <c r="Q87" s="288">
        <f>+P87/$P$60</f>
        <v>0.12786307870085806</v>
      </c>
      <c r="R87" s="287">
        <v>270787</v>
      </c>
      <c r="S87" s="288">
        <f>+R87/$R$60</f>
        <v>0.12899527010514952</v>
      </c>
      <c r="T87" s="288">
        <f>(R87-P87)/P87</f>
        <v>0.30171663710262808</v>
      </c>
      <c r="U87" s="287">
        <v>645064</v>
      </c>
      <c r="V87" s="288">
        <f>U87/$U$60</f>
        <v>0.13742698717283638</v>
      </c>
      <c r="W87" s="287">
        <v>729670</v>
      </c>
      <c r="X87" s="288">
        <f>+W87/$W$60</f>
        <v>0.12840422897894821</v>
      </c>
      <c r="Y87" s="288">
        <f>(W87-U87)/U87</f>
        <v>0.1311590787890814</v>
      </c>
      <c r="AA87" s="263"/>
      <c r="AB87" s="263"/>
      <c r="AC87" s="263"/>
      <c r="AD87" s="263"/>
      <c r="AE87" s="263"/>
      <c r="AF87" s="263"/>
    </row>
    <row r="88" spans="1:52" x14ac:dyDescent="0.25">
      <c r="AZ88" s="263"/>
    </row>
  </sheetData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44"/>
  <sheetViews>
    <sheetView workbookViewId="0">
      <selection activeCell="L25" sqref="L25"/>
    </sheetView>
  </sheetViews>
  <sheetFormatPr baseColWidth="10" defaultColWidth="11.42578125" defaultRowHeight="15" x14ac:dyDescent="0.3"/>
  <cols>
    <col min="1" max="1" width="43.7109375" style="5" customWidth="1"/>
    <col min="2" max="3" width="11.7109375" style="2" bestFit="1" customWidth="1"/>
    <col min="4" max="4" width="13.28515625" style="3" bestFit="1" customWidth="1"/>
    <col min="5" max="5" width="10.5703125" style="4" customWidth="1"/>
    <col min="6" max="7" width="11.42578125" style="5"/>
    <col min="8" max="8" width="11.5703125" style="11" bestFit="1" customWidth="1"/>
    <col min="9" max="9" width="11.5703125" style="5" bestFit="1" customWidth="1"/>
    <col min="10" max="16384" width="11.42578125" style="5"/>
  </cols>
  <sheetData>
    <row r="1" spans="1:4" x14ac:dyDescent="0.3">
      <c r="A1" s="24" t="s">
        <v>69</v>
      </c>
    </row>
    <row r="2" spans="1:4" x14ac:dyDescent="0.3">
      <c r="A2" s="24" t="s">
        <v>61</v>
      </c>
    </row>
    <row r="3" spans="1:4" x14ac:dyDescent="0.3">
      <c r="A3" s="24" t="s">
        <v>44</v>
      </c>
    </row>
    <row r="4" spans="1:4" x14ac:dyDescent="0.3">
      <c r="A4" s="24" t="s">
        <v>45</v>
      </c>
    </row>
    <row r="5" spans="1:4" ht="12" customHeight="1" x14ac:dyDescent="0.3"/>
    <row r="6" spans="1:4" x14ac:dyDescent="0.3">
      <c r="A6" s="7" t="s">
        <v>20</v>
      </c>
      <c r="B6" s="6">
        <v>2006</v>
      </c>
      <c r="C6" s="6">
        <v>2007</v>
      </c>
      <c r="D6" s="7" t="s">
        <v>46</v>
      </c>
    </row>
    <row r="7" spans="1:4" x14ac:dyDescent="0.3">
      <c r="A7" s="18" t="s">
        <v>21</v>
      </c>
      <c r="B7" s="14">
        <v>3712</v>
      </c>
      <c r="C7" s="14">
        <v>3823</v>
      </c>
      <c r="D7" s="17">
        <f t="shared" ref="D7:D12" si="0">IF(B7&lt;&gt;0,(C7-B7)/B7,0)</f>
        <v>2.9903017241379309E-2</v>
      </c>
    </row>
    <row r="8" spans="1:4" x14ac:dyDescent="0.3">
      <c r="A8" s="18" t="s">
        <v>22</v>
      </c>
      <c r="B8" s="14">
        <v>2529066</v>
      </c>
      <c r="C8" s="14">
        <v>2725536</v>
      </c>
      <c r="D8" s="17">
        <f t="shared" si="0"/>
        <v>7.7684805378744559E-2</v>
      </c>
    </row>
    <row r="9" spans="1:4" x14ac:dyDescent="0.3">
      <c r="A9" s="18" t="s">
        <v>23</v>
      </c>
      <c r="B9" s="14">
        <v>19152</v>
      </c>
      <c r="C9" s="14">
        <v>12573</v>
      </c>
      <c r="D9" s="17">
        <f t="shared" si="0"/>
        <v>-0.34351503759398494</v>
      </c>
    </row>
    <row r="10" spans="1:4" x14ac:dyDescent="0.3">
      <c r="A10" s="18" t="s">
        <v>59</v>
      </c>
      <c r="B10" s="14">
        <v>8543</v>
      </c>
      <c r="C10" s="14">
        <v>569</v>
      </c>
      <c r="D10" s="17">
        <f t="shared" si="0"/>
        <v>-0.93339576261266533</v>
      </c>
    </row>
    <row r="11" spans="1:4" x14ac:dyDescent="0.3">
      <c r="A11" s="18" t="s">
        <v>26</v>
      </c>
      <c r="B11" s="14">
        <v>1024192</v>
      </c>
      <c r="C11" s="14">
        <v>1219700</v>
      </c>
      <c r="D11" s="17">
        <f t="shared" si="0"/>
        <v>0.19088998937699181</v>
      </c>
    </row>
    <row r="12" spans="1:4" ht="15.75" thickBot="1" x14ac:dyDescent="0.35">
      <c r="A12" s="26" t="s">
        <v>27</v>
      </c>
      <c r="B12" s="27">
        <f>SUM(B7:B11)</f>
        <v>3584665</v>
      </c>
      <c r="C12" s="27">
        <f>SUM(C7:C11)</f>
        <v>3962201</v>
      </c>
      <c r="D12" s="46">
        <f t="shared" si="0"/>
        <v>0.10531974396491722</v>
      </c>
    </row>
    <row r="14" spans="1:4" x14ac:dyDescent="0.3">
      <c r="A14" s="7" t="s">
        <v>48</v>
      </c>
      <c r="B14" s="6">
        <v>2006</v>
      </c>
      <c r="C14" s="6">
        <v>2007</v>
      </c>
      <c r="D14" s="7" t="s">
        <v>46</v>
      </c>
    </row>
    <row r="15" spans="1:4" x14ac:dyDescent="0.3">
      <c r="A15" s="18" t="s">
        <v>28</v>
      </c>
      <c r="B15" s="14"/>
      <c r="C15" s="14">
        <v>7000</v>
      </c>
      <c r="D15" s="52" t="str">
        <f>IF(B15&lt;&gt;0,(C15-B15)/B15,"N.A.")</f>
        <v>N.A.</v>
      </c>
    </row>
    <row r="16" spans="1:4" x14ac:dyDescent="0.3">
      <c r="A16" s="18" t="s">
        <v>29</v>
      </c>
      <c r="B16" s="14">
        <v>83368</v>
      </c>
      <c r="C16" s="14">
        <v>87943</v>
      </c>
      <c r="D16" s="17">
        <f t="shared" ref="D16:D21" si="1">IF(B16&lt;&gt;0,(C16-B16)/B16,0)</f>
        <v>5.4877171096823718E-2</v>
      </c>
    </row>
    <row r="17" spans="1:9" x14ac:dyDescent="0.3">
      <c r="A17" s="18" t="s">
        <v>30</v>
      </c>
      <c r="B17" s="14">
        <v>609</v>
      </c>
      <c r="C17" s="14">
        <v>174</v>
      </c>
      <c r="D17" s="17">
        <f t="shared" si="1"/>
        <v>-0.7142857142857143</v>
      </c>
    </row>
    <row r="18" spans="1:9" x14ac:dyDescent="0.3">
      <c r="A18" s="18" t="s">
        <v>31</v>
      </c>
      <c r="B18" s="14">
        <v>13</v>
      </c>
      <c r="C18" s="14">
        <v>176</v>
      </c>
      <c r="D18" s="17">
        <f t="shared" si="1"/>
        <v>12.538461538461538</v>
      </c>
    </row>
    <row r="19" spans="1:9" x14ac:dyDescent="0.3">
      <c r="A19" s="18" t="s">
        <v>32</v>
      </c>
      <c r="B19" s="14">
        <v>589</v>
      </c>
      <c r="C19" s="14">
        <v>947</v>
      </c>
      <c r="D19" s="17">
        <f t="shared" si="1"/>
        <v>0.60780984719864173</v>
      </c>
    </row>
    <row r="20" spans="1:9" x14ac:dyDescent="0.3">
      <c r="A20" s="18" t="s">
        <v>24</v>
      </c>
      <c r="B20" s="14">
        <v>5019</v>
      </c>
      <c r="C20" s="14">
        <v>5414</v>
      </c>
      <c r="D20" s="17">
        <f t="shared" si="1"/>
        <v>7.8700936441522221E-2</v>
      </c>
    </row>
    <row r="21" spans="1:9" s="9" customFormat="1" x14ac:dyDescent="0.3">
      <c r="A21" s="29" t="s">
        <v>33</v>
      </c>
      <c r="B21" s="30">
        <f>SUM(B15:B20)</f>
        <v>89598</v>
      </c>
      <c r="C21" s="30">
        <f>SUM(C15:C20)</f>
        <v>101654</v>
      </c>
      <c r="D21" s="42">
        <f t="shared" si="1"/>
        <v>0.13455657492354739</v>
      </c>
      <c r="E21" s="8"/>
      <c r="H21" s="12"/>
    </row>
    <row r="22" spans="1:9" s="9" customFormat="1" x14ac:dyDescent="0.3">
      <c r="A22" s="31" t="s">
        <v>34</v>
      </c>
      <c r="B22" s="32">
        <v>3495067</v>
      </c>
      <c r="C22" s="32">
        <v>3860547</v>
      </c>
      <c r="D22" s="47">
        <f>IF(B22&lt;&gt;0,(C22-B22)/B22,0)</f>
        <v>0.10457024142884815</v>
      </c>
      <c r="E22" s="8"/>
      <c r="H22" s="12"/>
      <c r="I22" s="12"/>
    </row>
    <row r="23" spans="1:9" s="9" customFormat="1" ht="15.75" thickBot="1" x14ac:dyDescent="0.35">
      <c r="A23" s="26" t="s">
        <v>35</v>
      </c>
      <c r="B23" s="27">
        <f>+B21+B22</f>
        <v>3584665</v>
      </c>
      <c r="C23" s="27">
        <f>+C21+C22</f>
        <v>3962201</v>
      </c>
      <c r="D23" s="45">
        <f>IF(B23&lt;&gt;0,(C23-B23)/B23,0)</f>
        <v>0.10531974396491722</v>
      </c>
      <c r="E23" s="8"/>
      <c r="H23" s="12"/>
      <c r="I23" s="12"/>
    </row>
    <row r="24" spans="1:9" x14ac:dyDescent="0.3">
      <c r="A24" s="18" t="s">
        <v>54</v>
      </c>
      <c r="B24" s="14">
        <v>435123458</v>
      </c>
      <c r="C24" s="14">
        <v>435123458</v>
      </c>
      <c r="D24" s="17"/>
      <c r="I24" s="11"/>
    </row>
    <row r="25" spans="1:9" x14ac:dyDescent="0.3">
      <c r="A25" s="18" t="s">
        <v>71</v>
      </c>
      <c r="B25" s="33">
        <f>+B22/+(B24/1000000)</f>
        <v>8032.3571063364725</v>
      </c>
      <c r="C25" s="33">
        <f>+C22/+(C24/1000000)</f>
        <v>8872.3026281888015</v>
      </c>
      <c r="D25" s="17"/>
      <c r="I25" s="11"/>
    </row>
    <row r="26" spans="1:9" x14ac:dyDescent="0.3">
      <c r="H26" s="13"/>
      <c r="I26" s="13"/>
    </row>
    <row r="27" spans="1:9" x14ac:dyDescent="0.3">
      <c r="A27" s="7" t="s">
        <v>70</v>
      </c>
      <c r="B27" s="6">
        <v>2006</v>
      </c>
      <c r="C27" s="6">
        <v>2007</v>
      </c>
      <c r="D27" s="7" t="s">
        <v>46</v>
      </c>
      <c r="E27" s="5"/>
      <c r="I27" s="13"/>
    </row>
    <row r="28" spans="1:9" x14ac:dyDescent="0.3">
      <c r="A28" s="19" t="s">
        <v>62</v>
      </c>
      <c r="B28" s="14"/>
      <c r="C28" s="17"/>
      <c r="D28" s="34"/>
      <c r="E28" s="5"/>
    </row>
    <row r="29" spans="1:9" x14ac:dyDescent="0.3">
      <c r="A29" s="19" t="s">
        <v>44</v>
      </c>
      <c r="B29" s="14"/>
      <c r="C29" s="17"/>
      <c r="D29" s="34"/>
      <c r="E29" s="5"/>
    </row>
    <row r="30" spans="1:9" x14ac:dyDescent="0.3">
      <c r="A30" s="19" t="s">
        <v>45</v>
      </c>
      <c r="B30" s="14"/>
      <c r="C30" s="17"/>
      <c r="D30" s="34"/>
      <c r="E30" s="5"/>
    </row>
    <row r="31" spans="1:9" s="9" customFormat="1" x14ac:dyDescent="0.3">
      <c r="A31" s="19" t="s">
        <v>72</v>
      </c>
      <c r="B31" s="30">
        <v>117120</v>
      </c>
      <c r="C31" s="30">
        <v>114689</v>
      </c>
      <c r="D31" s="25">
        <f>IF(C31&lt;&gt;0,(C31-B31)/B31,0)</f>
        <v>-2.0756489071038251E-2</v>
      </c>
      <c r="H31" s="12"/>
    </row>
    <row r="32" spans="1:9" s="9" customFormat="1" x14ac:dyDescent="0.3">
      <c r="A32" s="19" t="s">
        <v>5</v>
      </c>
      <c r="B32" s="14">
        <v>53203</v>
      </c>
      <c r="C32" s="14">
        <v>2701</v>
      </c>
      <c r="D32" s="25">
        <f t="shared" ref="D32:D42" si="2">IF(C32&lt;&gt;0,(C32-B32)/B32,0)</f>
        <v>-0.94923218615491611</v>
      </c>
      <c r="H32" s="12"/>
    </row>
    <row r="33" spans="1:8" s="9" customFormat="1" x14ac:dyDescent="0.3">
      <c r="A33" s="19" t="s">
        <v>57</v>
      </c>
      <c r="B33" s="14">
        <v>14175</v>
      </c>
      <c r="C33" s="14">
        <v>8944</v>
      </c>
      <c r="D33" s="25">
        <f t="shared" si="2"/>
        <v>-0.36902998236331569</v>
      </c>
      <c r="H33" s="12"/>
    </row>
    <row r="34" spans="1:8" s="9" customFormat="1" x14ac:dyDescent="0.3">
      <c r="A34" s="19" t="s">
        <v>56</v>
      </c>
      <c r="B34" s="14">
        <v>5229</v>
      </c>
      <c r="C34" s="14">
        <v>3141</v>
      </c>
      <c r="D34" s="25">
        <f t="shared" si="2"/>
        <v>-0.3993115318416523</v>
      </c>
      <c r="H34" s="12"/>
    </row>
    <row r="35" spans="1:8" s="9" customFormat="1" x14ac:dyDescent="0.3">
      <c r="A35" s="35" t="s">
        <v>4</v>
      </c>
      <c r="B35" s="30">
        <f>SUM(B31:B34)</f>
        <v>189727</v>
      </c>
      <c r="C35" s="30">
        <f>SUM(C31:C34)</f>
        <v>129475</v>
      </c>
      <c r="D35" s="25">
        <f t="shared" si="2"/>
        <v>-0.31757209042466278</v>
      </c>
      <c r="H35" s="12"/>
    </row>
    <row r="36" spans="1:8" x14ac:dyDescent="0.3">
      <c r="A36" s="19" t="s">
        <v>58</v>
      </c>
      <c r="B36" s="14">
        <v>-4336</v>
      </c>
      <c r="C36" s="14">
        <v>-4655</v>
      </c>
      <c r="D36" s="25">
        <f t="shared" si="2"/>
        <v>7.3570110701107014E-2</v>
      </c>
      <c r="E36" s="5"/>
    </row>
    <row r="37" spans="1:8" s="9" customFormat="1" x14ac:dyDescent="0.3">
      <c r="A37" s="35" t="s">
        <v>42</v>
      </c>
      <c r="B37" s="30">
        <f>SUM(B35:B36)</f>
        <v>185391</v>
      </c>
      <c r="C37" s="30">
        <f>SUM(C35:C36)</f>
        <v>124820</v>
      </c>
      <c r="D37" s="25">
        <f t="shared" si="2"/>
        <v>-0.32672028307738782</v>
      </c>
      <c r="H37" s="12"/>
    </row>
    <row r="38" spans="1:8" x14ac:dyDescent="0.3">
      <c r="A38" s="19" t="s">
        <v>10</v>
      </c>
      <c r="B38" s="14">
        <f>3589+4234</f>
        <v>7823</v>
      </c>
      <c r="C38" s="14">
        <v>102</v>
      </c>
      <c r="D38" s="25">
        <f t="shared" si="2"/>
        <v>-0.98696152371213086</v>
      </c>
      <c r="E38" s="5"/>
    </row>
    <row r="39" spans="1:8" s="9" customFormat="1" x14ac:dyDescent="0.3">
      <c r="A39" s="19" t="s">
        <v>13</v>
      </c>
      <c r="B39" s="14">
        <v>-15953</v>
      </c>
      <c r="C39" s="14">
        <v>-923</v>
      </c>
      <c r="D39" s="25">
        <f t="shared" si="2"/>
        <v>-0.94214254372218387</v>
      </c>
      <c r="H39" s="12"/>
    </row>
    <row r="40" spans="1:8" s="9" customFormat="1" x14ac:dyDescent="0.3">
      <c r="A40" s="35" t="s">
        <v>43</v>
      </c>
      <c r="B40" s="30">
        <f>SUM(B37:B39)</f>
        <v>177261</v>
      </c>
      <c r="C40" s="30">
        <f>SUM(C37:C39)</f>
        <v>123999</v>
      </c>
      <c r="D40" s="25">
        <f t="shared" si="2"/>
        <v>-0.30047218508301321</v>
      </c>
      <c r="H40" s="12"/>
    </row>
    <row r="41" spans="1:8" x14ac:dyDescent="0.3">
      <c r="A41" s="19" t="s">
        <v>15</v>
      </c>
      <c r="B41" s="14">
        <v>-163</v>
      </c>
      <c r="C41" s="14">
        <v>-162</v>
      </c>
      <c r="D41" s="25">
        <f t="shared" si="2"/>
        <v>-6.1349693251533744E-3</v>
      </c>
      <c r="E41" s="5"/>
    </row>
    <row r="42" spans="1:8" ht="15.75" thickBot="1" x14ac:dyDescent="0.35">
      <c r="A42" s="36" t="s">
        <v>17</v>
      </c>
      <c r="B42" s="37">
        <f>SUM(B40:B41)</f>
        <v>177098</v>
      </c>
      <c r="C42" s="37">
        <f>SUM(C40:C41)</f>
        <v>123837</v>
      </c>
      <c r="D42" s="28">
        <f t="shared" si="2"/>
        <v>-0.30074309139572442</v>
      </c>
      <c r="E42" s="5"/>
    </row>
    <row r="44" spans="1:8" x14ac:dyDescent="0.3">
      <c r="A44" s="19" t="s">
        <v>53</v>
      </c>
      <c r="B44" s="14"/>
      <c r="C44" s="14"/>
      <c r="D44" s="17"/>
    </row>
  </sheetData>
  <phoneticPr fontId="0" type="noConversion"/>
  <pageMargins left="0.7" right="0.7" top="0.75" bottom="0.75" header="0.3" footer="0.3"/>
  <customProperties>
    <customPr name="_pios_id" r:id="rId1"/>
  </customProperties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88"/>
  <sheetViews>
    <sheetView topLeftCell="T43" zoomScaleNormal="100" workbookViewId="0">
      <selection activeCell="AD60" sqref="AD60"/>
    </sheetView>
  </sheetViews>
  <sheetFormatPr baseColWidth="10" defaultColWidth="11.42578125" defaultRowHeight="15" x14ac:dyDescent="0.25"/>
  <cols>
    <col min="1" max="1" width="56.28515625" style="229" bestFit="1" customWidth="1"/>
    <col min="2" max="13" width="11.42578125" style="229" customWidth="1"/>
    <col min="14" max="16" width="11.42578125" style="229"/>
    <col min="17" max="17" width="11.42578125" style="229" customWidth="1"/>
    <col min="18" max="16384" width="11.42578125" style="229"/>
  </cols>
  <sheetData>
    <row r="1" spans="1:13" ht="18.75" x14ac:dyDescent="0.3">
      <c r="A1" s="228" t="s">
        <v>157</v>
      </c>
      <c r="B1" s="362"/>
      <c r="C1" s="362"/>
      <c r="D1" s="362"/>
      <c r="E1" s="362"/>
    </row>
    <row r="2" spans="1:13" x14ac:dyDescent="0.25">
      <c r="A2" s="230" t="s">
        <v>218</v>
      </c>
      <c r="B2" s="362"/>
      <c r="C2" s="362"/>
      <c r="D2" s="362"/>
      <c r="E2" s="362"/>
    </row>
    <row r="3" spans="1:13" x14ac:dyDescent="0.25">
      <c r="A3" s="230" t="s">
        <v>88</v>
      </c>
      <c r="B3" s="362"/>
      <c r="C3" s="362"/>
      <c r="D3" s="362"/>
      <c r="E3" s="362"/>
    </row>
    <row r="4" spans="1:13" x14ac:dyDescent="0.25">
      <c r="A4" s="231" t="s">
        <v>159</v>
      </c>
      <c r="B4" s="362"/>
      <c r="C4" s="362"/>
      <c r="D4" s="362"/>
      <c r="E4" s="362"/>
    </row>
    <row r="5" spans="1:13" ht="15.75" thickBot="1" x14ac:dyDescent="0.3">
      <c r="B5" s="363"/>
      <c r="C5" s="363"/>
      <c r="D5" s="363"/>
      <c r="E5" s="363"/>
    </row>
    <row r="6" spans="1:13" s="355" customFormat="1" ht="24" customHeight="1" thickBot="1" x14ac:dyDescent="0.3">
      <c r="A6" s="354"/>
      <c r="B6" s="354" t="s">
        <v>139</v>
      </c>
      <c r="C6" s="334" t="s">
        <v>225</v>
      </c>
      <c r="D6" s="233" t="s">
        <v>140</v>
      </c>
      <c r="E6" s="354" t="s">
        <v>139</v>
      </c>
      <c r="F6" s="334" t="s">
        <v>227</v>
      </c>
      <c r="G6" s="233" t="s">
        <v>140</v>
      </c>
      <c r="H6" s="354" t="s">
        <v>139</v>
      </c>
      <c r="I6" s="334" t="s">
        <v>228</v>
      </c>
      <c r="J6" s="233" t="s">
        <v>140</v>
      </c>
      <c r="K6" s="354" t="s">
        <v>139</v>
      </c>
      <c r="L6" s="334" t="s">
        <v>229</v>
      </c>
      <c r="M6" s="233" t="s">
        <v>140</v>
      </c>
    </row>
    <row r="7" spans="1:13" ht="15.75" thickTop="1" x14ac:dyDescent="0.25">
      <c r="A7" s="234" t="s">
        <v>20</v>
      </c>
      <c r="B7" s="235"/>
      <c r="C7" s="236"/>
      <c r="D7" s="235"/>
      <c r="E7" s="235"/>
      <c r="F7" s="236"/>
      <c r="G7" s="235"/>
      <c r="H7" s="235"/>
      <c r="I7" s="236"/>
      <c r="J7" s="235"/>
      <c r="K7" s="235"/>
      <c r="L7" s="236"/>
      <c r="M7" s="235"/>
    </row>
    <row r="8" spans="1:13" x14ac:dyDescent="0.25">
      <c r="A8" s="237" t="s">
        <v>160</v>
      </c>
      <c r="B8" s="238"/>
      <c r="C8" s="239"/>
      <c r="D8" s="238"/>
      <c r="E8" s="238"/>
      <c r="F8" s="239"/>
      <c r="G8" s="238"/>
      <c r="H8" s="238"/>
      <c r="I8" s="239"/>
      <c r="J8" s="238"/>
      <c r="K8" s="238"/>
      <c r="L8" s="239"/>
      <c r="M8" s="238"/>
    </row>
    <row r="9" spans="1:13" ht="15.75" thickBot="1" x14ac:dyDescent="0.3">
      <c r="A9" s="240" t="s">
        <v>161</v>
      </c>
      <c r="B9" s="242">
        <v>391863</v>
      </c>
      <c r="C9" s="243">
        <v>246779</v>
      </c>
      <c r="D9" s="244">
        <f>(C9-B9)/B9</f>
        <v>-0.37024164057336367</v>
      </c>
      <c r="E9" s="242">
        <v>391863</v>
      </c>
      <c r="F9" s="243">
        <v>205415</v>
      </c>
      <c r="G9" s="244">
        <f>(F9-E9)/E9</f>
        <v>-0.47579893993564076</v>
      </c>
      <c r="H9" s="242">
        <v>391863</v>
      </c>
      <c r="I9" s="243">
        <v>198448</v>
      </c>
      <c r="J9" s="244">
        <f>(I9-H9)/H9</f>
        <v>-0.49357811275879582</v>
      </c>
      <c r="K9" s="242">
        <v>391863</v>
      </c>
      <c r="L9" s="243">
        <v>286064</v>
      </c>
      <c r="M9" s="244">
        <f>(L9-K9)/K9</f>
        <v>-0.26998976683177539</v>
      </c>
    </row>
    <row r="10" spans="1:13" ht="15.75" thickBot="1" x14ac:dyDescent="0.3">
      <c r="A10" s="240" t="s">
        <v>162</v>
      </c>
      <c r="B10" s="242">
        <v>739808</v>
      </c>
      <c r="C10" s="243">
        <v>817267</v>
      </c>
      <c r="D10" s="244">
        <f>(C10-B10)/B10</f>
        <v>0.10470149011635452</v>
      </c>
      <c r="E10" s="242">
        <v>739808</v>
      </c>
      <c r="F10" s="243">
        <v>777437</v>
      </c>
      <c r="G10" s="244">
        <f>(F10-E10)/E10</f>
        <v>5.0863196937583809E-2</v>
      </c>
      <c r="H10" s="242">
        <v>739808</v>
      </c>
      <c r="I10" s="243">
        <v>858278</v>
      </c>
      <c r="J10" s="244">
        <f>(I10-H10)/H10</f>
        <v>0.16013614343180935</v>
      </c>
      <c r="K10" s="242">
        <v>739808</v>
      </c>
      <c r="L10" s="243">
        <v>878280</v>
      </c>
      <c r="M10" s="244">
        <f>(L10-K10)/K10</f>
        <v>0.18717288810069641</v>
      </c>
    </row>
    <row r="11" spans="1:13" ht="15.75" thickBot="1" x14ac:dyDescent="0.3">
      <c r="A11" s="240" t="s">
        <v>36</v>
      </c>
      <c r="B11" s="242">
        <v>841852</v>
      </c>
      <c r="C11" s="243">
        <v>947650</v>
      </c>
      <c r="D11" s="244">
        <f>(C11-B11)/B11</f>
        <v>0.12567292113103015</v>
      </c>
      <c r="E11" s="242">
        <v>841852</v>
      </c>
      <c r="F11" s="243">
        <v>1029688</v>
      </c>
      <c r="G11" s="244">
        <f>(F11-E11)/E11</f>
        <v>0.22312235404797992</v>
      </c>
      <c r="H11" s="242">
        <v>841852</v>
      </c>
      <c r="I11" s="243">
        <v>1141072</v>
      </c>
      <c r="J11" s="244">
        <f>(I11-H11)/H11</f>
        <v>0.35543064576671435</v>
      </c>
      <c r="K11" s="242">
        <v>841852</v>
      </c>
      <c r="L11" s="243">
        <v>1032969</v>
      </c>
      <c r="M11" s="244">
        <f>(L11-K11)/K11</f>
        <v>0.22701971367888893</v>
      </c>
    </row>
    <row r="12" spans="1:13" ht="15.75" thickBot="1" x14ac:dyDescent="0.3">
      <c r="A12" s="240" t="s">
        <v>163</v>
      </c>
      <c r="B12" s="242">
        <v>47770</v>
      </c>
      <c r="C12" s="243">
        <v>50525</v>
      </c>
      <c r="D12" s="244">
        <f>(C12-B12)/B12</f>
        <v>5.7672179191961485E-2</v>
      </c>
      <c r="E12" s="242">
        <v>47770</v>
      </c>
      <c r="F12" s="243">
        <v>52924</v>
      </c>
      <c r="G12" s="244">
        <f>(F12-E12)/E12</f>
        <v>0.10789198241574209</v>
      </c>
      <c r="H12" s="242">
        <v>47770</v>
      </c>
      <c r="I12" s="243">
        <v>60685</v>
      </c>
      <c r="J12" s="244">
        <f>(I12-H12)/H12</f>
        <v>0.27035796525015698</v>
      </c>
      <c r="K12" s="242">
        <v>47770</v>
      </c>
      <c r="L12" s="243">
        <v>53119</v>
      </c>
      <c r="M12" s="244">
        <f>(L12-K12)/K12</f>
        <v>0.11197404228595352</v>
      </c>
    </row>
    <row r="13" spans="1:13" ht="15.75" thickBot="1" x14ac:dyDescent="0.3">
      <c r="A13" s="240" t="s">
        <v>164</v>
      </c>
      <c r="B13" s="242">
        <v>139352</v>
      </c>
      <c r="C13" s="243">
        <v>191719</v>
      </c>
      <c r="D13" s="244">
        <f>(C13-B13)/B13</f>
        <v>0.37578936793156897</v>
      </c>
      <c r="E13" s="242">
        <v>139352</v>
      </c>
      <c r="F13" s="243">
        <v>237173</v>
      </c>
      <c r="G13" s="244">
        <f>(F13-E13)/E13</f>
        <v>0.70197054940008041</v>
      </c>
      <c r="H13" s="242">
        <v>139352</v>
      </c>
      <c r="I13" s="243">
        <v>297669</v>
      </c>
      <c r="J13" s="244">
        <f>(I13-H13)/H13</f>
        <v>1.1360942074745968</v>
      </c>
      <c r="K13" s="242">
        <v>139352</v>
      </c>
      <c r="L13" s="243">
        <v>220762</v>
      </c>
      <c r="M13" s="244">
        <f>(L13-K13)/K13</f>
        <v>0.58420403008209432</v>
      </c>
    </row>
    <row r="14" spans="1:13" ht="15.75" thickBot="1" x14ac:dyDescent="0.3">
      <c r="A14" s="245" t="s">
        <v>165</v>
      </c>
      <c r="B14" s="247">
        <v>0</v>
      </c>
      <c r="C14" s="248">
        <v>90</v>
      </c>
      <c r="D14" s="244" t="s">
        <v>131</v>
      </c>
      <c r="E14" s="247">
        <v>0</v>
      </c>
      <c r="F14" s="248">
        <v>90</v>
      </c>
      <c r="G14" s="244" t="s">
        <v>131</v>
      </c>
      <c r="H14" s="247">
        <v>0</v>
      </c>
      <c r="I14" s="248">
        <v>90</v>
      </c>
      <c r="J14" s="244" t="s">
        <v>131</v>
      </c>
      <c r="K14" s="247">
        <v>0</v>
      </c>
      <c r="L14" s="248">
        <v>71679</v>
      </c>
      <c r="M14" s="244" t="s">
        <v>131</v>
      </c>
    </row>
    <row r="15" spans="1:13" ht="15.75" thickBot="1" x14ac:dyDescent="0.3">
      <c r="A15" s="249" t="s">
        <v>166</v>
      </c>
      <c r="B15" s="250">
        <f>SUM(B9:B14)</f>
        <v>2160645</v>
      </c>
      <c r="C15" s="251">
        <f>SUM(C9:C14)</f>
        <v>2254030</v>
      </c>
      <c r="D15" s="244">
        <f>(C15-B15)/B15</f>
        <v>4.3220890058292778E-2</v>
      </c>
      <c r="E15" s="250">
        <f>SUM(E9:E14)</f>
        <v>2160645</v>
      </c>
      <c r="F15" s="251">
        <f>SUM(F9:F14)</f>
        <v>2302727</v>
      </c>
      <c r="G15" s="244">
        <f>(F15-E15)/E15</f>
        <v>6.5759067315546982E-2</v>
      </c>
      <c r="H15" s="250">
        <f>SUM(H9:H14)</f>
        <v>2160645</v>
      </c>
      <c r="I15" s="251">
        <f>SUM(I9:I14)</f>
        <v>2556242</v>
      </c>
      <c r="J15" s="244">
        <f>(I15-H15)/H15</f>
        <v>0.18309208592804463</v>
      </c>
      <c r="K15" s="250">
        <f>SUM(K9:K14)</f>
        <v>2160645</v>
      </c>
      <c r="L15" s="251">
        <f>SUM(L9:L14)</f>
        <v>2542873</v>
      </c>
      <c r="M15" s="244">
        <f>(L15-K15)/K15</f>
        <v>0.17690458173369525</v>
      </c>
    </row>
    <row r="16" spans="1:13" x14ac:dyDescent="0.25">
      <c r="A16" s="237" t="s">
        <v>167</v>
      </c>
      <c r="B16" s="238"/>
      <c r="C16" s="239"/>
      <c r="D16" s="238"/>
      <c r="E16" s="238"/>
      <c r="F16" s="239"/>
      <c r="G16" s="238"/>
      <c r="H16" s="238"/>
      <c r="I16" s="239"/>
      <c r="J16" s="238"/>
      <c r="K16" s="238"/>
      <c r="L16" s="239"/>
      <c r="M16" s="238"/>
    </row>
    <row r="17" spans="1:13" ht="15.75" thickBot="1" x14ac:dyDescent="0.3">
      <c r="A17" s="240" t="s">
        <v>162</v>
      </c>
      <c r="B17" s="242">
        <v>23124</v>
      </c>
      <c r="C17" s="243">
        <v>22127</v>
      </c>
      <c r="D17" s="244">
        <f t="shared" ref="D17:D28" si="0">(C17-B17)/B17</f>
        <v>-4.3115377962290258E-2</v>
      </c>
      <c r="E17" s="242">
        <v>23124</v>
      </c>
      <c r="F17" s="243">
        <v>25955</v>
      </c>
      <c r="G17" s="244">
        <f t="shared" ref="G17:G28" si="1">(F17-E17)/E17</f>
        <v>0.12242691575851929</v>
      </c>
      <c r="H17" s="242">
        <v>23124</v>
      </c>
      <c r="I17" s="243">
        <v>29491</v>
      </c>
      <c r="J17" s="244">
        <f t="shared" ref="J17:J28" si="2">(I17-H17)/H17</f>
        <v>0.27534163639508735</v>
      </c>
      <c r="K17" s="242">
        <v>23124</v>
      </c>
      <c r="L17" s="243">
        <v>26729</v>
      </c>
      <c r="M17" s="244">
        <f t="shared" ref="M17:M28" si="3">(L17-K17)/K17</f>
        <v>0.15589863345441965</v>
      </c>
    </row>
    <row r="18" spans="1:13" ht="15.75" thickBot="1" x14ac:dyDescent="0.3">
      <c r="A18" s="240" t="s">
        <v>168</v>
      </c>
      <c r="B18" s="242">
        <v>4185</v>
      </c>
      <c r="C18" s="243">
        <v>0</v>
      </c>
      <c r="D18" s="244">
        <f t="shared" si="0"/>
        <v>-1</v>
      </c>
      <c r="E18" s="242">
        <v>4185</v>
      </c>
      <c r="F18" s="243">
        <v>0</v>
      </c>
      <c r="G18" s="244">
        <f t="shared" si="1"/>
        <v>-1</v>
      </c>
      <c r="H18" s="242">
        <v>4185</v>
      </c>
      <c r="I18" s="243">
        <v>0</v>
      </c>
      <c r="J18" s="244">
        <f t="shared" si="2"/>
        <v>-1</v>
      </c>
      <c r="K18" s="242">
        <v>4185</v>
      </c>
      <c r="L18" s="243">
        <v>5699</v>
      </c>
      <c r="M18" s="244">
        <f t="shared" si="3"/>
        <v>0.36176821983273594</v>
      </c>
    </row>
    <row r="19" spans="1:13" ht="15.75" thickBot="1" x14ac:dyDescent="0.3">
      <c r="A19" s="240" t="s">
        <v>169</v>
      </c>
      <c r="B19" s="242">
        <v>83323</v>
      </c>
      <c r="C19" s="243">
        <v>88211</v>
      </c>
      <c r="D19" s="244">
        <f t="shared" si="0"/>
        <v>5.8663274246006508E-2</v>
      </c>
      <c r="E19" s="242">
        <v>83323</v>
      </c>
      <c r="F19" s="243">
        <v>99303</v>
      </c>
      <c r="G19" s="244">
        <f t="shared" si="1"/>
        <v>0.19178378118886741</v>
      </c>
      <c r="H19" s="242">
        <v>83323</v>
      </c>
      <c r="I19" s="243">
        <v>101811</v>
      </c>
      <c r="J19" s="244">
        <f t="shared" si="2"/>
        <v>0.22188351355568089</v>
      </c>
      <c r="K19" s="242">
        <v>83323</v>
      </c>
      <c r="L19" s="243">
        <v>109021</v>
      </c>
      <c r="M19" s="244">
        <f t="shared" si="3"/>
        <v>0.3084142433661774</v>
      </c>
    </row>
    <row r="20" spans="1:13" ht="15.75" thickBot="1" x14ac:dyDescent="0.3">
      <c r="A20" s="240" t="s">
        <v>170</v>
      </c>
      <c r="B20" s="242">
        <v>4016462</v>
      </c>
      <c r="C20" s="243">
        <v>3326010</v>
      </c>
      <c r="D20" s="244">
        <f t="shared" si="0"/>
        <v>-0.17190552282083088</v>
      </c>
      <c r="E20" s="242">
        <v>4016462</v>
      </c>
      <c r="F20" s="243">
        <v>3560224</v>
      </c>
      <c r="G20" s="244">
        <f t="shared" si="1"/>
        <v>-0.11359201207430819</v>
      </c>
      <c r="H20" s="242">
        <v>4016462</v>
      </c>
      <c r="I20" s="243">
        <v>3564491</v>
      </c>
      <c r="J20" s="244">
        <f t="shared" si="2"/>
        <v>-0.11252963429007917</v>
      </c>
      <c r="K20" s="242">
        <v>4016462</v>
      </c>
      <c r="L20" s="243">
        <v>3418149</v>
      </c>
      <c r="M20" s="244">
        <f t="shared" si="3"/>
        <v>-0.14896518378612819</v>
      </c>
    </row>
    <row r="21" spans="1:13" ht="15.75" thickBot="1" x14ac:dyDescent="0.3">
      <c r="A21" s="240" t="s">
        <v>171</v>
      </c>
      <c r="B21" s="242">
        <v>2963335</v>
      </c>
      <c r="C21" s="243">
        <v>3102326</v>
      </c>
      <c r="D21" s="244">
        <f t="shared" si="0"/>
        <v>4.6903573170093832E-2</v>
      </c>
      <c r="E21" s="242">
        <v>2963335</v>
      </c>
      <c r="F21" s="243">
        <v>3153387</v>
      </c>
      <c r="G21" s="244">
        <f t="shared" si="1"/>
        <v>6.4134497112206354E-2</v>
      </c>
      <c r="H21" s="242">
        <v>2963335</v>
      </c>
      <c r="I21" s="243">
        <v>3335183</v>
      </c>
      <c r="J21" s="244">
        <f t="shared" si="2"/>
        <v>0.125482944047838</v>
      </c>
      <c r="K21" s="242">
        <v>2963335</v>
      </c>
      <c r="L21" s="243">
        <v>3383722</v>
      </c>
      <c r="M21" s="244">
        <f t="shared" si="3"/>
        <v>0.14186279985219355</v>
      </c>
    </row>
    <row r="22" spans="1:13" ht="15.75" thickBot="1" x14ac:dyDescent="0.3">
      <c r="A22" s="240" t="s">
        <v>141</v>
      </c>
      <c r="B22" s="242">
        <v>96280</v>
      </c>
      <c r="C22" s="243">
        <v>91664</v>
      </c>
      <c r="D22" s="244">
        <f t="shared" si="0"/>
        <v>-4.7943498130452844E-2</v>
      </c>
      <c r="E22" s="242">
        <v>96280</v>
      </c>
      <c r="F22" s="243">
        <v>93406</v>
      </c>
      <c r="G22" s="244">
        <f t="shared" si="1"/>
        <v>-2.9850436227669298E-2</v>
      </c>
      <c r="H22" s="242">
        <v>96280</v>
      </c>
      <c r="I22" s="243">
        <v>97061</v>
      </c>
      <c r="J22" s="244">
        <f t="shared" si="2"/>
        <v>8.111757374324886E-3</v>
      </c>
      <c r="K22" s="242">
        <v>96280</v>
      </c>
      <c r="L22" s="243">
        <v>82393</v>
      </c>
      <c r="M22" s="244">
        <f t="shared" si="3"/>
        <v>-0.14423556294142087</v>
      </c>
    </row>
    <row r="23" spans="1:13" ht="15.75" thickBot="1" x14ac:dyDescent="0.3">
      <c r="A23" s="240" t="s">
        <v>172</v>
      </c>
      <c r="B23" s="242">
        <v>1373072</v>
      </c>
      <c r="C23" s="243">
        <v>1917055</v>
      </c>
      <c r="D23" s="244">
        <f t="shared" si="0"/>
        <v>0.39617951571366977</v>
      </c>
      <c r="E23" s="242">
        <v>1373072</v>
      </c>
      <c r="F23" s="243">
        <v>1907535</v>
      </c>
      <c r="G23" s="244">
        <f t="shared" si="1"/>
        <v>0.38924615752123704</v>
      </c>
      <c r="H23" s="242">
        <v>1373072</v>
      </c>
      <c r="I23" s="243">
        <v>2001447</v>
      </c>
      <c r="J23" s="244">
        <f t="shared" si="2"/>
        <v>0.45764169686658823</v>
      </c>
      <c r="K23" s="242">
        <v>1373072</v>
      </c>
      <c r="L23" s="243">
        <v>2033403</v>
      </c>
      <c r="M23" s="244">
        <f t="shared" si="3"/>
        <v>0.48091505762261555</v>
      </c>
    </row>
    <row r="24" spans="1:13" ht="15.75" thickBot="1" x14ac:dyDescent="0.3">
      <c r="A24" s="240" t="s">
        <v>173</v>
      </c>
      <c r="B24" s="242">
        <v>766829</v>
      </c>
      <c r="C24" s="243">
        <v>1172268</v>
      </c>
      <c r="D24" s="244">
        <f t="shared" si="0"/>
        <v>0.52872152722445287</v>
      </c>
      <c r="E24" s="242">
        <v>766829</v>
      </c>
      <c r="F24" s="243">
        <v>1167856</v>
      </c>
      <c r="G24" s="244">
        <f t="shared" si="1"/>
        <v>0.52296796287047043</v>
      </c>
      <c r="H24" s="242">
        <v>766829</v>
      </c>
      <c r="I24" s="243">
        <v>1233087</v>
      </c>
      <c r="J24" s="244">
        <f t="shared" si="2"/>
        <v>0.60803386413398552</v>
      </c>
      <c r="K24" s="242">
        <v>766829</v>
      </c>
      <c r="L24" s="243">
        <v>1179957</v>
      </c>
      <c r="M24" s="244">
        <f t="shared" si="3"/>
        <v>0.53874853454942362</v>
      </c>
    </row>
    <row r="25" spans="1:13" ht="15.75" thickBot="1" x14ac:dyDescent="0.3">
      <c r="A25" s="240" t="s">
        <v>174</v>
      </c>
      <c r="B25" s="242">
        <v>297783</v>
      </c>
      <c r="C25" s="243">
        <v>339127</v>
      </c>
      <c r="D25" s="244">
        <f t="shared" si="0"/>
        <v>0.13883935617547005</v>
      </c>
      <c r="E25" s="242">
        <v>297783</v>
      </c>
      <c r="F25" s="243">
        <v>336121</v>
      </c>
      <c r="G25" s="244">
        <f t="shared" si="1"/>
        <v>0.12874475708821526</v>
      </c>
      <c r="H25" s="242">
        <v>297783</v>
      </c>
      <c r="I25" s="243">
        <v>360477</v>
      </c>
      <c r="J25" s="244">
        <f t="shared" si="2"/>
        <v>0.2105358600054402</v>
      </c>
      <c r="K25" s="242">
        <v>297783</v>
      </c>
      <c r="L25" s="243">
        <v>355461</v>
      </c>
      <c r="M25" s="244">
        <f t="shared" si="3"/>
        <v>0.19369137929297509</v>
      </c>
    </row>
    <row r="26" spans="1:13" ht="15.75" thickBot="1" x14ac:dyDescent="0.3">
      <c r="A26" s="245" t="s">
        <v>25</v>
      </c>
      <c r="B26" s="247">
        <v>32348</v>
      </c>
      <c r="C26" s="248">
        <v>33883</v>
      </c>
      <c r="D26" s="252">
        <f t="shared" si="0"/>
        <v>4.7452701867194261E-2</v>
      </c>
      <c r="E26" s="247">
        <v>32348</v>
      </c>
      <c r="F26" s="248">
        <v>37352</v>
      </c>
      <c r="G26" s="252">
        <f t="shared" si="1"/>
        <v>0.15469271670582416</v>
      </c>
      <c r="H26" s="247">
        <v>32348</v>
      </c>
      <c r="I26" s="248">
        <v>38591</v>
      </c>
      <c r="J26" s="252">
        <f t="shared" si="2"/>
        <v>0.19299493013478422</v>
      </c>
      <c r="K26" s="247">
        <v>32348</v>
      </c>
      <c r="L26" s="248">
        <v>40645</v>
      </c>
      <c r="M26" s="252">
        <f t="shared" si="3"/>
        <v>0.25649190058117965</v>
      </c>
    </row>
    <row r="27" spans="1:13" ht="15.75" thickBot="1" x14ac:dyDescent="0.3">
      <c r="A27" s="249" t="s">
        <v>175</v>
      </c>
      <c r="B27" s="250">
        <f>SUM(B17:B26)</f>
        <v>9656741</v>
      </c>
      <c r="C27" s="251">
        <f>SUM(C17:C26)</f>
        <v>10092671</v>
      </c>
      <c r="D27" s="253">
        <f t="shared" si="0"/>
        <v>4.5142558964768757E-2</v>
      </c>
      <c r="E27" s="250">
        <f>SUM(E17:E26)</f>
        <v>9656741</v>
      </c>
      <c r="F27" s="251">
        <f>SUM(F17:F26)</f>
        <v>10381139</v>
      </c>
      <c r="G27" s="253">
        <f t="shared" si="1"/>
        <v>7.5014748764619457E-2</v>
      </c>
      <c r="H27" s="250">
        <f>SUM(H17:H26)</f>
        <v>9656741</v>
      </c>
      <c r="I27" s="251">
        <f>SUM(I17:I26)</f>
        <v>10761639</v>
      </c>
      <c r="J27" s="253">
        <f t="shared" si="2"/>
        <v>0.11441727597333304</v>
      </c>
      <c r="K27" s="250">
        <f>SUM(K17:K26)</f>
        <v>9656741</v>
      </c>
      <c r="L27" s="251">
        <f>SUM(L17:L26)</f>
        <v>10635179</v>
      </c>
      <c r="M27" s="253">
        <f t="shared" si="3"/>
        <v>0.10132176062296794</v>
      </c>
    </row>
    <row r="28" spans="1:13" ht="15.75" thickBot="1" x14ac:dyDescent="0.3">
      <c r="A28" s="249" t="s">
        <v>176</v>
      </c>
      <c r="B28" s="250">
        <f>+B15+B27</f>
        <v>11817386</v>
      </c>
      <c r="C28" s="251">
        <f>+C15+C27</f>
        <v>12346701</v>
      </c>
      <c r="D28" s="253">
        <f t="shared" si="0"/>
        <v>4.4791208478761717E-2</v>
      </c>
      <c r="E28" s="250">
        <f>+E15+E27</f>
        <v>11817386</v>
      </c>
      <c r="F28" s="251">
        <f>+F15+F27</f>
        <v>12683866</v>
      </c>
      <c r="G28" s="253">
        <f t="shared" si="1"/>
        <v>7.3322475884260704E-2</v>
      </c>
      <c r="H28" s="250">
        <f>+H15+H27</f>
        <v>11817386</v>
      </c>
      <c r="I28" s="251">
        <f>+I15+I27</f>
        <v>13317881</v>
      </c>
      <c r="J28" s="253">
        <f t="shared" si="2"/>
        <v>0.12697351173939819</v>
      </c>
      <c r="K28" s="250">
        <f>+K15+K27</f>
        <v>11817386</v>
      </c>
      <c r="L28" s="251">
        <f>+L15+L27</f>
        <v>13178052</v>
      </c>
      <c r="M28" s="253">
        <f t="shared" si="3"/>
        <v>0.11514103034292017</v>
      </c>
    </row>
    <row r="29" spans="1:13" x14ac:dyDescent="0.25">
      <c r="A29" s="234" t="s">
        <v>142</v>
      </c>
      <c r="B29" s="254"/>
      <c r="C29" s="255"/>
      <c r="D29" s="254"/>
      <c r="E29" s="254"/>
      <c r="F29" s="255"/>
      <c r="G29" s="254"/>
      <c r="H29" s="254"/>
      <c r="I29" s="255"/>
      <c r="J29" s="254"/>
      <c r="K29" s="254"/>
      <c r="L29" s="255"/>
      <c r="M29" s="254"/>
    </row>
    <row r="30" spans="1:13" x14ac:dyDescent="0.25">
      <c r="A30" s="237" t="s">
        <v>177</v>
      </c>
      <c r="B30" s="256"/>
      <c r="C30" s="239"/>
      <c r="D30" s="256"/>
      <c r="E30" s="256"/>
      <c r="F30" s="239"/>
      <c r="G30" s="256"/>
      <c r="H30" s="256"/>
      <c r="I30" s="239"/>
      <c r="J30" s="256"/>
      <c r="K30" s="256"/>
      <c r="L30" s="239"/>
      <c r="M30" s="256"/>
    </row>
    <row r="31" spans="1:13" ht="15.75" thickBot="1" x14ac:dyDescent="0.3">
      <c r="A31" s="240" t="s">
        <v>28</v>
      </c>
      <c r="B31" s="242">
        <v>455480</v>
      </c>
      <c r="C31" s="243">
        <v>708303</v>
      </c>
      <c r="D31" s="244">
        <f t="shared" ref="D31:D37" si="4">(C31-B31)/B31</f>
        <v>0.5550693773601475</v>
      </c>
      <c r="E31" s="242">
        <v>455480</v>
      </c>
      <c r="F31" s="243">
        <v>788166</v>
      </c>
      <c r="G31" s="244">
        <f t="shared" ref="G31:G37" si="5">(F31-E31)/E31</f>
        <v>0.73040748221656271</v>
      </c>
      <c r="H31" s="242">
        <v>455480</v>
      </c>
      <c r="I31" s="243">
        <v>962314</v>
      </c>
      <c r="J31" s="244">
        <f t="shared" ref="J31:J37" si="6">(I31-H31)/H31</f>
        <v>1.1127469921840696</v>
      </c>
      <c r="K31" s="242">
        <v>455480</v>
      </c>
      <c r="L31" s="243">
        <v>1059660</v>
      </c>
      <c r="M31" s="244">
        <f t="shared" ref="M31:M37" si="7">(L31-K31)/K31</f>
        <v>1.3264687801879336</v>
      </c>
    </row>
    <row r="32" spans="1:13" ht="15.75" thickBot="1" x14ac:dyDescent="0.3">
      <c r="A32" s="240" t="s">
        <v>178</v>
      </c>
      <c r="B32" s="242">
        <v>656458</v>
      </c>
      <c r="C32" s="243">
        <v>829817</v>
      </c>
      <c r="D32" s="244">
        <f t="shared" si="4"/>
        <v>0.26408239369464609</v>
      </c>
      <c r="E32" s="242">
        <v>656458</v>
      </c>
      <c r="F32" s="243">
        <v>783029</v>
      </c>
      <c r="G32" s="244">
        <f t="shared" si="5"/>
        <v>0.19280898397155644</v>
      </c>
      <c r="H32" s="242">
        <v>656458</v>
      </c>
      <c r="I32" s="243">
        <v>826429</v>
      </c>
      <c r="J32" s="244">
        <f t="shared" si="6"/>
        <v>0.25892136282900047</v>
      </c>
      <c r="K32" s="242">
        <v>656458</v>
      </c>
      <c r="L32" s="243">
        <v>825435</v>
      </c>
      <c r="M32" s="244">
        <f t="shared" si="7"/>
        <v>0.25740717608742675</v>
      </c>
    </row>
    <row r="33" spans="1:13" ht="15.75" thickBot="1" x14ac:dyDescent="0.3">
      <c r="A33" s="240" t="s">
        <v>30</v>
      </c>
      <c r="B33" s="242">
        <v>150217</v>
      </c>
      <c r="C33" s="243">
        <v>180907</v>
      </c>
      <c r="D33" s="244">
        <f t="shared" si="4"/>
        <v>0.20430443957741135</v>
      </c>
      <c r="E33" s="242">
        <v>150217</v>
      </c>
      <c r="F33" s="243">
        <v>183780</v>
      </c>
      <c r="G33" s="244">
        <f t="shared" si="5"/>
        <v>0.22343010444889727</v>
      </c>
      <c r="H33" s="242">
        <v>150217</v>
      </c>
      <c r="I33" s="243">
        <v>210538</v>
      </c>
      <c r="J33" s="244">
        <f t="shared" si="6"/>
        <v>0.4015590778673519</v>
      </c>
      <c r="K33" s="242">
        <v>150217</v>
      </c>
      <c r="L33" s="243">
        <v>172323</v>
      </c>
      <c r="M33" s="244">
        <f t="shared" si="7"/>
        <v>0.14716044122835631</v>
      </c>
    </row>
    <row r="34" spans="1:13" ht="15.75" thickBot="1" x14ac:dyDescent="0.3">
      <c r="A34" s="240" t="s">
        <v>179</v>
      </c>
      <c r="B34" s="242">
        <v>137300</v>
      </c>
      <c r="C34" s="243">
        <v>114638</v>
      </c>
      <c r="D34" s="244">
        <f t="shared" si="4"/>
        <v>-0.16505462490895847</v>
      </c>
      <c r="E34" s="242">
        <v>137300</v>
      </c>
      <c r="F34" s="243">
        <v>133356</v>
      </c>
      <c r="G34" s="244">
        <f t="shared" si="5"/>
        <v>-2.8725418790968682E-2</v>
      </c>
      <c r="H34" s="242">
        <v>137300</v>
      </c>
      <c r="I34" s="243">
        <v>177986</v>
      </c>
      <c r="J34" s="244">
        <f t="shared" si="6"/>
        <v>0.2963292061179898</v>
      </c>
      <c r="K34" s="242">
        <v>137300</v>
      </c>
      <c r="L34" s="243">
        <v>160628</v>
      </c>
      <c r="M34" s="244">
        <f t="shared" si="7"/>
        <v>0.16990531682447196</v>
      </c>
    </row>
    <row r="35" spans="1:13" ht="15.75" thickBot="1" x14ac:dyDescent="0.3">
      <c r="A35" s="240" t="s">
        <v>180</v>
      </c>
      <c r="B35" s="242">
        <v>2417</v>
      </c>
      <c r="C35" s="243">
        <v>3919</v>
      </c>
      <c r="D35" s="244">
        <f t="shared" si="4"/>
        <v>0.62143152668597434</v>
      </c>
      <c r="E35" s="242">
        <v>2417</v>
      </c>
      <c r="F35" s="243">
        <v>3371</v>
      </c>
      <c r="G35" s="244">
        <f t="shared" si="5"/>
        <v>0.39470417873396774</v>
      </c>
      <c r="H35" s="242">
        <v>2417</v>
      </c>
      <c r="I35" s="243">
        <v>3025</v>
      </c>
      <c r="J35" s="244">
        <f t="shared" si="6"/>
        <v>0.25155151013653287</v>
      </c>
      <c r="K35" s="242">
        <v>2417</v>
      </c>
      <c r="L35" s="243">
        <v>4415</v>
      </c>
      <c r="M35" s="244">
        <f t="shared" si="7"/>
        <v>0.8266446007447249</v>
      </c>
    </row>
    <row r="36" spans="1:13" ht="15.75" thickBot="1" x14ac:dyDescent="0.3">
      <c r="A36" s="245" t="s">
        <v>143</v>
      </c>
      <c r="B36" s="247">
        <v>13885</v>
      </c>
      <c r="C36" s="248">
        <v>24077</v>
      </c>
      <c r="D36" s="252">
        <f t="shared" si="4"/>
        <v>0.73402952826791501</v>
      </c>
      <c r="E36" s="247">
        <v>13885</v>
      </c>
      <c r="F36" s="248">
        <v>17127</v>
      </c>
      <c r="G36" s="252">
        <f t="shared" si="5"/>
        <v>0.23348937702556716</v>
      </c>
      <c r="H36" s="247">
        <v>13885</v>
      </c>
      <c r="I36" s="248">
        <v>19917</v>
      </c>
      <c r="J36" s="252">
        <f t="shared" si="6"/>
        <v>0.43442563917897009</v>
      </c>
      <c r="K36" s="247">
        <v>13885</v>
      </c>
      <c r="L36" s="248">
        <v>26641</v>
      </c>
      <c r="M36" s="252">
        <f t="shared" si="7"/>
        <v>0.91868923298523586</v>
      </c>
    </row>
    <row r="37" spans="1:13" ht="15.75" thickBot="1" x14ac:dyDescent="0.3">
      <c r="A37" s="249" t="s">
        <v>181</v>
      </c>
      <c r="B37" s="250">
        <f>SUM(B31:B36)</f>
        <v>1415757</v>
      </c>
      <c r="C37" s="251">
        <f>SUM(C31:C36)</f>
        <v>1861661</v>
      </c>
      <c r="D37" s="253">
        <f t="shared" si="4"/>
        <v>0.31495800479884611</v>
      </c>
      <c r="E37" s="250">
        <f>SUM(E31:E36)</f>
        <v>1415757</v>
      </c>
      <c r="F37" s="251">
        <f>SUM(F31:F36)</f>
        <v>1908829</v>
      </c>
      <c r="G37" s="253">
        <f t="shared" si="5"/>
        <v>0.3482744567040813</v>
      </c>
      <c r="H37" s="250">
        <f>SUM(H31:H36)</f>
        <v>1415757</v>
      </c>
      <c r="I37" s="251">
        <f>SUM(I31:I36)</f>
        <v>2200209</v>
      </c>
      <c r="J37" s="253">
        <f t="shared" si="6"/>
        <v>0.55408661232118228</v>
      </c>
      <c r="K37" s="250">
        <f>SUM(K31:K36)</f>
        <v>1415757</v>
      </c>
      <c r="L37" s="251">
        <f>SUM(L31:L36)</f>
        <v>2249102</v>
      </c>
      <c r="M37" s="253">
        <f t="shared" si="7"/>
        <v>0.58862149366028205</v>
      </c>
    </row>
    <row r="38" spans="1:13" x14ac:dyDescent="0.25">
      <c r="A38" s="237" t="s">
        <v>182</v>
      </c>
      <c r="B38" s="238"/>
      <c r="C38" s="239"/>
      <c r="D38" s="238"/>
      <c r="E38" s="238"/>
      <c r="F38" s="239"/>
      <c r="G38" s="238"/>
      <c r="H38" s="238"/>
      <c r="I38" s="239"/>
      <c r="J38" s="238"/>
      <c r="K38" s="238"/>
      <c r="L38" s="239"/>
      <c r="M38" s="238"/>
    </row>
    <row r="39" spans="1:13" ht="15.75" thickBot="1" x14ac:dyDescent="0.3">
      <c r="A39" s="240" t="s">
        <v>28</v>
      </c>
      <c r="B39" s="242">
        <v>1688797</v>
      </c>
      <c r="C39" s="243">
        <v>2294658</v>
      </c>
      <c r="D39" s="244">
        <f>(C39-B39)/B39</f>
        <v>0.35875300583788344</v>
      </c>
      <c r="E39" s="242">
        <v>1688797</v>
      </c>
      <c r="F39" s="243">
        <v>2291154</v>
      </c>
      <c r="G39" s="244">
        <f>(F39-E39)/E39</f>
        <v>0.35667815610757242</v>
      </c>
      <c r="H39" s="242">
        <v>1688797</v>
      </c>
      <c r="I39" s="243">
        <v>2119518</v>
      </c>
      <c r="J39" s="244">
        <f>(I39-H39)/H39</f>
        <v>0.25504604757114085</v>
      </c>
      <c r="K39" s="242">
        <v>1688797</v>
      </c>
      <c r="L39" s="243">
        <v>2034604</v>
      </c>
      <c r="M39" s="244">
        <f>(L39-K39)/K39</f>
        <v>0.20476528558494597</v>
      </c>
    </row>
    <row r="40" spans="1:13" ht="15.75" thickBot="1" x14ac:dyDescent="0.3">
      <c r="A40" s="240" t="s">
        <v>178</v>
      </c>
      <c r="B40" s="241">
        <v>159</v>
      </c>
      <c r="C40" s="257">
        <v>159</v>
      </c>
      <c r="D40" s="244">
        <f>(C40-B40)/B40</f>
        <v>0</v>
      </c>
      <c r="E40" s="241">
        <v>159</v>
      </c>
      <c r="F40" s="257">
        <v>159</v>
      </c>
      <c r="G40" s="244">
        <f>(F40-E40)/E40</f>
        <v>0</v>
      </c>
      <c r="H40" s="241">
        <v>159</v>
      </c>
      <c r="I40" s="257">
        <v>146</v>
      </c>
      <c r="J40" s="244">
        <f>(I40-H40)/H40</f>
        <v>-8.1761006289308172E-2</v>
      </c>
      <c r="K40" s="241">
        <v>159</v>
      </c>
      <c r="L40" s="257">
        <v>159</v>
      </c>
      <c r="M40" s="244">
        <f>(L40-K40)/K40</f>
        <v>0</v>
      </c>
    </row>
    <row r="41" spans="1:13" ht="15.75" thickBot="1" x14ac:dyDescent="0.3">
      <c r="A41" s="240" t="s">
        <v>179</v>
      </c>
      <c r="B41" s="242">
        <v>209287</v>
      </c>
      <c r="C41" s="243">
        <v>218228</v>
      </c>
      <c r="D41" s="244">
        <f>(C41-B41)/B41</f>
        <v>4.2721239255185464E-2</v>
      </c>
      <c r="E41" s="242">
        <v>209287</v>
      </c>
      <c r="F41" s="243">
        <v>221192</v>
      </c>
      <c r="G41" s="244">
        <f>(F41-E41)/E41</f>
        <v>5.6883609588746553E-2</v>
      </c>
      <c r="H41" s="242">
        <v>209287</v>
      </c>
      <c r="I41" s="243">
        <v>230323</v>
      </c>
      <c r="J41" s="244">
        <f>(I41-H41)/H41</f>
        <v>0.10051269309608336</v>
      </c>
      <c r="K41" s="242">
        <v>209287</v>
      </c>
      <c r="L41" s="243">
        <v>211533</v>
      </c>
      <c r="M41" s="244">
        <f>(L41-K41)/K41</f>
        <v>1.073167468595756E-2</v>
      </c>
    </row>
    <row r="42" spans="1:13" ht="15.75" thickBot="1" x14ac:dyDescent="0.3">
      <c r="A42" s="240" t="s">
        <v>183</v>
      </c>
      <c r="B42" s="242">
        <v>471713</v>
      </c>
      <c r="C42" s="243">
        <v>649011</v>
      </c>
      <c r="D42" s="244">
        <f>(C42-B42)/B42</f>
        <v>0.37585989786162349</v>
      </c>
      <c r="E42" s="242">
        <v>471713</v>
      </c>
      <c r="F42" s="243">
        <v>645944</v>
      </c>
      <c r="G42" s="244">
        <f>(F42-E42)/E42</f>
        <v>0.36935806305952984</v>
      </c>
      <c r="H42" s="242">
        <v>471713</v>
      </c>
      <c r="I42" s="243">
        <v>667566</v>
      </c>
      <c r="J42" s="244">
        <f>(I42-H42)/H42</f>
        <v>0.41519525643770683</v>
      </c>
      <c r="K42" s="242">
        <v>471713</v>
      </c>
      <c r="L42" s="243">
        <v>727692</v>
      </c>
      <c r="M42" s="244">
        <f>(L42-K42)/K42</f>
        <v>0.54265835370235715</v>
      </c>
    </row>
    <row r="43" spans="1:13" ht="15.75" thickBot="1" x14ac:dyDescent="0.3">
      <c r="A43" s="245" t="s">
        <v>143</v>
      </c>
      <c r="B43" s="246" t="s">
        <v>184</v>
      </c>
      <c r="C43" s="258" t="s">
        <v>184</v>
      </c>
      <c r="D43" s="252" t="s">
        <v>131</v>
      </c>
      <c r="E43" s="246" t="s">
        <v>184</v>
      </c>
      <c r="F43" s="258" t="s">
        <v>184</v>
      </c>
      <c r="G43" s="252" t="s">
        <v>131</v>
      </c>
      <c r="H43" s="246" t="s">
        <v>184</v>
      </c>
      <c r="I43" s="243">
        <v>28060</v>
      </c>
      <c r="J43" s="252" t="s">
        <v>131</v>
      </c>
      <c r="K43" s="246" t="s">
        <v>184</v>
      </c>
      <c r="L43" s="243" t="s">
        <v>184</v>
      </c>
      <c r="M43" s="252" t="s">
        <v>131</v>
      </c>
    </row>
    <row r="44" spans="1:13" ht="15.75" thickBot="1" x14ac:dyDescent="0.3">
      <c r="A44" s="249" t="s">
        <v>185</v>
      </c>
      <c r="B44" s="250">
        <f>SUM(B39:B43)</f>
        <v>2369956</v>
      </c>
      <c r="C44" s="251">
        <f>SUM(C39:C43)</f>
        <v>3162056</v>
      </c>
      <c r="D44" s="253">
        <f>(C44-B44)/B44</f>
        <v>0.33422561431520248</v>
      </c>
      <c r="E44" s="250">
        <f>SUM(E39:E43)</f>
        <v>2369956</v>
      </c>
      <c r="F44" s="251">
        <f>SUM(F39:F43)</f>
        <v>3158449</v>
      </c>
      <c r="G44" s="253">
        <f>(F44-E44)/E44</f>
        <v>0.33270364513096445</v>
      </c>
      <c r="H44" s="250">
        <f>SUM(H39:H43)</f>
        <v>2369956</v>
      </c>
      <c r="I44" s="251">
        <f>SUM(I39:I43)</f>
        <v>3045613</v>
      </c>
      <c r="J44" s="253">
        <f>(I44-H44)/H44</f>
        <v>0.28509263463119144</v>
      </c>
      <c r="K44" s="250">
        <f>SUM(K39:K43)</f>
        <v>2369956</v>
      </c>
      <c r="L44" s="251">
        <f>SUM(L39:L43)</f>
        <v>2973988</v>
      </c>
      <c r="M44" s="253">
        <f>(L44-K44)/K44</f>
        <v>0.2548705545588188</v>
      </c>
    </row>
    <row r="45" spans="1:13" ht="15.75" thickBot="1" x14ac:dyDescent="0.3">
      <c r="A45" s="249" t="s">
        <v>186</v>
      </c>
      <c r="B45" s="250">
        <f>+B37+B44</f>
        <v>3785713</v>
      </c>
      <c r="C45" s="251">
        <f>+C37+C44</f>
        <v>5023717</v>
      </c>
      <c r="D45" s="253">
        <f>(C45-B45)/B45</f>
        <v>0.32702003559171022</v>
      </c>
      <c r="E45" s="250">
        <f>+E37+E44</f>
        <v>3785713</v>
      </c>
      <c r="F45" s="251">
        <f>+F37+F44</f>
        <v>5067278</v>
      </c>
      <c r="G45" s="253">
        <f>(F45-E45)/E45</f>
        <v>0.33852671874492335</v>
      </c>
      <c r="H45" s="250">
        <f>+H37+H44</f>
        <v>3785713</v>
      </c>
      <c r="I45" s="251">
        <f>+I37+I44</f>
        <v>5245822</v>
      </c>
      <c r="J45" s="253">
        <f>(I45-H45)/H45</f>
        <v>0.38568930080013991</v>
      </c>
      <c r="K45" s="250">
        <f>+K37+K44</f>
        <v>3785713</v>
      </c>
      <c r="L45" s="251">
        <f>+L37+L44</f>
        <v>5223090</v>
      </c>
      <c r="M45" s="253">
        <f>(L45-K45)/K45</f>
        <v>0.37968461951553117</v>
      </c>
    </row>
    <row r="46" spans="1:13" x14ac:dyDescent="0.25">
      <c r="A46" s="234" t="s">
        <v>34</v>
      </c>
      <c r="B46" s="254"/>
      <c r="C46" s="255"/>
      <c r="D46" s="254"/>
      <c r="E46" s="254"/>
      <c r="F46" s="255"/>
      <c r="G46" s="254"/>
      <c r="H46" s="254"/>
      <c r="I46" s="255"/>
      <c r="J46" s="254"/>
      <c r="K46" s="254"/>
      <c r="L46" s="255"/>
      <c r="M46" s="254"/>
    </row>
    <row r="47" spans="1:13" ht="15.75" thickBot="1" x14ac:dyDescent="0.3">
      <c r="A47" s="249" t="s">
        <v>187</v>
      </c>
      <c r="B47" s="250">
        <v>8001755</v>
      </c>
      <c r="C47" s="251">
        <v>7291710</v>
      </c>
      <c r="D47" s="253">
        <f>(C47-B47)/B47</f>
        <v>-8.8736158505227911E-2</v>
      </c>
      <c r="E47" s="250">
        <v>8001755</v>
      </c>
      <c r="F47" s="251">
        <v>7585730</v>
      </c>
      <c r="G47" s="253">
        <f>(F47-E47)/E47</f>
        <v>-5.1991719316574925E-2</v>
      </c>
      <c r="H47" s="250">
        <v>8001755</v>
      </c>
      <c r="I47" s="251">
        <v>8037783</v>
      </c>
      <c r="J47" s="253">
        <f>(I47-H47)/H47</f>
        <v>4.5025122613726615E-3</v>
      </c>
      <c r="K47" s="250">
        <v>8001755</v>
      </c>
      <c r="L47" s="251">
        <v>7920603</v>
      </c>
      <c r="M47" s="253">
        <f>(L47-K47)/K47</f>
        <v>-1.0141775148076891E-2</v>
      </c>
    </row>
    <row r="48" spans="1:13" ht="15.75" thickBot="1" x14ac:dyDescent="0.3">
      <c r="A48" s="259" t="s">
        <v>188</v>
      </c>
      <c r="B48" s="247">
        <v>29918</v>
      </c>
      <c r="C48" s="248">
        <v>31274</v>
      </c>
      <c r="D48" s="252">
        <f>(C48-B48)/B48</f>
        <v>4.5323885286449629E-2</v>
      </c>
      <c r="E48" s="247">
        <v>29918</v>
      </c>
      <c r="F48" s="248">
        <v>30858</v>
      </c>
      <c r="G48" s="252">
        <f>(F48-E48)/E48</f>
        <v>3.1419212514205493E-2</v>
      </c>
      <c r="H48" s="247">
        <v>29918</v>
      </c>
      <c r="I48" s="248">
        <v>34276</v>
      </c>
      <c r="J48" s="252">
        <f>(I48-H48)/H48</f>
        <v>0.14566481716692292</v>
      </c>
      <c r="K48" s="247">
        <v>29918</v>
      </c>
      <c r="L48" s="248">
        <v>34359</v>
      </c>
      <c r="M48" s="252">
        <f>(L48-K48)/K48</f>
        <v>0.14843906678253893</v>
      </c>
    </row>
    <row r="49" spans="1:27" ht="15.75" thickBot="1" x14ac:dyDescent="0.3">
      <c r="A49" s="249" t="s">
        <v>189</v>
      </c>
      <c r="B49" s="250">
        <f>SUM(B47:B48)</f>
        <v>8031673</v>
      </c>
      <c r="C49" s="251">
        <f>SUM(C47:C48)</f>
        <v>7322984</v>
      </c>
      <c r="D49" s="253">
        <f>(C49-B49)/B49</f>
        <v>-8.8236784540406468E-2</v>
      </c>
      <c r="E49" s="250">
        <f>SUM(E47:E48)</f>
        <v>8031673</v>
      </c>
      <c r="F49" s="251">
        <f>SUM(F47:F48)</f>
        <v>7616588</v>
      </c>
      <c r="G49" s="253">
        <f>(F49-E49)/E49</f>
        <v>-5.1681013407791875E-2</v>
      </c>
      <c r="H49" s="250">
        <f>SUM(H47:H48)</f>
        <v>8031673</v>
      </c>
      <c r="I49" s="251">
        <f>SUM(I47:I48)</f>
        <v>8072059</v>
      </c>
      <c r="J49" s="253">
        <f>(I49-H49)/H49</f>
        <v>5.0283421648266808E-3</v>
      </c>
      <c r="K49" s="250">
        <f>SUM(K47:K48)</f>
        <v>8031673</v>
      </c>
      <c r="L49" s="251">
        <f>SUM(L47:L48)</f>
        <v>7954962</v>
      </c>
      <c r="M49" s="253">
        <f>(L49-K49)/K49</f>
        <v>-9.5510611550046927E-3</v>
      </c>
    </row>
    <row r="50" spans="1:27" ht="15.75" thickBot="1" x14ac:dyDescent="0.3">
      <c r="A50" s="260" t="s">
        <v>190</v>
      </c>
      <c r="B50" s="261">
        <f>+B45+B49</f>
        <v>11817386</v>
      </c>
      <c r="C50" s="251">
        <f>+C45+C49</f>
        <v>12346701</v>
      </c>
      <c r="D50" s="262">
        <f>(C50-B50)/B50</f>
        <v>4.4791208478761717E-2</v>
      </c>
      <c r="E50" s="261">
        <f>+E45+E49</f>
        <v>11817386</v>
      </c>
      <c r="F50" s="251">
        <f>+F45+F49</f>
        <v>12683866</v>
      </c>
      <c r="G50" s="262">
        <f>(F50-E50)/E50</f>
        <v>7.3322475884260704E-2</v>
      </c>
      <c r="H50" s="261">
        <f>+H45+H49</f>
        <v>11817386</v>
      </c>
      <c r="I50" s="251">
        <f>+I45+I49</f>
        <v>13317881</v>
      </c>
      <c r="J50" s="262">
        <f>(I50-H50)/H50</f>
        <v>0.12697351173939819</v>
      </c>
      <c r="K50" s="261">
        <f>+K45+K49</f>
        <v>11817386</v>
      </c>
      <c r="L50" s="251">
        <f>+L45+L49</f>
        <v>13178052</v>
      </c>
      <c r="M50" s="262">
        <f>(L50-K50)/K50</f>
        <v>0.11514103034292017</v>
      </c>
    </row>
    <row r="52" spans="1:27" x14ac:dyDescent="0.25">
      <c r="C52" s="263"/>
      <c r="E52" s="263"/>
      <c r="H52" s="263"/>
      <c r="J52" s="263"/>
      <c r="M52" s="263"/>
      <c r="O52" s="263"/>
      <c r="R52" s="263"/>
      <c r="T52" s="263"/>
    </row>
    <row r="53" spans="1:27" ht="18.75" x14ac:dyDescent="0.3">
      <c r="A53" s="264" t="s">
        <v>191</v>
      </c>
      <c r="B53" s="362"/>
      <c r="C53" s="362"/>
      <c r="D53" s="362"/>
      <c r="E53" s="362"/>
    </row>
    <row r="54" spans="1:27" x14ac:dyDescent="0.25">
      <c r="A54" s="230" t="s">
        <v>219</v>
      </c>
      <c r="B54" s="362"/>
      <c r="C54" s="362"/>
      <c r="D54" s="362"/>
      <c r="E54" s="362"/>
    </row>
    <row r="55" spans="1:27" x14ac:dyDescent="0.25">
      <c r="A55" s="230" t="s">
        <v>88</v>
      </c>
      <c r="B55" s="362"/>
      <c r="C55" s="362"/>
      <c r="D55" s="362"/>
      <c r="E55" s="362"/>
    </row>
    <row r="56" spans="1:27" x14ac:dyDescent="0.25">
      <c r="A56" s="265" t="s">
        <v>159</v>
      </c>
      <c r="B56" s="362"/>
      <c r="C56" s="362"/>
      <c r="D56" s="362"/>
      <c r="E56" s="362"/>
    </row>
    <row r="57" spans="1:27" ht="15.75" thickBot="1" x14ac:dyDescent="0.3">
      <c r="B57" s="364"/>
      <c r="C57" s="364"/>
      <c r="D57" s="364"/>
      <c r="E57" s="364"/>
    </row>
    <row r="58" spans="1:27" s="339" customFormat="1" ht="15.75" customHeight="1" thickBot="1" x14ac:dyDescent="0.3">
      <c r="A58" s="347"/>
      <c r="B58" s="347" t="s">
        <v>145</v>
      </c>
      <c r="C58" s="348" t="s">
        <v>55</v>
      </c>
      <c r="D58" s="349" t="s">
        <v>146</v>
      </c>
      <c r="E58" s="348" t="s">
        <v>55</v>
      </c>
      <c r="F58" s="348" t="s">
        <v>46</v>
      </c>
      <c r="G58" s="347" t="s">
        <v>149</v>
      </c>
      <c r="H58" s="348" t="s">
        <v>55</v>
      </c>
      <c r="I58" s="349" t="s">
        <v>150</v>
      </c>
      <c r="J58" s="348" t="s">
        <v>55</v>
      </c>
      <c r="K58" s="348" t="s">
        <v>46</v>
      </c>
      <c r="L58" s="347" t="s">
        <v>145</v>
      </c>
      <c r="M58" s="349" t="s">
        <v>146</v>
      </c>
      <c r="N58" s="347" t="s">
        <v>147</v>
      </c>
      <c r="O58" s="349" t="s">
        <v>148</v>
      </c>
      <c r="P58" s="347" t="s">
        <v>151</v>
      </c>
      <c r="Q58" s="349" t="s">
        <v>152</v>
      </c>
      <c r="R58" s="347" t="s">
        <v>153</v>
      </c>
      <c r="S58" s="348" t="s">
        <v>55</v>
      </c>
      <c r="T58" s="349" t="s">
        <v>154</v>
      </c>
      <c r="U58" s="348" t="s">
        <v>55</v>
      </c>
      <c r="V58" s="348" t="s">
        <v>46</v>
      </c>
      <c r="W58" s="347" t="s">
        <v>156</v>
      </c>
      <c r="X58" s="348" t="s">
        <v>55</v>
      </c>
      <c r="Y58" s="349" t="s">
        <v>155</v>
      </c>
      <c r="Z58" s="348" t="s">
        <v>55</v>
      </c>
      <c r="AA58" s="348" t="s">
        <v>46</v>
      </c>
    </row>
    <row r="59" spans="1:27" ht="15.75" thickTop="1" x14ac:dyDescent="0.25">
      <c r="A59" s="266" t="s">
        <v>193</v>
      </c>
      <c r="B59" s="232"/>
      <c r="C59" s="232"/>
      <c r="D59" s="267"/>
      <c r="E59" s="232"/>
      <c r="F59" s="232"/>
      <c r="G59" s="232"/>
      <c r="H59" s="232"/>
      <c r="I59" s="267"/>
      <c r="J59" s="232"/>
      <c r="K59" s="232"/>
      <c r="L59" s="232"/>
      <c r="M59" s="267"/>
      <c r="N59" s="232"/>
      <c r="O59" s="267"/>
      <c r="P59" s="232"/>
      <c r="Q59" s="267"/>
      <c r="R59" s="232"/>
      <c r="S59" s="232"/>
      <c r="T59" s="267"/>
      <c r="U59" s="232"/>
      <c r="V59" s="232"/>
      <c r="W59" s="232"/>
      <c r="X59" s="232"/>
      <c r="Y59" s="267"/>
      <c r="Z59" s="232"/>
      <c r="AA59" s="232"/>
    </row>
    <row r="60" spans="1:27" ht="15.75" thickBot="1" x14ac:dyDescent="0.3">
      <c r="A60" s="268" t="s">
        <v>194</v>
      </c>
      <c r="B60" s="269">
        <v>1531515</v>
      </c>
      <c r="C60" s="270">
        <f t="shared" ref="C60:C81" si="8">+B60/$B$60</f>
        <v>1</v>
      </c>
      <c r="D60" s="271">
        <v>1726220</v>
      </c>
      <c r="E60" s="270">
        <f>+D60/$D$60</f>
        <v>1</v>
      </c>
      <c r="F60" s="270">
        <f t="shared" ref="F60:F74" si="9">(D60-B60)/B60</f>
        <v>0.12713228404553661</v>
      </c>
      <c r="G60" s="269">
        <v>3066947</v>
      </c>
      <c r="H60" s="270">
        <f>+G60/$G$60</f>
        <v>1</v>
      </c>
      <c r="I60" s="271">
        <v>3583400</v>
      </c>
      <c r="J60" s="270">
        <f t="shared" ref="J60:J81" si="10">+I60/$I$60</f>
        <v>1</v>
      </c>
      <c r="K60" s="270">
        <f t="shared" ref="K60:K70" si="11">(I60-G60)/G60</f>
        <v>0.16839319362219171</v>
      </c>
      <c r="L60" s="269">
        <v>1531515</v>
      </c>
      <c r="M60" s="271">
        <v>1726220</v>
      </c>
      <c r="N60" s="269">
        <v>1535432</v>
      </c>
      <c r="O60" s="271">
        <v>1857180</v>
      </c>
      <c r="P60" s="269">
        <v>1626920</v>
      </c>
      <c r="Q60" s="271">
        <v>2099201</v>
      </c>
      <c r="R60" s="269">
        <f t="shared" ref="R60:R81" si="12">+W60-L60-N60-P60</f>
        <v>1787946</v>
      </c>
      <c r="S60" s="270">
        <f t="shared" ref="S60:S81" si="13">+R60/$R$60</f>
        <v>1</v>
      </c>
      <c r="T60" s="271">
        <f t="shared" ref="T60:T81" si="14">+Y60-M60-O60-Q60</f>
        <v>2262816</v>
      </c>
      <c r="U60" s="270">
        <f t="shared" ref="U60:U81" si="15">+T60/$T$60</f>
        <v>1</v>
      </c>
      <c r="V60" s="270">
        <f t="shared" ref="V60:V81" si="16">(T60-R60)/R60</f>
        <v>0.265595269655795</v>
      </c>
      <c r="W60" s="269">
        <v>6481813</v>
      </c>
      <c r="X60" s="270">
        <f t="shared" ref="X60:X81" si="17">+W60/$W$60</f>
        <v>1</v>
      </c>
      <c r="Y60" s="271">
        <v>7945417</v>
      </c>
      <c r="Z60" s="270">
        <f t="shared" ref="Z60:Z81" si="18">+Y60/$Y$60</f>
        <v>1</v>
      </c>
      <c r="AA60" s="270">
        <f t="shared" ref="AA60:AA81" si="19">(Y60-W60)/W60</f>
        <v>0.22580163914016033</v>
      </c>
    </row>
    <row r="61" spans="1:27" ht="15.75" thickBot="1" x14ac:dyDescent="0.3">
      <c r="A61" s="272" t="s">
        <v>195</v>
      </c>
      <c r="B61" s="274">
        <v>-842171</v>
      </c>
      <c r="C61" s="275">
        <f t="shared" si="8"/>
        <v>-0.54989405915057965</v>
      </c>
      <c r="D61" s="276">
        <v>-972781</v>
      </c>
      <c r="E61" s="275">
        <f t="shared" ref="E61:E87" si="20">+D61/$D$60</f>
        <v>-0.56353245820347353</v>
      </c>
      <c r="F61" s="275">
        <f t="shared" si="9"/>
        <v>0.15508726850010271</v>
      </c>
      <c r="G61" s="274">
        <v>-1698042</v>
      </c>
      <c r="H61" s="275">
        <f t="shared" ref="H61:H87" si="21">+G61/$G$60</f>
        <v>-0.55365873619596295</v>
      </c>
      <c r="I61" s="276">
        <v>-2017246</v>
      </c>
      <c r="J61" s="275">
        <f t="shared" si="10"/>
        <v>-0.56294189875537204</v>
      </c>
      <c r="K61" s="275">
        <f t="shared" si="11"/>
        <v>0.18798357166666077</v>
      </c>
      <c r="L61" s="274">
        <v>-842171</v>
      </c>
      <c r="M61" s="276">
        <v>-972781</v>
      </c>
      <c r="N61" s="274">
        <v>-855871</v>
      </c>
      <c r="O61" s="276">
        <v>-1044465</v>
      </c>
      <c r="P61" s="274">
        <v>-908503</v>
      </c>
      <c r="Q61" s="276">
        <v>-1187912</v>
      </c>
      <c r="R61" s="274">
        <f t="shared" si="12"/>
        <v>-1012172</v>
      </c>
      <c r="S61" s="275">
        <f t="shared" si="13"/>
        <v>-0.56610881984131511</v>
      </c>
      <c r="T61" s="276">
        <f t="shared" si="14"/>
        <v>-1302008</v>
      </c>
      <c r="U61" s="275">
        <f t="shared" si="15"/>
        <v>-0.57539278491932178</v>
      </c>
      <c r="V61" s="275">
        <f t="shared" si="16"/>
        <v>0.28635054121236314</v>
      </c>
      <c r="W61" s="274">
        <v>-3618717</v>
      </c>
      <c r="X61" s="275">
        <f t="shared" si="17"/>
        <v>-0.55828778152038638</v>
      </c>
      <c r="Y61" s="276">
        <v>-4507166</v>
      </c>
      <c r="Z61" s="275">
        <f t="shared" si="18"/>
        <v>-0.56726613593723274</v>
      </c>
      <c r="AA61" s="275">
        <f t="shared" si="19"/>
        <v>0.24551491592185851</v>
      </c>
    </row>
    <row r="62" spans="1:27" ht="15.75" thickBot="1" x14ac:dyDescent="0.3">
      <c r="A62" s="277" t="s">
        <v>196</v>
      </c>
      <c r="B62" s="278">
        <f>SUM(B60:B61)</f>
        <v>689344</v>
      </c>
      <c r="C62" s="279">
        <f t="shared" si="8"/>
        <v>0.45010594084942035</v>
      </c>
      <c r="D62" s="280">
        <f>SUM(D60:D61)</f>
        <v>753439</v>
      </c>
      <c r="E62" s="279">
        <f t="shared" si="20"/>
        <v>0.43646754179652653</v>
      </c>
      <c r="F62" s="279">
        <f t="shared" si="9"/>
        <v>9.297970244174171E-2</v>
      </c>
      <c r="G62" s="278">
        <f>SUM(G60:G61)</f>
        <v>1368905</v>
      </c>
      <c r="H62" s="279">
        <f t="shared" si="21"/>
        <v>0.44634126380403705</v>
      </c>
      <c r="I62" s="280">
        <f>SUM(I60:I61)</f>
        <v>1566154</v>
      </c>
      <c r="J62" s="279">
        <f t="shared" si="10"/>
        <v>0.43705810124462802</v>
      </c>
      <c r="K62" s="279">
        <f t="shared" si="11"/>
        <v>0.14409254111863132</v>
      </c>
      <c r="L62" s="278">
        <f t="shared" ref="L62:Q62" si="22">SUM(L60:L61)</f>
        <v>689344</v>
      </c>
      <c r="M62" s="280">
        <f t="shared" si="22"/>
        <v>753439</v>
      </c>
      <c r="N62" s="278">
        <f t="shared" si="22"/>
        <v>679561</v>
      </c>
      <c r="O62" s="280">
        <f t="shared" si="22"/>
        <v>812715</v>
      </c>
      <c r="P62" s="278">
        <f t="shared" si="22"/>
        <v>718417</v>
      </c>
      <c r="Q62" s="280">
        <f t="shared" si="22"/>
        <v>911289</v>
      </c>
      <c r="R62" s="278">
        <f t="shared" si="12"/>
        <v>775774</v>
      </c>
      <c r="S62" s="279">
        <f t="shared" si="13"/>
        <v>0.43389118015868489</v>
      </c>
      <c r="T62" s="280">
        <f t="shared" si="14"/>
        <v>960808</v>
      </c>
      <c r="U62" s="279">
        <f t="shared" si="15"/>
        <v>0.42460721508067822</v>
      </c>
      <c r="V62" s="279">
        <f t="shared" si="16"/>
        <v>0.23851534080801884</v>
      </c>
      <c r="W62" s="278">
        <f>SUM(W60:W61)</f>
        <v>2863096</v>
      </c>
      <c r="X62" s="279">
        <f t="shared" si="17"/>
        <v>0.44171221847961367</v>
      </c>
      <c r="Y62" s="280">
        <f>SUM(Y60:Y61)</f>
        <v>3438251</v>
      </c>
      <c r="Z62" s="279">
        <f t="shared" si="18"/>
        <v>0.43273386406276726</v>
      </c>
      <c r="AA62" s="279">
        <f t="shared" si="19"/>
        <v>0.20088568458759329</v>
      </c>
    </row>
    <row r="63" spans="1:27" ht="15.75" thickBot="1" x14ac:dyDescent="0.3">
      <c r="A63" s="272" t="s">
        <v>7</v>
      </c>
      <c r="B63" s="274">
        <v>-84830</v>
      </c>
      <c r="C63" s="275">
        <f t="shared" si="8"/>
        <v>-5.5389597881835957E-2</v>
      </c>
      <c r="D63" s="276">
        <v>-96265</v>
      </c>
      <c r="E63" s="275">
        <f t="shared" si="20"/>
        <v>-5.5766356547832838E-2</v>
      </c>
      <c r="F63" s="275">
        <f t="shared" si="9"/>
        <v>0.13479900978427442</v>
      </c>
      <c r="G63" s="274">
        <v>-163253</v>
      </c>
      <c r="H63" s="275">
        <f t="shared" si="21"/>
        <v>-5.3229808014289129E-2</v>
      </c>
      <c r="I63" s="276">
        <v>-183083</v>
      </c>
      <c r="J63" s="275">
        <f t="shared" si="10"/>
        <v>-5.1091979684098898E-2</v>
      </c>
      <c r="K63" s="275">
        <f t="shared" si="11"/>
        <v>0.12146790564338787</v>
      </c>
      <c r="L63" s="274">
        <v>-84830</v>
      </c>
      <c r="M63" s="276">
        <v>-96265</v>
      </c>
      <c r="N63" s="274">
        <v>-78423</v>
      </c>
      <c r="O63" s="276">
        <v>-86818</v>
      </c>
      <c r="P63" s="274">
        <v>-81372</v>
      </c>
      <c r="Q63" s="276">
        <v>-95398</v>
      </c>
      <c r="R63" s="274">
        <f t="shared" si="12"/>
        <v>-83743</v>
      </c>
      <c r="S63" s="275">
        <f t="shared" si="13"/>
        <v>-4.6837544310622356E-2</v>
      </c>
      <c r="T63" s="276">
        <f t="shared" si="14"/>
        <v>-93329</v>
      </c>
      <c r="U63" s="275">
        <f t="shared" si="15"/>
        <v>-4.1244626164920167E-2</v>
      </c>
      <c r="V63" s="275">
        <f t="shared" si="16"/>
        <v>0.11446926907323597</v>
      </c>
      <c r="W63" s="274">
        <v>-328368</v>
      </c>
      <c r="X63" s="275">
        <f t="shared" si="17"/>
        <v>-5.065990024704508E-2</v>
      </c>
      <c r="Y63" s="276">
        <v>-371810</v>
      </c>
      <c r="Z63" s="275">
        <f t="shared" si="18"/>
        <v>-4.6795530052104253E-2</v>
      </c>
      <c r="AA63" s="275">
        <f t="shared" si="19"/>
        <v>0.13229669151683476</v>
      </c>
    </row>
    <row r="64" spans="1:27" ht="15.75" thickBot="1" x14ac:dyDescent="0.3">
      <c r="A64" s="272" t="s">
        <v>8</v>
      </c>
      <c r="B64" s="274">
        <v>-382688</v>
      </c>
      <c r="C64" s="275">
        <f t="shared" si="8"/>
        <v>-0.24987545012618226</v>
      </c>
      <c r="D64" s="276">
        <v>-436316</v>
      </c>
      <c r="E64" s="275">
        <f t="shared" si="20"/>
        <v>-0.25275804937956925</v>
      </c>
      <c r="F64" s="275">
        <f t="shared" si="9"/>
        <v>0.14013504473618196</v>
      </c>
      <c r="G64" s="274">
        <v>-786304</v>
      </c>
      <c r="H64" s="275">
        <f t="shared" si="21"/>
        <v>-0.2563800417809633</v>
      </c>
      <c r="I64" s="276">
        <v>-956200</v>
      </c>
      <c r="J64" s="275">
        <f t="shared" si="10"/>
        <v>-0.26684154713400682</v>
      </c>
      <c r="K64" s="275">
        <f t="shared" si="11"/>
        <v>0.21606910304411525</v>
      </c>
      <c r="L64" s="274">
        <v>-382688</v>
      </c>
      <c r="M64" s="276">
        <v>-436316</v>
      </c>
      <c r="N64" s="274">
        <v>-403616</v>
      </c>
      <c r="O64" s="276">
        <v>-519884</v>
      </c>
      <c r="P64" s="274">
        <v>-430108</v>
      </c>
      <c r="Q64" s="276">
        <v>-561107</v>
      </c>
      <c r="R64" s="274">
        <f t="shared" si="12"/>
        <v>-492903</v>
      </c>
      <c r="S64" s="275">
        <f t="shared" si="13"/>
        <v>-0.27568114473255906</v>
      </c>
      <c r="T64" s="276">
        <f t="shared" si="14"/>
        <v>-627195</v>
      </c>
      <c r="U64" s="275">
        <f t="shared" si="15"/>
        <v>-0.27717454711297779</v>
      </c>
      <c r="V64" s="275">
        <f t="shared" si="16"/>
        <v>0.27245117193443741</v>
      </c>
      <c r="W64" s="274">
        <v>-1709315</v>
      </c>
      <c r="X64" s="275">
        <f t="shared" si="17"/>
        <v>-0.26370939735533871</v>
      </c>
      <c r="Y64" s="276">
        <v>-2144502</v>
      </c>
      <c r="Z64" s="275">
        <f t="shared" si="18"/>
        <v>-0.26990427311744619</v>
      </c>
      <c r="AA64" s="275">
        <f t="shared" si="19"/>
        <v>0.25459730944852177</v>
      </c>
    </row>
    <row r="65" spans="1:27" ht="15.75" thickBot="1" x14ac:dyDescent="0.3">
      <c r="A65" s="272" t="s">
        <v>84</v>
      </c>
      <c r="B65" s="274">
        <v>-29293</v>
      </c>
      <c r="C65" s="275">
        <f t="shared" si="8"/>
        <v>-1.9126812339415548E-2</v>
      </c>
      <c r="D65" s="276">
        <v>-32449</v>
      </c>
      <c r="E65" s="275">
        <f t="shared" si="20"/>
        <v>-1.8797719873480785E-2</v>
      </c>
      <c r="F65" s="275">
        <f t="shared" si="9"/>
        <v>0.10773905028505104</v>
      </c>
      <c r="G65" s="274">
        <v>-56598</v>
      </c>
      <c r="H65" s="275">
        <f t="shared" si="21"/>
        <v>-1.8454182612219906E-2</v>
      </c>
      <c r="I65" s="276">
        <v>-64633</v>
      </c>
      <c r="J65" s="275">
        <f t="shared" si="10"/>
        <v>-1.8036780711056539E-2</v>
      </c>
      <c r="K65" s="275">
        <f t="shared" si="11"/>
        <v>0.14196614721368248</v>
      </c>
      <c r="L65" s="274">
        <v>-29293</v>
      </c>
      <c r="M65" s="276">
        <v>-32449</v>
      </c>
      <c r="N65" s="274">
        <v>-27305</v>
      </c>
      <c r="O65" s="276">
        <v>-32184</v>
      </c>
      <c r="P65" s="274">
        <v>-31296</v>
      </c>
      <c r="Q65" s="276">
        <v>-31887</v>
      </c>
      <c r="R65" s="274">
        <f t="shared" si="12"/>
        <v>-47197</v>
      </c>
      <c r="S65" s="275">
        <f t="shared" si="13"/>
        <v>-2.6397329673267536E-2</v>
      </c>
      <c r="T65" s="276">
        <f t="shared" si="14"/>
        <v>-40926</v>
      </c>
      <c r="U65" s="275">
        <f t="shared" si="15"/>
        <v>-1.8086313690551949E-2</v>
      </c>
      <c r="V65" s="275">
        <f t="shared" si="16"/>
        <v>-0.13286861453058457</v>
      </c>
      <c r="W65" s="274">
        <v>-135091</v>
      </c>
      <c r="X65" s="275">
        <f t="shared" si="17"/>
        <v>-2.0841545413297174E-2</v>
      </c>
      <c r="Y65" s="276">
        <v>-137446</v>
      </c>
      <c r="Z65" s="275">
        <f t="shared" si="18"/>
        <v>-1.7298777395824538E-2</v>
      </c>
      <c r="AA65" s="275">
        <f t="shared" si="19"/>
        <v>1.7432693517702883E-2</v>
      </c>
    </row>
    <row r="66" spans="1:27" ht="15.75" thickBot="1" x14ac:dyDescent="0.3">
      <c r="A66" s="272" t="s">
        <v>197</v>
      </c>
      <c r="B66" s="274">
        <v>1077</v>
      </c>
      <c r="C66" s="275">
        <f t="shared" si="8"/>
        <v>7.0322523775477228E-4</v>
      </c>
      <c r="D66" s="276">
        <v>8166</v>
      </c>
      <c r="E66" s="275">
        <f t="shared" si="20"/>
        <v>4.730567366847795E-3</v>
      </c>
      <c r="F66" s="275">
        <f t="shared" si="9"/>
        <v>6.5821727019498608</v>
      </c>
      <c r="G66" s="274">
        <v>1961</v>
      </c>
      <c r="H66" s="275">
        <f t="shared" si="21"/>
        <v>6.3939807241533686E-4</v>
      </c>
      <c r="I66" s="276">
        <v>7880</v>
      </c>
      <c r="J66" s="275">
        <f t="shared" si="10"/>
        <v>2.1990288552771113E-3</v>
      </c>
      <c r="K66" s="275">
        <f t="shared" si="11"/>
        <v>3.0183579806221315</v>
      </c>
      <c r="L66" s="274">
        <v>1077</v>
      </c>
      <c r="M66" s="276">
        <v>8166</v>
      </c>
      <c r="N66" s="274">
        <v>884</v>
      </c>
      <c r="O66" s="276">
        <v>-286</v>
      </c>
      <c r="P66" s="274">
        <v>1803</v>
      </c>
      <c r="Q66" s="276">
        <v>-4707</v>
      </c>
      <c r="R66" s="274">
        <f t="shared" si="12"/>
        <v>7642</v>
      </c>
      <c r="S66" s="275">
        <f t="shared" si="13"/>
        <v>4.2741783029241372E-3</v>
      </c>
      <c r="T66" s="276">
        <f t="shared" si="14"/>
        <v>-554</v>
      </c>
      <c r="U66" s="275">
        <f t="shared" si="15"/>
        <v>-2.4482768373566388E-4</v>
      </c>
      <c r="V66" s="275">
        <f t="shared" si="16"/>
        <v>-1.0724941114891389</v>
      </c>
      <c r="W66" s="274">
        <v>11406</v>
      </c>
      <c r="X66" s="275">
        <f t="shared" si="17"/>
        <v>1.7596928513673566E-3</v>
      </c>
      <c r="Y66" s="276">
        <v>2619</v>
      </c>
      <c r="Z66" s="275">
        <f t="shared" si="18"/>
        <v>3.2962398323461186E-4</v>
      </c>
      <c r="AA66" s="275">
        <f t="shared" si="19"/>
        <v>-0.7703840084166228</v>
      </c>
    </row>
    <row r="67" spans="1:27" ht="15.75" thickBot="1" x14ac:dyDescent="0.3">
      <c r="A67" s="272" t="s">
        <v>144</v>
      </c>
      <c r="B67" s="274">
        <v>2033</v>
      </c>
      <c r="C67" s="275">
        <f t="shared" si="8"/>
        <v>1.327443740348609E-3</v>
      </c>
      <c r="D67" s="276">
        <v>2206</v>
      </c>
      <c r="E67" s="275">
        <f t="shared" si="20"/>
        <v>1.2779367635643198E-3</v>
      </c>
      <c r="F67" s="275">
        <f t="shared" si="9"/>
        <v>8.5095917363502208E-2</v>
      </c>
      <c r="G67" s="274">
        <v>-7505</v>
      </c>
      <c r="H67" s="275">
        <f t="shared" si="21"/>
        <v>-2.4470589155926072E-3</v>
      </c>
      <c r="I67" s="276">
        <v>2090</v>
      </c>
      <c r="J67" s="275">
        <f t="shared" si="10"/>
        <v>5.8324496288441143E-4</v>
      </c>
      <c r="K67" s="275">
        <f t="shared" si="11"/>
        <v>-1.2784810126582278</v>
      </c>
      <c r="L67" s="274">
        <v>2033</v>
      </c>
      <c r="M67" s="276">
        <v>2206</v>
      </c>
      <c r="N67" s="274">
        <v>-9538</v>
      </c>
      <c r="O67" s="276">
        <v>-116</v>
      </c>
      <c r="P67" s="274">
        <v>-8862</v>
      </c>
      <c r="Q67" s="276">
        <v>-3726</v>
      </c>
      <c r="R67" s="274">
        <f t="shared" si="12"/>
        <v>-9258</v>
      </c>
      <c r="S67" s="275">
        <f t="shared" si="13"/>
        <v>-5.1780087318073365E-3</v>
      </c>
      <c r="T67" s="276">
        <f t="shared" si="14"/>
        <v>-2791</v>
      </c>
      <c r="U67" s="275">
        <f t="shared" si="15"/>
        <v>-1.2334188904444727E-3</v>
      </c>
      <c r="V67" s="275">
        <f t="shared" si="16"/>
        <v>-0.69853100021602943</v>
      </c>
      <c r="W67" s="274">
        <v>-25625</v>
      </c>
      <c r="X67" s="275">
        <f t="shared" si="17"/>
        <v>-3.9533692193835278E-3</v>
      </c>
      <c r="Y67" s="276">
        <v>-4427</v>
      </c>
      <c r="Z67" s="275">
        <f t="shared" si="18"/>
        <v>-5.5717654592578336E-4</v>
      </c>
      <c r="AA67" s="275">
        <f t="shared" si="19"/>
        <v>-0.82723902439024388</v>
      </c>
    </row>
    <row r="68" spans="1:27" ht="15.75" thickBot="1" x14ac:dyDescent="0.3">
      <c r="A68" s="268" t="s">
        <v>198</v>
      </c>
      <c r="B68" s="269">
        <f>SUM(B62:B67)</f>
        <v>195643</v>
      </c>
      <c r="C68" s="270">
        <f t="shared" si="8"/>
        <v>0.12774474948008999</v>
      </c>
      <c r="D68" s="271">
        <f>SUM(D62:D67)</f>
        <v>198781</v>
      </c>
      <c r="E68" s="270">
        <f t="shared" si="20"/>
        <v>0.11515392012605577</v>
      </c>
      <c r="F68" s="270">
        <f t="shared" si="9"/>
        <v>1.6039418737189677E-2</v>
      </c>
      <c r="G68" s="269">
        <f>SUM(G62:G67)</f>
        <v>357206</v>
      </c>
      <c r="H68" s="270">
        <f t="shared" si="21"/>
        <v>0.11646957055338746</v>
      </c>
      <c r="I68" s="271">
        <f>SUM(I62:I67)</f>
        <v>372208</v>
      </c>
      <c r="J68" s="270">
        <f t="shared" si="10"/>
        <v>0.10387006753362728</v>
      </c>
      <c r="K68" s="270">
        <f t="shared" si="11"/>
        <v>4.1998174722709024E-2</v>
      </c>
      <c r="L68" s="269">
        <f t="shared" ref="L68:Q68" si="23">SUM(L62:L67)</f>
        <v>195643</v>
      </c>
      <c r="M68" s="271">
        <f t="shared" si="23"/>
        <v>198781</v>
      </c>
      <c r="N68" s="269">
        <f t="shared" si="23"/>
        <v>161563</v>
      </c>
      <c r="O68" s="271">
        <f t="shared" si="23"/>
        <v>173427</v>
      </c>
      <c r="P68" s="269">
        <f t="shared" si="23"/>
        <v>168582</v>
      </c>
      <c r="Q68" s="271">
        <f t="shared" si="23"/>
        <v>214464</v>
      </c>
      <c r="R68" s="269">
        <f t="shared" si="12"/>
        <v>150315</v>
      </c>
      <c r="S68" s="270">
        <f t="shared" si="13"/>
        <v>8.4071331013352749E-2</v>
      </c>
      <c r="T68" s="271">
        <f t="shared" si="14"/>
        <v>196013</v>
      </c>
      <c r="U68" s="270">
        <f t="shared" si="15"/>
        <v>8.6623481538048164E-2</v>
      </c>
      <c r="V68" s="270">
        <f t="shared" si="16"/>
        <v>0.30401490203905135</v>
      </c>
      <c r="W68" s="269">
        <f>SUM(W62:W67)</f>
        <v>676103</v>
      </c>
      <c r="X68" s="270">
        <f t="shared" si="17"/>
        <v>0.10430769909591653</v>
      </c>
      <c r="Y68" s="271">
        <f>SUM(Y62:Y67)</f>
        <v>782685</v>
      </c>
      <c r="Z68" s="270">
        <f t="shared" si="18"/>
        <v>9.8507730934701096E-2</v>
      </c>
      <c r="AA68" s="270">
        <f t="shared" si="19"/>
        <v>0.15764166110784894</v>
      </c>
    </row>
    <row r="69" spans="1:27" ht="15.75" thickBot="1" x14ac:dyDescent="0.3">
      <c r="A69" s="272" t="s">
        <v>51</v>
      </c>
      <c r="B69" s="274">
        <v>3334</v>
      </c>
      <c r="C69" s="275">
        <f t="shared" si="8"/>
        <v>2.1769293803847825E-3</v>
      </c>
      <c r="D69" s="276">
        <v>3035</v>
      </c>
      <c r="E69" s="275">
        <f t="shared" si="20"/>
        <v>1.7581768256653267E-3</v>
      </c>
      <c r="F69" s="275">
        <f t="shared" si="9"/>
        <v>-8.9682063587282548E-2</v>
      </c>
      <c r="G69" s="274">
        <v>6142</v>
      </c>
      <c r="H69" s="275">
        <f t="shared" si="21"/>
        <v>2.0026430192631303E-3</v>
      </c>
      <c r="I69" s="276">
        <v>4956</v>
      </c>
      <c r="J69" s="275">
        <f t="shared" si="10"/>
        <v>1.3830440363900207E-3</v>
      </c>
      <c r="K69" s="275">
        <f t="shared" si="11"/>
        <v>-0.19309671116900032</v>
      </c>
      <c r="L69" s="274">
        <v>3334</v>
      </c>
      <c r="M69" s="276">
        <v>3035</v>
      </c>
      <c r="N69" s="274">
        <v>2808</v>
      </c>
      <c r="O69" s="276">
        <v>1921</v>
      </c>
      <c r="P69" s="274">
        <v>1674</v>
      </c>
      <c r="Q69" s="276">
        <v>2291</v>
      </c>
      <c r="R69" s="274">
        <f t="shared" si="12"/>
        <v>4056</v>
      </c>
      <c r="S69" s="275">
        <f t="shared" si="13"/>
        <v>2.2685248883355536E-3</v>
      </c>
      <c r="T69" s="276">
        <f t="shared" si="14"/>
        <v>2581</v>
      </c>
      <c r="U69" s="275">
        <f t="shared" si="15"/>
        <v>1.1406141727829395E-3</v>
      </c>
      <c r="V69" s="275">
        <f t="shared" si="16"/>
        <v>-0.36365877712031558</v>
      </c>
      <c r="W69" s="274">
        <v>11872</v>
      </c>
      <c r="X69" s="275">
        <f t="shared" si="17"/>
        <v>1.8315863169764384E-3</v>
      </c>
      <c r="Y69" s="276">
        <v>9828</v>
      </c>
      <c r="Z69" s="275">
        <f t="shared" si="18"/>
        <v>1.2369394834783373E-3</v>
      </c>
      <c r="AA69" s="275">
        <f t="shared" si="19"/>
        <v>-0.17216981132075471</v>
      </c>
    </row>
    <row r="70" spans="1:27" ht="15.75" thickBot="1" x14ac:dyDescent="0.3">
      <c r="A70" s="272" t="s">
        <v>11</v>
      </c>
      <c r="B70" s="274">
        <v>-40751</v>
      </c>
      <c r="C70" s="275">
        <f t="shared" si="8"/>
        <v>-2.6608293095398999E-2</v>
      </c>
      <c r="D70" s="276">
        <v>-50910</v>
      </c>
      <c r="E70" s="275">
        <f t="shared" si="20"/>
        <v>-2.9492185237107667E-2</v>
      </c>
      <c r="F70" s="275">
        <f t="shared" si="9"/>
        <v>0.24929449584059288</v>
      </c>
      <c r="G70" s="274">
        <v>-78242</v>
      </c>
      <c r="H70" s="275">
        <f t="shared" si="21"/>
        <v>-2.5511363580785713E-2</v>
      </c>
      <c r="I70" s="276">
        <v>-110271</v>
      </c>
      <c r="J70" s="275">
        <f t="shared" si="10"/>
        <v>-3.0772729809677959E-2</v>
      </c>
      <c r="K70" s="275">
        <f t="shared" si="11"/>
        <v>0.40935814524168607</v>
      </c>
      <c r="L70" s="274">
        <v>-40751</v>
      </c>
      <c r="M70" s="276">
        <v>-50910</v>
      </c>
      <c r="N70" s="274">
        <v>-37491</v>
      </c>
      <c r="O70" s="276">
        <v>-59361</v>
      </c>
      <c r="P70" s="274">
        <v>-43700</v>
      </c>
      <c r="Q70" s="276">
        <v>-60813</v>
      </c>
      <c r="R70" s="274">
        <f t="shared" si="12"/>
        <v>-48706</v>
      </c>
      <c r="S70" s="275">
        <f t="shared" si="13"/>
        <v>-2.7241314894297701E-2</v>
      </c>
      <c r="T70" s="276">
        <f t="shared" si="14"/>
        <v>-63812</v>
      </c>
      <c r="U70" s="275">
        <f t="shared" si="15"/>
        <v>-2.8200260206751235E-2</v>
      </c>
      <c r="V70" s="275">
        <f t="shared" si="16"/>
        <v>0.31014659384880711</v>
      </c>
      <c r="W70" s="274">
        <v>-170648</v>
      </c>
      <c r="X70" s="275">
        <f t="shared" si="17"/>
        <v>-2.6327201972657959E-2</v>
      </c>
      <c r="Y70" s="276">
        <v>-234896</v>
      </c>
      <c r="Z70" s="275">
        <f t="shared" si="18"/>
        <v>-2.956370949441672E-2</v>
      </c>
      <c r="AA70" s="275">
        <f t="shared" si="19"/>
        <v>0.37649430406450707</v>
      </c>
    </row>
    <row r="71" spans="1:27" ht="15.75" thickBot="1" x14ac:dyDescent="0.3">
      <c r="A71" s="272" t="s">
        <v>199</v>
      </c>
      <c r="B71" s="274">
        <v>43363</v>
      </c>
      <c r="C71" s="275">
        <f t="shared" si="8"/>
        <v>2.8313793857716051E-2</v>
      </c>
      <c r="D71" s="276">
        <v>46468</v>
      </c>
      <c r="E71" s="275">
        <f t="shared" si="20"/>
        <v>2.6918932696875255E-2</v>
      </c>
      <c r="F71" s="275">
        <f t="shared" si="9"/>
        <v>7.1604824389456451E-2</v>
      </c>
      <c r="G71" s="274">
        <v>43363</v>
      </c>
      <c r="H71" s="275">
        <f t="shared" si="21"/>
        <v>1.4138816223430011E-2</v>
      </c>
      <c r="I71" s="276">
        <v>46962</v>
      </c>
      <c r="J71" s="275">
        <f t="shared" si="10"/>
        <v>1.3105430596640063E-2</v>
      </c>
      <c r="K71" s="275" t="s">
        <v>131</v>
      </c>
      <c r="L71" s="274">
        <v>43363</v>
      </c>
      <c r="M71" s="276">
        <v>46468</v>
      </c>
      <c r="N71" s="274">
        <v>0</v>
      </c>
      <c r="O71" s="276">
        <v>494</v>
      </c>
      <c r="P71" s="274">
        <v>3</v>
      </c>
      <c r="Q71" s="276">
        <v>0</v>
      </c>
      <c r="R71" s="274">
        <f t="shared" si="12"/>
        <v>29</v>
      </c>
      <c r="S71" s="275">
        <f t="shared" si="13"/>
        <v>1.6219729231196019E-5</v>
      </c>
      <c r="T71" s="276">
        <f t="shared" si="14"/>
        <v>54</v>
      </c>
      <c r="U71" s="275">
        <f t="shared" si="15"/>
        <v>2.3864070255822834E-5</v>
      </c>
      <c r="V71" s="275">
        <f t="shared" si="16"/>
        <v>0.86206896551724133</v>
      </c>
      <c r="W71" s="274">
        <v>43395</v>
      </c>
      <c r="X71" s="275">
        <f t="shared" si="17"/>
        <v>6.6948861375667581E-3</v>
      </c>
      <c r="Y71" s="276">
        <v>47016</v>
      </c>
      <c r="Z71" s="275">
        <f t="shared" si="18"/>
        <v>5.9173734997168808E-3</v>
      </c>
      <c r="AA71" s="275">
        <f t="shared" si="19"/>
        <v>8.3442792948496367E-2</v>
      </c>
    </row>
    <row r="72" spans="1:27" ht="15.75" thickBot="1" x14ac:dyDescent="0.3">
      <c r="A72" s="272" t="s">
        <v>200</v>
      </c>
      <c r="B72" s="274">
        <v>6535</v>
      </c>
      <c r="C72" s="275">
        <f t="shared" si="8"/>
        <v>4.2670166469149827E-3</v>
      </c>
      <c r="D72" s="276">
        <v>5949</v>
      </c>
      <c r="E72" s="275">
        <f t="shared" si="20"/>
        <v>3.4462582984787571E-3</v>
      </c>
      <c r="F72" s="275">
        <f t="shared" si="9"/>
        <v>-8.9671002295332827E-2</v>
      </c>
      <c r="G72" s="274">
        <v>-997</v>
      </c>
      <c r="H72" s="275">
        <f t="shared" si="21"/>
        <v>-3.2507897919331505E-4</v>
      </c>
      <c r="I72" s="276">
        <v>12914</v>
      </c>
      <c r="J72" s="275">
        <f t="shared" si="10"/>
        <v>3.6038399285594686E-3</v>
      </c>
      <c r="K72" s="275">
        <f t="shared" ref="K72:K81" si="24">(I72-G72)/G72</f>
        <v>-13.952858575727182</v>
      </c>
      <c r="L72" s="274">
        <v>6535</v>
      </c>
      <c r="M72" s="276">
        <v>5949</v>
      </c>
      <c r="N72" s="274">
        <v>-7532</v>
      </c>
      <c r="O72" s="276">
        <v>6965</v>
      </c>
      <c r="P72" s="274">
        <v>-2044</v>
      </c>
      <c r="Q72" s="276">
        <v>1857</v>
      </c>
      <c r="R72" s="274">
        <f t="shared" si="12"/>
        <v>21520</v>
      </c>
      <c r="S72" s="275">
        <f t="shared" si="13"/>
        <v>1.2036157691563392E-2</v>
      </c>
      <c r="T72" s="276">
        <f t="shared" si="14"/>
        <v>12410</v>
      </c>
      <c r="U72" s="275">
        <f t="shared" si="15"/>
        <v>5.4843168865696549E-3</v>
      </c>
      <c r="V72" s="275">
        <f t="shared" si="16"/>
        <v>-0.42332713754646839</v>
      </c>
      <c r="W72" s="274">
        <v>18479</v>
      </c>
      <c r="X72" s="275">
        <f t="shared" si="17"/>
        <v>2.8508998948288079E-3</v>
      </c>
      <c r="Y72" s="276">
        <v>27181</v>
      </c>
      <c r="Z72" s="275">
        <f t="shared" si="18"/>
        <v>3.4209658221840337E-3</v>
      </c>
      <c r="AA72" s="275">
        <f t="shared" si="19"/>
        <v>0.4709129281887548</v>
      </c>
    </row>
    <row r="73" spans="1:27" ht="15.75" thickBot="1" x14ac:dyDescent="0.3">
      <c r="A73" s="272" t="s">
        <v>201</v>
      </c>
      <c r="B73" s="274">
        <v>-6192</v>
      </c>
      <c r="C73" s="275">
        <f t="shared" si="8"/>
        <v>-4.0430554059215874E-3</v>
      </c>
      <c r="D73" s="276">
        <v>-4194</v>
      </c>
      <c r="E73" s="275">
        <f t="shared" si="20"/>
        <v>-2.4295860319078679E-3</v>
      </c>
      <c r="F73" s="275">
        <f t="shared" si="9"/>
        <v>-0.32267441860465118</v>
      </c>
      <c r="G73" s="274">
        <v>-8353</v>
      </c>
      <c r="H73" s="275">
        <f t="shared" si="21"/>
        <v>-2.72355537933978E-3</v>
      </c>
      <c r="I73" s="276">
        <v>-7366</v>
      </c>
      <c r="J73" s="275">
        <f t="shared" si="10"/>
        <v>-2.055589663448122E-3</v>
      </c>
      <c r="K73" s="275">
        <f t="shared" si="24"/>
        <v>-0.11816113971028373</v>
      </c>
      <c r="L73" s="274">
        <v>-6192</v>
      </c>
      <c r="M73" s="276">
        <v>-4194</v>
      </c>
      <c r="N73" s="274">
        <v>-2161</v>
      </c>
      <c r="O73" s="276">
        <v>-3172</v>
      </c>
      <c r="P73" s="274">
        <v>-3512</v>
      </c>
      <c r="Q73" s="276">
        <v>-10010</v>
      </c>
      <c r="R73" s="274">
        <f t="shared" si="12"/>
        <v>-906</v>
      </c>
      <c r="S73" s="275">
        <f t="shared" si="13"/>
        <v>-5.0672671322288254E-4</v>
      </c>
      <c r="T73" s="276">
        <f t="shared" si="14"/>
        <v>-14784</v>
      </c>
      <c r="U73" s="275">
        <f t="shared" si="15"/>
        <v>-6.5334521233719398E-3</v>
      </c>
      <c r="V73" s="275">
        <f t="shared" si="16"/>
        <v>15.317880794701987</v>
      </c>
      <c r="W73" s="274">
        <v>-12771</v>
      </c>
      <c r="X73" s="275">
        <f t="shared" si="17"/>
        <v>-1.9702820800291524E-3</v>
      </c>
      <c r="Y73" s="276">
        <v>-32160</v>
      </c>
      <c r="Z73" s="275">
        <f t="shared" si="18"/>
        <v>-4.0476163806128741E-3</v>
      </c>
      <c r="AA73" s="275">
        <f t="shared" si="19"/>
        <v>1.5182053089029832</v>
      </c>
    </row>
    <row r="74" spans="1:27" ht="15.75" thickBot="1" x14ac:dyDescent="0.3">
      <c r="A74" s="272" t="s">
        <v>202</v>
      </c>
      <c r="B74" s="273">
        <v>1468</v>
      </c>
      <c r="C74" s="275">
        <f t="shared" si="8"/>
        <v>9.5852799352275358E-4</v>
      </c>
      <c r="D74" s="281">
        <v>390</v>
      </c>
      <c r="E74" s="275">
        <f t="shared" si="20"/>
        <v>2.2592717034908643E-4</v>
      </c>
      <c r="F74" s="275">
        <f t="shared" si="9"/>
        <v>-0.73433242506811991</v>
      </c>
      <c r="G74" s="273">
        <v>2828</v>
      </c>
      <c r="H74" s="275">
        <f t="shared" si="21"/>
        <v>9.2208962202476922E-4</v>
      </c>
      <c r="I74" s="281">
        <v>1148</v>
      </c>
      <c r="J74" s="275">
        <f t="shared" si="10"/>
        <v>3.2036613272311211E-4</v>
      </c>
      <c r="K74" s="275">
        <f t="shared" si="24"/>
        <v>-0.59405940594059403</v>
      </c>
      <c r="L74" s="273">
        <v>1468</v>
      </c>
      <c r="M74" s="281">
        <v>390</v>
      </c>
      <c r="N74" s="273">
        <v>1360</v>
      </c>
      <c r="O74" s="281">
        <v>758</v>
      </c>
      <c r="P74" s="273">
        <v>888</v>
      </c>
      <c r="Q74" s="281">
        <v>703</v>
      </c>
      <c r="R74" s="273">
        <f t="shared" si="12"/>
        <v>-494</v>
      </c>
      <c r="S74" s="275">
        <f t="shared" si="13"/>
        <v>-2.762946979383046E-4</v>
      </c>
      <c r="T74" s="281">
        <f t="shared" si="14"/>
        <v>3077</v>
      </c>
      <c r="U74" s="275">
        <f t="shared" si="15"/>
        <v>1.3598100773549418E-3</v>
      </c>
      <c r="V74" s="275">
        <f t="shared" si="16"/>
        <v>-7.2287449392712553</v>
      </c>
      <c r="W74" s="273">
        <v>3222</v>
      </c>
      <c r="X74" s="275">
        <f t="shared" si="17"/>
        <v>4.9708314633575509E-4</v>
      </c>
      <c r="Y74" s="281">
        <v>4928</v>
      </c>
      <c r="Z74" s="275">
        <f t="shared" si="18"/>
        <v>6.2023176379540556E-4</v>
      </c>
      <c r="AA74" s="275">
        <f t="shared" si="19"/>
        <v>0.52948479205462451</v>
      </c>
    </row>
    <row r="75" spans="1:27" ht="15.75" thickBot="1" x14ac:dyDescent="0.3">
      <c r="A75" s="272" t="s">
        <v>203</v>
      </c>
      <c r="B75" s="273">
        <v>3206</v>
      </c>
      <c r="C75" s="275">
        <f t="shared" si="8"/>
        <v>2.0933520076525532E-3</v>
      </c>
      <c r="D75" s="281">
        <v>0</v>
      </c>
      <c r="E75" s="275" t="s">
        <v>131</v>
      </c>
      <c r="F75" s="275" t="s">
        <v>131</v>
      </c>
      <c r="G75" s="273">
        <v>3763</v>
      </c>
      <c r="H75" s="275">
        <f t="shared" si="21"/>
        <v>1.2269530578780787E-3</v>
      </c>
      <c r="I75" s="281">
        <v>62</v>
      </c>
      <c r="J75" s="275">
        <f t="shared" si="10"/>
        <v>1.7302003683652397E-5</v>
      </c>
      <c r="K75" s="275">
        <f t="shared" si="24"/>
        <v>-0.98352378421472231</v>
      </c>
      <c r="L75" s="273">
        <v>3206</v>
      </c>
      <c r="M75" s="281">
        <v>0</v>
      </c>
      <c r="N75" s="273">
        <v>557</v>
      </c>
      <c r="O75" s="281">
        <v>62</v>
      </c>
      <c r="P75" s="273">
        <v>0</v>
      </c>
      <c r="Q75" s="281">
        <v>20</v>
      </c>
      <c r="R75" s="273">
        <f t="shared" si="12"/>
        <v>3262</v>
      </c>
      <c r="S75" s="275">
        <f t="shared" si="13"/>
        <v>1.8244398880055662E-3</v>
      </c>
      <c r="T75" s="281">
        <f t="shared" si="14"/>
        <v>-370</v>
      </c>
      <c r="U75" s="275">
        <f t="shared" si="15"/>
        <v>-1.6351307397508238E-4</v>
      </c>
      <c r="V75" s="275">
        <f t="shared" si="16"/>
        <v>-1.1134273451870018</v>
      </c>
      <c r="W75" s="273">
        <v>7025</v>
      </c>
      <c r="X75" s="275">
        <f t="shared" si="17"/>
        <v>1.0838017079480694E-3</v>
      </c>
      <c r="Y75" s="281">
        <v>-288</v>
      </c>
      <c r="Z75" s="275">
        <f t="shared" si="18"/>
        <v>-3.6247310871160066E-5</v>
      </c>
      <c r="AA75" s="275">
        <f t="shared" si="19"/>
        <v>-1.0409964412811388</v>
      </c>
    </row>
    <row r="76" spans="1:27" ht="15.75" thickBot="1" x14ac:dyDescent="0.3">
      <c r="A76" s="277" t="s">
        <v>204</v>
      </c>
      <c r="B76" s="278">
        <f>SUM(B68:B75)</f>
        <v>206606</v>
      </c>
      <c r="C76" s="279">
        <f t="shared" si="8"/>
        <v>0.1349030208649605</v>
      </c>
      <c r="D76" s="280">
        <f>SUM(D68:D75)</f>
        <v>199519</v>
      </c>
      <c r="E76" s="279">
        <f t="shared" si="20"/>
        <v>0.11558144384840865</v>
      </c>
      <c r="F76" s="279">
        <f t="shared" ref="F76:F81" si="25">(D76-B76)/B76</f>
        <v>-3.4302004782048923E-2</v>
      </c>
      <c r="G76" s="278">
        <f>SUM(G68:G75)</f>
        <v>325710</v>
      </c>
      <c r="H76" s="279">
        <f t="shared" si="21"/>
        <v>0.10620007453666463</v>
      </c>
      <c r="I76" s="280">
        <f>SUM(I68:I75)</f>
        <v>320613</v>
      </c>
      <c r="J76" s="279">
        <f t="shared" si="10"/>
        <v>8.9471730758497514E-2</v>
      </c>
      <c r="K76" s="279">
        <f t="shared" si="24"/>
        <v>-1.5648890116975223E-2</v>
      </c>
      <c r="L76" s="278">
        <f t="shared" ref="L76:Q76" si="26">SUM(L68:L75)</f>
        <v>206606</v>
      </c>
      <c r="M76" s="280">
        <f t="shared" si="26"/>
        <v>199519</v>
      </c>
      <c r="N76" s="278">
        <f t="shared" si="26"/>
        <v>119104</v>
      </c>
      <c r="O76" s="280">
        <f t="shared" si="26"/>
        <v>121094</v>
      </c>
      <c r="P76" s="278">
        <f t="shared" si="26"/>
        <v>121891</v>
      </c>
      <c r="Q76" s="280">
        <f t="shared" si="26"/>
        <v>148512</v>
      </c>
      <c r="R76" s="278">
        <f t="shared" si="12"/>
        <v>129076</v>
      </c>
      <c r="S76" s="279">
        <f t="shared" si="13"/>
        <v>7.2192336905029575E-2</v>
      </c>
      <c r="T76" s="280">
        <f t="shared" si="14"/>
        <v>135169</v>
      </c>
      <c r="U76" s="279">
        <f t="shared" si="15"/>
        <v>5.973486134091327E-2</v>
      </c>
      <c r="V76" s="279">
        <f t="shared" si="16"/>
        <v>4.7204747590566795E-2</v>
      </c>
      <c r="W76" s="278">
        <f>SUM(W68:W75)</f>
        <v>576677</v>
      </c>
      <c r="X76" s="279">
        <f t="shared" si="17"/>
        <v>8.8968472246885241E-2</v>
      </c>
      <c r="Y76" s="280">
        <f>SUM(Y68:Y75)</f>
        <v>604294</v>
      </c>
      <c r="Z76" s="279">
        <f t="shared" si="18"/>
        <v>7.6055668317975E-2</v>
      </c>
      <c r="AA76" s="279">
        <f t="shared" si="19"/>
        <v>4.7889893302489953E-2</v>
      </c>
    </row>
    <row r="77" spans="1:27" ht="15.75" thickBot="1" x14ac:dyDescent="0.3">
      <c r="A77" s="272" t="s">
        <v>205</v>
      </c>
      <c r="B77" s="274">
        <v>-36515</v>
      </c>
      <c r="C77" s="275">
        <f t="shared" si="8"/>
        <v>-2.3842404416541792E-2</v>
      </c>
      <c r="D77" s="276">
        <v>-51436</v>
      </c>
      <c r="E77" s="275">
        <f t="shared" si="20"/>
        <v>-2.979689726686054E-2</v>
      </c>
      <c r="F77" s="275">
        <f t="shared" si="25"/>
        <v>0.40862659181158428</v>
      </c>
      <c r="G77" s="274">
        <v>-55182</v>
      </c>
      <c r="H77" s="275">
        <f t="shared" si="21"/>
        <v>-1.7992485686906229E-2</v>
      </c>
      <c r="I77" s="276">
        <v>-89862</v>
      </c>
      <c r="J77" s="275">
        <f t="shared" si="10"/>
        <v>-2.5077300887425349E-2</v>
      </c>
      <c r="K77" s="275">
        <f t="shared" si="24"/>
        <v>0.6284658040665434</v>
      </c>
      <c r="L77" s="274">
        <v>-36515</v>
      </c>
      <c r="M77" s="276">
        <v>-51436</v>
      </c>
      <c r="N77" s="274">
        <v>-18667</v>
      </c>
      <c r="O77" s="276">
        <v>-38426</v>
      </c>
      <c r="P77" s="274">
        <v>-33624</v>
      </c>
      <c r="Q77" s="276">
        <v>-47784</v>
      </c>
      <c r="R77" s="274">
        <f t="shared" si="12"/>
        <v>-56841</v>
      </c>
      <c r="S77" s="275">
        <f t="shared" si="13"/>
        <v>-3.179122859415217E-2</v>
      </c>
      <c r="T77" s="276">
        <f t="shared" si="14"/>
        <v>-45915</v>
      </c>
      <c r="U77" s="275">
        <f t="shared" si="15"/>
        <v>-2.0291088625853805E-2</v>
      </c>
      <c r="V77" s="275">
        <f t="shared" si="16"/>
        <v>-0.19222040428563889</v>
      </c>
      <c r="W77" s="274">
        <v>-145647</v>
      </c>
      <c r="X77" s="275">
        <f t="shared" si="17"/>
        <v>-2.2470102114948393E-2</v>
      </c>
      <c r="Y77" s="276">
        <v>-183561</v>
      </c>
      <c r="Z77" s="275">
        <f t="shared" si="18"/>
        <v>-2.3102752190350739E-2</v>
      </c>
      <c r="AA77" s="275">
        <f t="shared" si="19"/>
        <v>0.26031432161321549</v>
      </c>
    </row>
    <row r="78" spans="1:27" ht="15.75" thickBot="1" x14ac:dyDescent="0.3">
      <c r="A78" s="282" t="s">
        <v>206</v>
      </c>
      <c r="B78" s="283">
        <v>-10883</v>
      </c>
      <c r="C78" s="284">
        <f t="shared" si="8"/>
        <v>-7.1060355269128937E-3</v>
      </c>
      <c r="D78" s="285">
        <v>3407</v>
      </c>
      <c r="E78" s="284">
        <f t="shared" si="20"/>
        <v>1.9736765881521474E-3</v>
      </c>
      <c r="F78" s="284">
        <f t="shared" si="25"/>
        <v>-1.3130570614720205</v>
      </c>
      <c r="G78" s="283">
        <v>-9635</v>
      </c>
      <c r="H78" s="284">
        <f t="shared" si="21"/>
        <v>-3.1415606464669913E-3</v>
      </c>
      <c r="I78" s="285">
        <v>4815</v>
      </c>
      <c r="J78" s="284">
        <f t="shared" si="10"/>
        <v>1.3436959312384887E-3</v>
      </c>
      <c r="K78" s="284">
        <f t="shared" si="24"/>
        <v>-1.4997405293201869</v>
      </c>
      <c r="L78" s="283">
        <v>-10883</v>
      </c>
      <c r="M78" s="285">
        <v>3407</v>
      </c>
      <c r="N78" s="283">
        <v>1248</v>
      </c>
      <c r="O78" s="285">
        <v>1408</v>
      </c>
      <c r="P78" s="283">
        <v>-12266</v>
      </c>
      <c r="Q78" s="285">
        <v>-3491</v>
      </c>
      <c r="R78" s="283">
        <f t="shared" si="12"/>
        <v>192401</v>
      </c>
      <c r="S78" s="284">
        <f t="shared" si="13"/>
        <v>0.10761007323487398</v>
      </c>
      <c r="T78" s="285">
        <f t="shared" si="14"/>
        <v>15097</v>
      </c>
      <c r="U78" s="284">
        <f t="shared" si="15"/>
        <v>6.6717753454103206E-3</v>
      </c>
      <c r="V78" s="284">
        <f t="shared" si="16"/>
        <v>-0.92153367186241231</v>
      </c>
      <c r="W78" s="283">
        <v>170500</v>
      </c>
      <c r="X78" s="284">
        <f t="shared" si="17"/>
        <v>2.6304368854825032E-2</v>
      </c>
      <c r="Y78" s="285">
        <v>16421</v>
      </c>
      <c r="Z78" s="284">
        <f t="shared" si="18"/>
        <v>2.066726013247637E-3</v>
      </c>
      <c r="AA78" s="284">
        <f t="shared" si="19"/>
        <v>-0.90368914956011726</v>
      </c>
    </row>
    <row r="79" spans="1:27" ht="15.75" thickBot="1" x14ac:dyDescent="0.3">
      <c r="A79" s="277" t="s">
        <v>207</v>
      </c>
      <c r="B79" s="278">
        <f>SUM(B76:B78)</f>
        <v>159208</v>
      </c>
      <c r="C79" s="279">
        <f t="shared" si="8"/>
        <v>0.10395458092150583</v>
      </c>
      <c r="D79" s="280">
        <f>SUM(D76:D78)</f>
        <v>151490</v>
      </c>
      <c r="E79" s="279">
        <f t="shared" si="20"/>
        <v>8.7758223169700264E-2</v>
      </c>
      <c r="F79" s="279">
        <f t="shared" si="25"/>
        <v>-4.847746344404804E-2</v>
      </c>
      <c r="G79" s="278">
        <f>SUM(G76:G78)</f>
        <v>260893</v>
      </c>
      <c r="H79" s="279">
        <f t="shared" si="21"/>
        <v>8.5066028203291413E-2</v>
      </c>
      <c r="I79" s="280">
        <f>SUM(I76:I78)</f>
        <v>235566</v>
      </c>
      <c r="J79" s="279">
        <f t="shared" si="10"/>
        <v>6.5738125802310657E-2</v>
      </c>
      <c r="K79" s="279">
        <f t="shared" si="24"/>
        <v>-9.7078112482895287E-2</v>
      </c>
      <c r="L79" s="278">
        <f t="shared" ref="L79:Q79" si="27">SUM(L76:L78)</f>
        <v>159208</v>
      </c>
      <c r="M79" s="280">
        <f t="shared" si="27"/>
        <v>151490</v>
      </c>
      <c r="N79" s="278">
        <f t="shared" si="27"/>
        <v>101685</v>
      </c>
      <c r="O79" s="280">
        <f t="shared" si="27"/>
        <v>84076</v>
      </c>
      <c r="P79" s="278">
        <f t="shared" si="27"/>
        <v>76001</v>
      </c>
      <c r="Q79" s="280">
        <f t="shared" si="27"/>
        <v>97237</v>
      </c>
      <c r="R79" s="278">
        <f t="shared" si="12"/>
        <v>264636</v>
      </c>
      <c r="S79" s="279">
        <f t="shared" si="13"/>
        <v>0.14801118154575138</v>
      </c>
      <c r="T79" s="280">
        <f t="shared" si="14"/>
        <v>104351</v>
      </c>
      <c r="U79" s="279">
        <f t="shared" si="15"/>
        <v>4.6115548060469788E-2</v>
      </c>
      <c r="V79" s="279">
        <f t="shared" si="16"/>
        <v>-0.6056810108979882</v>
      </c>
      <c r="W79" s="278">
        <f>SUM(W76:W78)</f>
        <v>601530</v>
      </c>
      <c r="X79" s="279">
        <f t="shared" si="17"/>
        <v>9.2802738986761876E-2</v>
      </c>
      <c r="Y79" s="280">
        <f>SUM(Y76:Y78)</f>
        <v>437154</v>
      </c>
      <c r="Z79" s="279">
        <f t="shared" si="18"/>
        <v>5.5019642140871898E-2</v>
      </c>
      <c r="AA79" s="279">
        <f t="shared" si="19"/>
        <v>-0.27326317889382074</v>
      </c>
    </row>
    <row r="80" spans="1:27" ht="15.75" thickBot="1" x14ac:dyDescent="0.3">
      <c r="A80" s="272" t="s">
        <v>208</v>
      </c>
      <c r="B80" s="273">
        <v>254</v>
      </c>
      <c r="C80" s="275">
        <f t="shared" si="8"/>
        <v>1.658488490155173E-4</v>
      </c>
      <c r="D80" s="281">
        <v>-304</v>
      </c>
      <c r="E80" s="275">
        <f t="shared" si="20"/>
        <v>-1.7610733278492893E-4</v>
      </c>
      <c r="F80" s="275">
        <f t="shared" si="25"/>
        <v>-2.1968503937007875</v>
      </c>
      <c r="G80" s="273">
        <v>-8278</v>
      </c>
      <c r="H80" s="275">
        <f t="shared" si="21"/>
        <v>-2.699101093041386E-3</v>
      </c>
      <c r="I80" s="281">
        <v>-4314</v>
      </c>
      <c r="J80" s="275">
        <f t="shared" si="10"/>
        <v>-1.2038845788915555E-3</v>
      </c>
      <c r="K80" s="275">
        <f t="shared" si="24"/>
        <v>-0.47885962792945158</v>
      </c>
      <c r="L80" s="273">
        <v>254</v>
      </c>
      <c r="M80" s="281">
        <v>-304</v>
      </c>
      <c r="N80" s="273">
        <v>-8532</v>
      </c>
      <c r="O80" s="281">
        <v>-4010</v>
      </c>
      <c r="P80" s="273">
        <v>-2404</v>
      </c>
      <c r="Q80" s="281">
        <v>-446</v>
      </c>
      <c r="R80" s="273">
        <f t="shared" si="12"/>
        <v>-1332</v>
      </c>
      <c r="S80" s="275">
        <f t="shared" si="13"/>
        <v>-7.4498894261907235E-4</v>
      </c>
      <c r="T80" s="281">
        <f t="shared" si="14"/>
        <v>-1575</v>
      </c>
      <c r="U80" s="275">
        <f t="shared" si="15"/>
        <v>-6.9603538246149933E-4</v>
      </c>
      <c r="V80" s="275">
        <f t="shared" si="16"/>
        <v>0.18243243243243243</v>
      </c>
      <c r="W80" s="273">
        <v>-12014</v>
      </c>
      <c r="X80" s="275">
        <f t="shared" si="17"/>
        <v>-1.8534937678701931E-3</v>
      </c>
      <c r="Y80" s="281">
        <v>-6335</v>
      </c>
      <c r="Z80" s="275">
        <f t="shared" si="18"/>
        <v>-7.9731498044721878E-4</v>
      </c>
      <c r="AA80" s="275">
        <f t="shared" si="19"/>
        <v>-0.4726985183952056</v>
      </c>
    </row>
    <row r="81" spans="1:46" x14ac:dyDescent="0.25">
      <c r="A81" s="286" t="s">
        <v>209</v>
      </c>
      <c r="B81" s="287">
        <f>SUM(B79:B80)</f>
        <v>159462</v>
      </c>
      <c r="C81" s="288">
        <f t="shared" si="8"/>
        <v>0.10412042977052134</v>
      </c>
      <c r="D81" s="287">
        <f>SUM(D79:D80)</f>
        <v>151186</v>
      </c>
      <c r="E81" s="288">
        <f t="shared" si="20"/>
        <v>8.7582115836915345E-2</v>
      </c>
      <c r="F81" s="288">
        <f t="shared" si="25"/>
        <v>-5.1899512109468089E-2</v>
      </c>
      <c r="G81" s="287">
        <f>SUM(G79:G80)</f>
        <v>252615</v>
      </c>
      <c r="H81" s="288">
        <f t="shared" si="21"/>
        <v>8.2366927110250024E-2</v>
      </c>
      <c r="I81" s="287">
        <f>SUM(I79:I80)</f>
        <v>231252</v>
      </c>
      <c r="J81" s="288">
        <f t="shared" si="10"/>
        <v>6.4534241223419095E-2</v>
      </c>
      <c r="K81" s="288">
        <f t="shared" si="24"/>
        <v>-8.4567424737248376E-2</v>
      </c>
      <c r="L81" s="287">
        <f t="shared" ref="L81:Q81" si="28">SUM(L79:L80)</f>
        <v>159462</v>
      </c>
      <c r="M81" s="287">
        <f t="shared" si="28"/>
        <v>151186</v>
      </c>
      <c r="N81" s="287">
        <f t="shared" si="28"/>
        <v>93153</v>
      </c>
      <c r="O81" s="287">
        <f t="shared" si="28"/>
        <v>80066</v>
      </c>
      <c r="P81" s="287">
        <f t="shared" si="28"/>
        <v>73597</v>
      </c>
      <c r="Q81" s="287">
        <f t="shared" si="28"/>
        <v>96791</v>
      </c>
      <c r="R81" s="287">
        <f t="shared" si="12"/>
        <v>263304</v>
      </c>
      <c r="S81" s="288">
        <f t="shared" si="13"/>
        <v>0.14726619260313231</v>
      </c>
      <c r="T81" s="287">
        <f t="shared" si="14"/>
        <v>102776</v>
      </c>
      <c r="U81" s="288">
        <f t="shared" si="15"/>
        <v>4.5419512678008284E-2</v>
      </c>
      <c r="V81" s="288">
        <f t="shared" si="16"/>
        <v>-0.60966791237504936</v>
      </c>
      <c r="W81" s="287">
        <f>SUM(W79:W80)</f>
        <v>589516</v>
      </c>
      <c r="X81" s="288">
        <f t="shared" si="17"/>
        <v>9.0949245218891694E-2</v>
      </c>
      <c r="Y81" s="287">
        <f>SUM(Y79:Y80)</f>
        <v>430819</v>
      </c>
      <c r="Z81" s="288">
        <f t="shared" si="18"/>
        <v>5.4222327160424681E-2</v>
      </c>
      <c r="AA81" s="288">
        <f t="shared" si="19"/>
        <v>-0.26919880037183047</v>
      </c>
    </row>
    <row r="82" spans="1:46" x14ac:dyDescent="0.25">
      <c r="A82" s="289"/>
      <c r="B82" s="291"/>
      <c r="C82" s="292"/>
      <c r="D82" s="294"/>
      <c r="E82" s="292"/>
      <c r="F82" s="292"/>
      <c r="G82" s="291"/>
      <c r="H82" s="292"/>
      <c r="I82" s="294"/>
      <c r="J82" s="292"/>
      <c r="K82" s="292"/>
      <c r="L82" s="291"/>
      <c r="M82" s="294"/>
      <c r="N82" s="291"/>
      <c r="O82" s="294"/>
      <c r="P82" s="291"/>
      <c r="Q82" s="294"/>
      <c r="R82" s="292"/>
      <c r="S82" s="290"/>
      <c r="T82" s="292"/>
      <c r="U82" s="293"/>
      <c r="V82" s="294"/>
      <c r="W82" s="292"/>
      <c r="X82" s="290"/>
      <c r="Y82" s="292"/>
      <c r="Z82" s="293"/>
      <c r="AA82" s="294"/>
    </row>
    <row r="83" spans="1:46" x14ac:dyDescent="0.25">
      <c r="A83" s="295" t="s">
        <v>210</v>
      </c>
      <c r="B83" s="297"/>
      <c r="C83" s="298"/>
      <c r="D83" s="300"/>
      <c r="E83" s="298"/>
      <c r="F83" s="298"/>
      <c r="G83" s="297"/>
      <c r="H83" s="298"/>
      <c r="I83" s="300"/>
      <c r="J83" s="298"/>
      <c r="K83" s="298"/>
      <c r="L83" s="297"/>
      <c r="M83" s="300"/>
      <c r="N83" s="297"/>
      <c r="O83" s="300"/>
      <c r="P83" s="297"/>
      <c r="Q83" s="300"/>
      <c r="R83" s="298"/>
      <c r="S83" s="296"/>
      <c r="T83" s="298"/>
      <c r="U83" s="299"/>
      <c r="V83" s="300"/>
      <c r="W83" s="298"/>
      <c r="X83" s="296"/>
      <c r="Y83" s="298"/>
      <c r="Z83" s="299"/>
      <c r="AA83" s="300"/>
    </row>
    <row r="84" spans="1:46" ht="15.75" thickBot="1" x14ac:dyDescent="0.3">
      <c r="A84" s="301" t="s">
        <v>211</v>
      </c>
      <c r="B84" s="274">
        <f>+B81-B85</f>
        <v>158694</v>
      </c>
      <c r="C84" s="275">
        <f>+B84/$B$60</f>
        <v>0.10361896553412797</v>
      </c>
      <c r="D84" s="302">
        <f>+D81-D85</f>
        <v>150991</v>
      </c>
      <c r="E84" s="275">
        <f t="shared" si="20"/>
        <v>8.7469152251740803E-2</v>
      </c>
      <c r="F84" s="275">
        <f>(D84-B84)/B84</f>
        <v>-4.853995740229624E-2</v>
      </c>
      <c r="G84" s="274">
        <f>+G81-G85</f>
        <v>251227</v>
      </c>
      <c r="H84" s="275">
        <f t="shared" si="21"/>
        <v>8.191435978515442E-2</v>
      </c>
      <c r="I84" s="302">
        <f>+I81-I85</f>
        <v>230284</v>
      </c>
      <c r="J84" s="275">
        <f>+I84/$I$60</f>
        <v>6.4264106714293681E-2</v>
      </c>
      <c r="K84" s="275">
        <f>(I84-G84)/G84</f>
        <v>-8.336285510713419E-2</v>
      </c>
      <c r="L84" s="274">
        <f t="shared" ref="L84:Q84" si="29">+L81-L85</f>
        <v>158694</v>
      </c>
      <c r="M84" s="302">
        <f t="shared" si="29"/>
        <v>150991</v>
      </c>
      <c r="N84" s="274">
        <f t="shared" si="29"/>
        <v>92533</v>
      </c>
      <c r="O84" s="302">
        <f t="shared" si="29"/>
        <v>79293</v>
      </c>
      <c r="P84" s="274">
        <f t="shared" si="29"/>
        <v>73285</v>
      </c>
      <c r="Q84" s="302">
        <f t="shared" si="29"/>
        <v>95871</v>
      </c>
      <c r="R84" s="274">
        <f>+W84-L84-N84-P84</f>
        <v>262714</v>
      </c>
      <c r="S84" s="309">
        <f>+R84/$R$60</f>
        <v>0.14693620500842866</v>
      </c>
      <c r="T84" s="302">
        <f>+Y84-M84-O84-Q84</f>
        <v>101997</v>
      </c>
      <c r="U84" s="275">
        <f>+T84/$T$60</f>
        <v>4.5075251368206698E-2</v>
      </c>
      <c r="V84" s="309">
        <f>(T84-R84)/R84</f>
        <v>-0.61175651088255667</v>
      </c>
      <c r="W84" s="274">
        <f>+W81-W85</f>
        <v>587226</v>
      </c>
      <c r="X84" s="275">
        <f>+W84/$W$60</f>
        <v>9.0595949003774101E-2</v>
      </c>
      <c r="Y84" s="302">
        <f>+Y81-Y85</f>
        <v>428152</v>
      </c>
      <c r="Z84" s="275">
        <f>+Y84/$Y$60</f>
        <v>5.3886661958711543E-2</v>
      </c>
      <c r="AA84" s="309">
        <f>(Y84-W84)/W84</f>
        <v>-0.27089059408132471</v>
      </c>
    </row>
    <row r="85" spans="1:46" ht="15.75" thickBot="1" x14ac:dyDescent="0.3">
      <c r="A85" s="303" t="s">
        <v>188</v>
      </c>
      <c r="B85" s="304">
        <v>768</v>
      </c>
      <c r="C85" s="284">
        <f>+B85/$B$60</f>
        <v>5.0146423639337522E-4</v>
      </c>
      <c r="D85" s="305">
        <v>195</v>
      </c>
      <c r="E85" s="284">
        <f t="shared" si="20"/>
        <v>1.1296358517454322E-4</v>
      </c>
      <c r="F85" s="284">
        <f>(D85-B85)/B85</f>
        <v>-0.74609375</v>
      </c>
      <c r="G85" s="304">
        <v>1388</v>
      </c>
      <c r="H85" s="284">
        <f t="shared" si="21"/>
        <v>4.5256732509560811E-4</v>
      </c>
      <c r="I85" s="305">
        <v>968</v>
      </c>
      <c r="J85" s="284">
        <f>+I85/$I$60</f>
        <v>2.7013450912541164E-4</v>
      </c>
      <c r="K85" s="284">
        <f>(I85-G85)/G85</f>
        <v>-0.30259365994236309</v>
      </c>
      <c r="L85" s="304">
        <v>768</v>
      </c>
      <c r="M85" s="305">
        <v>195</v>
      </c>
      <c r="N85" s="304">
        <v>620</v>
      </c>
      <c r="O85" s="305">
        <v>773</v>
      </c>
      <c r="P85" s="304">
        <v>312</v>
      </c>
      <c r="Q85" s="305">
        <v>920</v>
      </c>
      <c r="R85" s="304">
        <f>+W85-L85-N85-P85</f>
        <v>590</v>
      </c>
      <c r="S85" s="310">
        <f>+R85/$R$60</f>
        <v>3.2998759470364317E-4</v>
      </c>
      <c r="T85" s="305">
        <f>+Y85-M85-O85-Q85</f>
        <v>779</v>
      </c>
      <c r="U85" s="284">
        <f>+T85/$T$60</f>
        <v>3.4426130980159237E-4</v>
      </c>
      <c r="V85" s="310">
        <f>(T85-R85)/R85</f>
        <v>0.32033898305084746</v>
      </c>
      <c r="W85" s="304">
        <v>2290</v>
      </c>
      <c r="X85" s="284">
        <f>+W85/$W$60</f>
        <v>3.5329621511759134E-4</v>
      </c>
      <c r="Y85" s="305">
        <v>2667</v>
      </c>
      <c r="Z85" s="284">
        <f>+Y85/$Y$60</f>
        <v>3.3566520171313851E-4</v>
      </c>
      <c r="AA85" s="310">
        <f>(Y85-W85)/W85</f>
        <v>0.1646288209606987</v>
      </c>
    </row>
    <row r="86" spans="1:46" ht="15.75" thickBot="1" x14ac:dyDescent="0.3">
      <c r="A86" s="306" t="s">
        <v>212</v>
      </c>
      <c r="B86" s="278">
        <f>SUM(B84:B85)</f>
        <v>159462</v>
      </c>
      <c r="C86" s="279">
        <f>+B86/$B$60</f>
        <v>0.10412042977052134</v>
      </c>
      <c r="D86" s="307">
        <f>SUM(D84:D85)</f>
        <v>151186</v>
      </c>
      <c r="E86" s="279">
        <f t="shared" si="20"/>
        <v>8.7582115836915345E-2</v>
      </c>
      <c r="F86" s="279">
        <f>(D86-B86)/B86</f>
        <v>-5.1899512109468089E-2</v>
      </c>
      <c r="G86" s="278">
        <f>SUM(G84:G85)</f>
        <v>252615</v>
      </c>
      <c r="H86" s="279">
        <f t="shared" si="21"/>
        <v>8.2366927110250024E-2</v>
      </c>
      <c r="I86" s="307">
        <f>SUM(I84:I85)</f>
        <v>231252</v>
      </c>
      <c r="J86" s="279">
        <f>+I86/$I$60</f>
        <v>6.4534241223419095E-2</v>
      </c>
      <c r="K86" s="279">
        <f>(I86-G86)/G86</f>
        <v>-8.4567424737248376E-2</v>
      </c>
      <c r="L86" s="278">
        <f>SUM(L84:L85)</f>
        <v>159462</v>
      </c>
      <c r="M86" s="307">
        <f>SUM(M84:M85)</f>
        <v>151186</v>
      </c>
      <c r="N86" s="278">
        <f>SUM(N84:N85)</f>
        <v>93153</v>
      </c>
      <c r="O86" s="307">
        <f>SUM(O84:O85)</f>
        <v>80066</v>
      </c>
      <c r="P86" s="278">
        <v>73597</v>
      </c>
      <c r="Q86" s="307">
        <v>96791</v>
      </c>
      <c r="R86" s="278">
        <f>+W86-L86-N86-P86</f>
        <v>263304</v>
      </c>
      <c r="S86" s="311">
        <f>+R86/$R$60</f>
        <v>0.14726619260313231</v>
      </c>
      <c r="T86" s="307">
        <f>+Y86-M86-O86-Q86</f>
        <v>102776</v>
      </c>
      <c r="U86" s="279">
        <f>+T86/$T$60</f>
        <v>4.5419512678008284E-2</v>
      </c>
      <c r="V86" s="311">
        <f>(T86-R86)/R86</f>
        <v>-0.60966791237504936</v>
      </c>
      <c r="W86" s="278">
        <f>SUM(W84:W85)</f>
        <v>589516</v>
      </c>
      <c r="X86" s="279">
        <f>+W86/$W$60</f>
        <v>9.0949245218891694E-2</v>
      </c>
      <c r="Y86" s="307">
        <f>SUM(Y84:Y85)</f>
        <v>430819</v>
      </c>
      <c r="Z86" s="279">
        <f>+Y86/$Y$60</f>
        <v>5.4222327160424681E-2</v>
      </c>
      <c r="AA86" s="311">
        <f>(Y86-W86)/W86</f>
        <v>-0.26919880037183047</v>
      </c>
    </row>
    <row r="87" spans="1:46" x14ac:dyDescent="0.25">
      <c r="A87" s="286" t="s">
        <v>213</v>
      </c>
      <c r="B87" s="287">
        <v>236970</v>
      </c>
      <c r="C87" s="288">
        <f>+B87/$B$60</f>
        <v>0.15472914075278402</v>
      </c>
      <c r="D87" s="287">
        <v>234916</v>
      </c>
      <c r="E87" s="288">
        <f t="shared" si="20"/>
        <v>0.13608694140955382</v>
      </c>
      <c r="F87" s="288">
        <f>(D87-B87)/B87</f>
        <v>-8.6677638519643829E-3</v>
      </c>
      <c r="G87" s="287">
        <v>437041</v>
      </c>
      <c r="H87" s="288">
        <f t="shared" si="21"/>
        <v>0.14250034317515106</v>
      </c>
      <c r="I87" s="287">
        <v>458883</v>
      </c>
      <c r="J87" s="288">
        <f>+I87/$I$60</f>
        <v>0.1280579896187978</v>
      </c>
      <c r="K87" s="288">
        <f>(I87-G87)/G87</f>
        <v>4.9977004445807147E-2</v>
      </c>
      <c r="L87" s="287">
        <v>236970</v>
      </c>
      <c r="M87" s="287">
        <v>234916</v>
      </c>
      <c r="N87" s="287">
        <v>200071</v>
      </c>
      <c r="O87" s="287">
        <v>223967</v>
      </c>
      <c r="P87" s="287">
        <v>208023</v>
      </c>
      <c r="Q87" s="287">
        <v>270787</v>
      </c>
      <c r="R87" s="287">
        <f>+W87-L87-N87-P87</f>
        <v>190637</v>
      </c>
      <c r="S87" s="312">
        <f>+R87/$R$60</f>
        <v>0.10662346625681089</v>
      </c>
      <c r="T87" s="287">
        <f>+Y87-M87-O87-Q87</f>
        <v>245884</v>
      </c>
      <c r="U87" s="313">
        <f>+T87/$T$60</f>
        <v>0.10866283427375448</v>
      </c>
      <c r="V87" s="312">
        <f>(T87-R87)/R87</f>
        <v>0.28980208459008483</v>
      </c>
      <c r="W87" s="287">
        <v>835701</v>
      </c>
      <c r="X87" s="313">
        <f>+W87/$W$60</f>
        <v>0.1289301311222647</v>
      </c>
      <c r="Y87" s="287">
        <v>975554</v>
      </c>
      <c r="Z87" s="313">
        <f>+Y87/$Y$60</f>
        <v>0.1227819760750128</v>
      </c>
      <c r="AA87" s="312">
        <f>(Y87-W87)/W87</f>
        <v>0.16734813049164712</v>
      </c>
    </row>
    <row r="88" spans="1:46" x14ac:dyDescent="0.25">
      <c r="AT88" s="263"/>
    </row>
  </sheetData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6"/>
  <sheetViews>
    <sheetView topLeftCell="A67" workbookViewId="0">
      <selection activeCell="H55" sqref="H55"/>
    </sheetView>
  </sheetViews>
  <sheetFormatPr baseColWidth="10" defaultColWidth="11.42578125" defaultRowHeight="15" x14ac:dyDescent="0.25"/>
  <cols>
    <col min="1" max="1" width="50.85546875" style="229" bestFit="1" customWidth="1"/>
    <col min="2" max="6" width="11.42578125" style="229" customWidth="1"/>
    <col min="7" max="16384" width="11.42578125" style="229"/>
  </cols>
  <sheetData>
    <row r="1" spans="1:5" ht="18.75" x14ac:dyDescent="0.3">
      <c r="A1" s="228" t="s">
        <v>157</v>
      </c>
      <c r="B1" s="362"/>
      <c r="C1" s="362"/>
      <c r="D1" s="362"/>
      <c r="E1" s="362"/>
    </row>
    <row r="2" spans="1:5" x14ac:dyDescent="0.25">
      <c r="A2" s="230" t="s">
        <v>220</v>
      </c>
      <c r="B2" s="362"/>
      <c r="C2" s="362"/>
      <c r="D2" s="362"/>
      <c r="E2" s="362"/>
    </row>
    <row r="3" spans="1:5" x14ac:dyDescent="0.25">
      <c r="A3" s="230" t="s">
        <v>88</v>
      </c>
      <c r="B3" s="362"/>
      <c r="C3" s="362"/>
      <c r="D3" s="362"/>
      <c r="E3" s="362"/>
    </row>
    <row r="4" spans="1:5" x14ac:dyDescent="0.25">
      <c r="A4" s="231" t="s">
        <v>159</v>
      </c>
      <c r="B4" s="362"/>
      <c r="C4" s="362"/>
      <c r="D4" s="362"/>
      <c r="E4" s="362"/>
    </row>
    <row r="5" spans="1:5" ht="15.75" thickBot="1" x14ac:dyDescent="0.3"/>
    <row r="6" spans="1:5" ht="23.25" thickBot="1" x14ac:dyDescent="0.3">
      <c r="A6" s="337"/>
      <c r="B6" s="338" t="s">
        <v>221</v>
      </c>
      <c r="C6" s="334" t="s">
        <v>226</v>
      </c>
      <c r="D6" s="233" t="s">
        <v>140</v>
      </c>
    </row>
    <row r="7" spans="1:5" ht="15.75" thickTop="1" x14ac:dyDescent="0.25">
      <c r="A7" s="234" t="s">
        <v>20</v>
      </c>
      <c r="B7" s="235"/>
      <c r="C7" s="236"/>
      <c r="D7" s="235"/>
    </row>
    <row r="8" spans="1:5" x14ac:dyDescent="0.25">
      <c r="A8" s="237" t="s">
        <v>160</v>
      </c>
      <c r="B8" s="238"/>
      <c r="C8" s="239"/>
      <c r="D8" s="238"/>
    </row>
    <row r="9" spans="1:5" ht="15.75" thickBot="1" x14ac:dyDescent="0.3">
      <c r="A9" s="240" t="s">
        <v>161</v>
      </c>
      <c r="B9" s="242">
        <v>286064</v>
      </c>
      <c r="C9" s="243">
        <v>291761</v>
      </c>
      <c r="D9" s="244">
        <f t="shared" ref="D9:D15" si="0">(C9-B9)/B9</f>
        <v>1.9915123888360645E-2</v>
      </c>
    </row>
    <row r="10" spans="1:5" ht="15.75" thickBot="1" x14ac:dyDescent="0.3">
      <c r="A10" s="240" t="s">
        <v>162</v>
      </c>
      <c r="B10" s="242">
        <v>878280</v>
      </c>
      <c r="C10" s="243">
        <v>841750</v>
      </c>
      <c r="D10" s="244">
        <f t="shared" si="0"/>
        <v>-4.1592658377738304E-2</v>
      </c>
    </row>
    <row r="11" spans="1:5" ht="15.75" thickBot="1" x14ac:dyDescent="0.3">
      <c r="A11" s="240" t="s">
        <v>36</v>
      </c>
      <c r="B11" s="242">
        <v>1032969</v>
      </c>
      <c r="C11" s="243">
        <v>1119078</v>
      </c>
      <c r="D11" s="244">
        <f t="shared" si="0"/>
        <v>8.3360681685510404E-2</v>
      </c>
    </row>
    <row r="12" spans="1:5" ht="15.75" thickBot="1" x14ac:dyDescent="0.3">
      <c r="A12" s="240" t="s">
        <v>163</v>
      </c>
      <c r="B12" s="242">
        <v>53119</v>
      </c>
      <c r="C12" s="243">
        <v>51847</v>
      </c>
      <c r="D12" s="244">
        <f t="shared" si="0"/>
        <v>-2.3946233927596528E-2</v>
      </c>
    </row>
    <row r="13" spans="1:5" ht="15.75" thickBot="1" x14ac:dyDescent="0.3">
      <c r="A13" s="240" t="s">
        <v>164</v>
      </c>
      <c r="B13" s="242">
        <v>220762</v>
      </c>
      <c r="C13" s="243">
        <v>241822</v>
      </c>
      <c r="D13" s="244">
        <f t="shared" si="0"/>
        <v>9.5396852719217981E-2</v>
      </c>
    </row>
    <row r="14" spans="1:5" ht="15.75" thickBot="1" x14ac:dyDescent="0.3">
      <c r="A14" s="245" t="s">
        <v>165</v>
      </c>
      <c r="B14" s="247">
        <v>71679</v>
      </c>
      <c r="C14" s="248">
        <v>77861</v>
      </c>
      <c r="D14" s="244">
        <f t="shared" si="0"/>
        <v>8.6245622846300871E-2</v>
      </c>
    </row>
    <row r="15" spans="1:5" ht="15.75" thickBot="1" x14ac:dyDescent="0.3">
      <c r="A15" s="249" t="s">
        <v>166</v>
      </c>
      <c r="B15" s="250">
        <f>SUM(B9:B14)</f>
        <v>2542873</v>
      </c>
      <c r="C15" s="251">
        <f>SUM(C9:C14)</f>
        <v>2624119</v>
      </c>
      <c r="D15" s="244">
        <f t="shared" si="0"/>
        <v>3.1950474915577773E-2</v>
      </c>
    </row>
    <row r="16" spans="1:5" x14ac:dyDescent="0.25">
      <c r="A16" s="237" t="s">
        <v>167</v>
      </c>
      <c r="B16" s="238"/>
      <c r="C16" s="239"/>
      <c r="D16" s="238"/>
    </row>
    <row r="17" spans="1:4" ht="15.75" thickBot="1" x14ac:dyDescent="0.3">
      <c r="A17" s="240" t="s">
        <v>162</v>
      </c>
      <c r="B17" s="242">
        <v>26729</v>
      </c>
      <c r="C17" s="243">
        <v>25395</v>
      </c>
      <c r="D17" s="244">
        <f t="shared" ref="D17:D28" si="1">(C17-B17)/B17</f>
        <v>-4.9908339256986796E-2</v>
      </c>
    </row>
    <row r="18" spans="1:4" ht="15.75" thickBot="1" x14ac:dyDescent="0.3">
      <c r="A18" s="240" t="s">
        <v>168</v>
      </c>
      <c r="B18" s="242">
        <v>5699</v>
      </c>
      <c r="C18" s="243">
        <v>6156</v>
      </c>
      <c r="D18" s="244">
        <f t="shared" si="1"/>
        <v>8.018950693104053E-2</v>
      </c>
    </row>
    <row r="19" spans="1:4" ht="15.75" thickBot="1" x14ac:dyDescent="0.3">
      <c r="A19" s="240" t="s">
        <v>169</v>
      </c>
      <c r="B19" s="242">
        <v>109021</v>
      </c>
      <c r="C19" s="243">
        <v>110760</v>
      </c>
      <c r="D19" s="244">
        <f t="shared" si="1"/>
        <v>1.5951055301272232E-2</v>
      </c>
    </row>
    <row r="20" spans="1:4" ht="15.75" thickBot="1" x14ac:dyDescent="0.3">
      <c r="A20" s="240" t="s">
        <v>170</v>
      </c>
      <c r="B20" s="242">
        <v>3418149</v>
      </c>
      <c r="C20" s="243">
        <v>3893661</v>
      </c>
      <c r="D20" s="244">
        <f t="shared" si="1"/>
        <v>0.13911388883281567</v>
      </c>
    </row>
    <row r="21" spans="1:4" ht="15.75" thickBot="1" x14ac:dyDescent="0.3">
      <c r="A21" s="240" t="s">
        <v>171</v>
      </c>
      <c r="B21" s="242">
        <v>3383722</v>
      </c>
      <c r="C21" s="243">
        <v>3364160</v>
      </c>
      <c r="D21" s="244">
        <f t="shared" si="1"/>
        <v>-5.7812077942573301E-3</v>
      </c>
    </row>
    <row r="22" spans="1:4" ht="15.75" thickBot="1" x14ac:dyDescent="0.3">
      <c r="A22" s="240" t="s">
        <v>141</v>
      </c>
      <c r="B22" s="242">
        <v>82393</v>
      </c>
      <c r="C22" s="243">
        <v>82141</v>
      </c>
      <c r="D22" s="244">
        <f t="shared" si="1"/>
        <v>-3.0585122522544389E-3</v>
      </c>
    </row>
    <row r="23" spans="1:4" ht="15.75" thickBot="1" x14ac:dyDescent="0.3">
      <c r="A23" s="240" t="s">
        <v>172</v>
      </c>
      <c r="B23" s="242">
        <v>2033403</v>
      </c>
      <c r="C23" s="243">
        <v>2036765</v>
      </c>
      <c r="D23" s="244">
        <f t="shared" si="1"/>
        <v>1.6533859741526889E-3</v>
      </c>
    </row>
    <row r="24" spans="1:4" ht="15.75" thickBot="1" x14ac:dyDescent="0.3">
      <c r="A24" s="240" t="s">
        <v>173</v>
      </c>
      <c r="B24" s="242">
        <v>1179957</v>
      </c>
      <c r="C24" s="243">
        <v>1172357</v>
      </c>
      <c r="D24" s="244">
        <f t="shared" si="1"/>
        <v>-6.4409126773263773E-3</v>
      </c>
    </row>
    <row r="25" spans="1:4" ht="15.75" thickBot="1" x14ac:dyDescent="0.3">
      <c r="A25" s="240" t="s">
        <v>174</v>
      </c>
      <c r="B25" s="242">
        <v>355461</v>
      </c>
      <c r="C25" s="243">
        <v>371603</v>
      </c>
      <c r="D25" s="244">
        <f t="shared" si="1"/>
        <v>4.5411451607911976E-2</v>
      </c>
    </row>
    <row r="26" spans="1:4" ht="15.75" thickBot="1" x14ac:dyDescent="0.3">
      <c r="A26" s="245" t="s">
        <v>25</v>
      </c>
      <c r="B26" s="247">
        <v>40645</v>
      </c>
      <c r="C26" s="248">
        <v>42717</v>
      </c>
      <c r="D26" s="252">
        <f t="shared" si="1"/>
        <v>5.0977980071349488E-2</v>
      </c>
    </row>
    <row r="27" spans="1:4" ht="15.75" thickBot="1" x14ac:dyDescent="0.3">
      <c r="A27" s="249" t="s">
        <v>175</v>
      </c>
      <c r="B27" s="250">
        <f>SUM(B17:B26)</f>
        <v>10635179</v>
      </c>
      <c r="C27" s="251">
        <f>SUM(C17:C26)</f>
        <v>11105715</v>
      </c>
      <c r="D27" s="253">
        <f t="shared" si="1"/>
        <v>4.4243355001359168E-2</v>
      </c>
    </row>
    <row r="28" spans="1:4" ht="15.75" thickBot="1" x14ac:dyDescent="0.3">
      <c r="A28" s="249" t="s">
        <v>176</v>
      </c>
      <c r="B28" s="250">
        <f>+B15+B27</f>
        <v>13178052</v>
      </c>
      <c r="C28" s="251">
        <f>+C15+C27</f>
        <v>13729834</v>
      </c>
      <c r="D28" s="253">
        <f t="shared" si="1"/>
        <v>4.18712871978347E-2</v>
      </c>
    </row>
    <row r="29" spans="1:4" x14ac:dyDescent="0.25">
      <c r="A29" s="234" t="s">
        <v>142</v>
      </c>
      <c r="B29" s="254"/>
      <c r="C29" s="255"/>
      <c r="D29" s="254"/>
    </row>
    <row r="30" spans="1:4" x14ac:dyDescent="0.25">
      <c r="A30" s="237" t="s">
        <v>177</v>
      </c>
      <c r="B30" s="256"/>
      <c r="C30" s="239"/>
      <c r="D30" s="256"/>
    </row>
    <row r="31" spans="1:4" ht="15.75" thickBot="1" x14ac:dyDescent="0.3">
      <c r="A31" s="240" t="s">
        <v>28</v>
      </c>
      <c r="B31" s="242">
        <v>1059660</v>
      </c>
      <c r="C31" s="243">
        <v>1044488</v>
      </c>
      <c r="D31" s="244">
        <f t="shared" ref="D31:D37" si="2">(C31-B31)/B31</f>
        <v>-1.4317800049072344E-2</v>
      </c>
    </row>
    <row r="32" spans="1:4" ht="15.75" thickBot="1" x14ac:dyDescent="0.3">
      <c r="A32" s="240" t="s">
        <v>178</v>
      </c>
      <c r="B32" s="242">
        <v>825435</v>
      </c>
      <c r="C32" s="243">
        <v>935523</v>
      </c>
      <c r="D32" s="244">
        <f t="shared" si="2"/>
        <v>0.13336967780624762</v>
      </c>
    </row>
    <row r="33" spans="1:4" ht="15.75" thickBot="1" x14ac:dyDescent="0.3">
      <c r="A33" s="240" t="s">
        <v>30</v>
      </c>
      <c r="B33" s="242">
        <v>172323</v>
      </c>
      <c r="C33" s="243">
        <v>186031</v>
      </c>
      <c r="D33" s="244">
        <f t="shared" si="2"/>
        <v>7.9548290129582241E-2</v>
      </c>
    </row>
    <row r="34" spans="1:4" ht="15.75" thickBot="1" x14ac:dyDescent="0.3">
      <c r="A34" s="240" t="s">
        <v>179</v>
      </c>
      <c r="B34" s="242">
        <v>160628</v>
      </c>
      <c r="C34" s="243">
        <v>122670</v>
      </c>
      <c r="D34" s="244">
        <f t="shared" si="2"/>
        <v>-0.23630998331548672</v>
      </c>
    </row>
    <row r="35" spans="1:4" ht="15.75" thickBot="1" x14ac:dyDescent="0.3">
      <c r="A35" s="240" t="s">
        <v>180</v>
      </c>
      <c r="B35" s="242">
        <v>4415</v>
      </c>
      <c r="C35" s="243">
        <v>3289</v>
      </c>
      <c r="D35" s="244">
        <f t="shared" si="2"/>
        <v>-0.25503963759909398</v>
      </c>
    </row>
    <row r="36" spans="1:4" ht="15.75" thickBot="1" x14ac:dyDescent="0.3">
      <c r="A36" s="245" t="s">
        <v>143</v>
      </c>
      <c r="B36" s="247">
        <v>26641</v>
      </c>
      <c r="C36" s="248">
        <v>26274</v>
      </c>
      <c r="D36" s="252">
        <f t="shared" si="2"/>
        <v>-1.3775759168199392E-2</v>
      </c>
    </row>
    <row r="37" spans="1:4" ht="15.75" thickBot="1" x14ac:dyDescent="0.3">
      <c r="A37" s="249" t="s">
        <v>181</v>
      </c>
      <c r="B37" s="250">
        <f>SUM(B31:B36)</f>
        <v>2249102</v>
      </c>
      <c r="C37" s="251">
        <f>SUM(C31:C36)</f>
        <v>2318275</v>
      </c>
      <c r="D37" s="253">
        <f t="shared" si="2"/>
        <v>3.0755830549259216E-2</v>
      </c>
    </row>
    <row r="38" spans="1:4" x14ac:dyDescent="0.25">
      <c r="A38" s="237" t="s">
        <v>182</v>
      </c>
      <c r="B38" s="238"/>
      <c r="C38" s="239"/>
      <c r="D38" s="238"/>
    </row>
    <row r="39" spans="1:4" ht="15.75" thickBot="1" x14ac:dyDescent="0.3">
      <c r="A39" s="240" t="s">
        <v>28</v>
      </c>
      <c r="B39" s="242">
        <v>2034604</v>
      </c>
      <c r="C39" s="243">
        <v>2170378</v>
      </c>
      <c r="D39" s="244">
        <f>(C39-B39)/B39</f>
        <v>6.6732396082972406E-2</v>
      </c>
    </row>
    <row r="40" spans="1:4" ht="15.75" thickBot="1" x14ac:dyDescent="0.3">
      <c r="A40" s="240" t="s">
        <v>178</v>
      </c>
      <c r="B40" s="241">
        <v>159</v>
      </c>
      <c r="C40" s="257">
        <v>158</v>
      </c>
      <c r="D40" s="244">
        <f>(C40-B40)/B40</f>
        <v>-6.2893081761006293E-3</v>
      </c>
    </row>
    <row r="41" spans="1:4" ht="15.75" thickBot="1" x14ac:dyDescent="0.3">
      <c r="A41" s="240" t="s">
        <v>179</v>
      </c>
      <c r="B41" s="242">
        <v>211533</v>
      </c>
      <c r="C41" s="243">
        <v>218264</v>
      </c>
      <c r="D41" s="244">
        <f>(C41-B41)/B41</f>
        <v>3.1820094264251912E-2</v>
      </c>
    </row>
    <row r="42" spans="1:4" ht="15.75" thickBot="1" x14ac:dyDescent="0.3">
      <c r="A42" s="240" t="s">
        <v>183</v>
      </c>
      <c r="B42" s="242">
        <v>727692</v>
      </c>
      <c r="C42" s="243">
        <v>642624</v>
      </c>
      <c r="D42" s="244">
        <f>(C42-B42)/B42</f>
        <v>-0.11690110651209577</v>
      </c>
    </row>
    <row r="43" spans="1:4" ht="15.75" thickBot="1" x14ac:dyDescent="0.3">
      <c r="A43" s="245" t="s">
        <v>143</v>
      </c>
      <c r="B43" s="246" t="s">
        <v>184</v>
      </c>
      <c r="C43" s="258">
        <v>779</v>
      </c>
      <c r="D43" s="252" t="s">
        <v>131</v>
      </c>
    </row>
    <row r="44" spans="1:4" ht="15.75" thickBot="1" x14ac:dyDescent="0.3">
      <c r="A44" s="249" t="s">
        <v>185</v>
      </c>
      <c r="B44" s="250">
        <f>SUM(B39:B43)</f>
        <v>2973988</v>
      </c>
      <c r="C44" s="251">
        <f>SUM(C39:C43)</f>
        <v>3032203</v>
      </c>
      <c r="D44" s="253">
        <f>(C44-B44)/B44</f>
        <v>1.9574725923574676E-2</v>
      </c>
    </row>
    <row r="45" spans="1:4" ht="15.75" thickBot="1" x14ac:dyDescent="0.3">
      <c r="A45" s="249" t="s">
        <v>186</v>
      </c>
      <c r="B45" s="250">
        <f>+B37+B44</f>
        <v>5223090</v>
      </c>
      <c r="C45" s="251">
        <f>+C37+C44</f>
        <v>5350478</v>
      </c>
      <c r="D45" s="253">
        <f>(C45-B45)/B45</f>
        <v>2.4389394017717482E-2</v>
      </c>
    </row>
    <row r="46" spans="1:4" x14ac:dyDescent="0.25">
      <c r="A46" s="234" t="s">
        <v>34</v>
      </c>
      <c r="B46" s="254"/>
      <c r="C46" s="255"/>
      <c r="D46" s="254"/>
    </row>
    <row r="47" spans="1:4" ht="15.75" thickBot="1" x14ac:dyDescent="0.3">
      <c r="A47" s="249" t="s">
        <v>187</v>
      </c>
      <c r="B47" s="250">
        <v>7920603</v>
      </c>
      <c r="C47" s="251">
        <v>8344147</v>
      </c>
      <c r="D47" s="253">
        <f>(C47-B47)/B47</f>
        <v>5.3473706484215913E-2</v>
      </c>
    </row>
    <row r="48" spans="1:4" ht="15.75" thickBot="1" x14ac:dyDescent="0.3">
      <c r="A48" s="259" t="s">
        <v>188</v>
      </c>
      <c r="B48" s="247">
        <v>34359</v>
      </c>
      <c r="C48" s="248">
        <v>35209</v>
      </c>
      <c r="D48" s="252">
        <f>(C48-B48)/B48</f>
        <v>2.473878750836753E-2</v>
      </c>
    </row>
    <row r="49" spans="1:20" ht="15.75" thickBot="1" x14ac:dyDescent="0.3">
      <c r="A49" s="249" t="s">
        <v>189</v>
      </c>
      <c r="B49" s="250">
        <f>SUM(B47:B48)</f>
        <v>7954962</v>
      </c>
      <c r="C49" s="251">
        <f>SUM(C47:C48)</f>
        <v>8379356</v>
      </c>
      <c r="D49" s="253">
        <f>(C49-B49)/B49</f>
        <v>5.3349594881785735E-2</v>
      </c>
    </row>
    <row r="50" spans="1:20" ht="15.75" thickBot="1" x14ac:dyDescent="0.3">
      <c r="A50" s="260" t="s">
        <v>190</v>
      </c>
      <c r="B50" s="261">
        <f>+B45+B49</f>
        <v>13178052</v>
      </c>
      <c r="C50" s="251">
        <f>+C45+C49</f>
        <v>13729834</v>
      </c>
      <c r="D50" s="262">
        <f>(C50-B50)/B50</f>
        <v>4.18712871978347E-2</v>
      </c>
    </row>
    <row r="52" spans="1:20" x14ac:dyDescent="0.25">
      <c r="C52" s="263"/>
      <c r="E52" s="263"/>
      <c r="H52" s="263"/>
      <c r="J52" s="263"/>
      <c r="M52" s="263"/>
      <c r="O52" s="263"/>
      <c r="R52" s="263"/>
      <c r="T52" s="263"/>
    </row>
    <row r="53" spans="1:20" ht="18.75" x14ac:dyDescent="0.3">
      <c r="A53" s="264" t="s">
        <v>191</v>
      </c>
      <c r="B53" s="362"/>
      <c r="C53" s="362"/>
      <c r="D53" s="362"/>
      <c r="E53" s="362"/>
    </row>
    <row r="54" spans="1:20" x14ac:dyDescent="0.25">
      <c r="A54" s="230" t="s">
        <v>192</v>
      </c>
      <c r="B54" s="362"/>
      <c r="C54" s="362"/>
      <c r="D54" s="362"/>
      <c r="E54" s="362"/>
    </row>
    <row r="55" spans="1:20" x14ac:dyDescent="0.25">
      <c r="A55" s="230" t="s">
        <v>88</v>
      </c>
      <c r="B55" s="362"/>
      <c r="C55" s="362"/>
      <c r="D55" s="362"/>
      <c r="E55" s="362"/>
    </row>
    <row r="56" spans="1:20" x14ac:dyDescent="0.25">
      <c r="A56" s="265" t="s">
        <v>159</v>
      </c>
      <c r="B56" s="362"/>
      <c r="C56" s="362"/>
      <c r="D56" s="362"/>
      <c r="E56" s="362"/>
    </row>
    <row r="57" spans="1:20" ht="15.75" thickBot="1" x14ac:dyDescent="0.3">
      <c r="B57" s="364"/>
      <c r="C57" s="364"/>
      <c r="D57" s="364"/>
      <c r="E57" s="364"/>
    </row>
    <row r="58" spans="1:20" ht="15.75" customHeight="1" thickBot="1" x14ac:dyDescent="0.3">
      <c r="A58" s="353"/>
      <c r="B58" s="348" t="s">
        <v>146</v>
      </c>
      <c r="C58" s="348" t="s">
        <v>55</v>
      </c>
      <c r="D58" s="351" t="s">
        <v>222</v>
      </c>
      <c r="E58" s="348" t="s">
        <v>55</v>
      </c>
      <c r="F58" s="348" t="s">
        <v>46</v>
      </c>
    </row>
    <row r="59" spans="1:20" ht="15.75" thickTop="1" x14ac:dyDescent="0.25">
      <c r="A59" s="266" t="s">
        <v>193</v>
      </c>
      <c r="B59" s="232"/>
      <c r="C59" s="232"/>
      <c r="D59" s="267"/>
      <c r="E59" s="232"/>
      <c r="F59" s="232"/>
    </row>
    <row r="60" spans="1:20" ht="15.75" thickBot="1" x14ac:dyDescent="0.3">
      <c r="A60" s="268" t="s">
        <v>194</v>
      </c>
      <c r="B60" s="269">
        <v>1726220</v>
      </c>
      <c r="C60" s="270">
        <f t="shared" ref="C60:C80" si="3">+B60/$B$60</f>
        <v>1</v>
      </c>
      <c r="D60" s="271">
        <v>2104216</v>
      </c>
      <c r="E60" s="270">
        <f t="shared" ref="E60:E80" si="4">+D60/$D$60</f>
        <v>1</v>
      </c>
      <c r="F60" s="270">
        <f t="shared" ref="F60:F80" si="5">(D60-B60)/B60</f>
        <v>0.21897324790582892</v>
      </c>
    </row>
    <row r="61" spans="1:20" ht="15.75" thickBot="1" x14ac:dyDescent="0.3">
      <c r="A61" s="272" t="s">
        <v>195</v>
      </c>
      <c r="B61" s="274">
        <v>-972781</v>
      </c>
      <c r="C61" s="275">
        <f t="shared" si="3"/>
        <v>-0.56353245820347353</v>
      </c>
      <c r="D61" s="276">
        <v>-1196310</v>
      </c>
      <c r="E61" s="275">
        <f t="shared" si="4"/>
        <v>-0.56853003684032433</v>
      </c>
      <c r="F61" s="275">
        <f t="shared" si="5"/>
        <v>0.22978347644536642</v>
      </c>
    </row>
    <row r="62" spans="1:20" ht="15.75" thickBot="1" x14ac:dyDescent="0.3">
      <c r="A62" s="277" t="s">
        <v>196</v>
      </c>
      <c r="B62" s="278">
        <v>753439</v>
      </c>
      <c r="C62" s="279">
        <f t="shared" si="3"/>
        <v>0.43646754179652653</v>
      </c>
      <c r="D62" s="280">
        <v>907906</v>
      </c>
      <c r="E62" s="279">
        <f t="shared" si="4"/>
        <v>0.43146996315967562</v>
      </c>
      <c r="F62" s="279">
        <f t="shared" si="5"/>
        <v>0.205015933605773</v>
      </c>
    </row>
    <row r="63" spans="1:20" ht="15.75" thickBot="1" x14ac:dyDescent="0.3">
      <c r="A63" s="272" t="s">
        <v>7</v>
      </c>
      <c r="B63" s="274">
        <v>-96265</v>
      </c>
      <c r="C63" s="275">
        <f t="shared" si="3"/>
        <v>-5.5766356547832838E-2</v>
      </c>
      <c r="D63" s="276">
        <v>-97009</v>
      </c>
      <c r="E63" s="275">
        <f t="shared" si="4"/>
        <v>-4.6102206237382475E-2</v>
      </c>
      <c r="F63" s="275">
        <f t="shared" si="5"/>
        <v>7.7286656624941568E-3</v>
      </c>
    </row>
    <row r="64" spans="1:20" ht="15.75" thickBot="1" x14ac:dyDescent="0.3">
      <c r="A64" s="272" t="s">
        <v>8</v>
      </c>
      <c r="B64" s="274">
        <v>-436316</v>
      </c>
      <c r="C64" s="275">
        <f t="shared" si="3"/>
        <v>-0.25275804937956925</v>
      </c>
      <c r="D64" s="276">
        <v>-547935</v>
      </c>
      <c r="E64" s="275">
        <f t="shared" si="4"/>
        <v>-0.26039864728716061</v>
      </c>
      <c r="F64" s="275">
        <f t="shared" si="5"/>
        <v>0.25582146884368212</v>
      </c>
    </row>
    <row r="65" spans="1:6" ht="15.75" thickBot="1" x14ac:dyDescent="0.3">
      <c r="A65" s="272" t="s">
        <v>84</v>
      </c>
      <c r="B65" s="274">
        <v>-32449</v>
      </c>
      <c r="C65" s="275">
        <f t="shared" si="3"/>
        <v>-1.8797719873480785E-2</v>
      </c>
      <c r="D65" s="276">
        <v>-34692</v>
      </c>
      <c r="E65" s="275">
        <f t="shared" si="4"/>
        <v>-1.6486900584350657E-2</v>
      </c>
      <c r="F65" s="275">
        <f t="shared" si="5"/>
        <v>6.9123855896945974E-2</v>
      </c>
    </row>
    <row r="66" spans="1:6" ht="15.75" thickBot="1" x14ac:dyDescent="0.3">
      <c r="A66" s="272" t="s">
        <v>197</v>
      </c>
      <c r="B66" s="274">
        <v>8166</v>
      </c>
      <c r="C66" s="275">
        <f t="shared" si="3"/>
        <v>4.730567366847795E-3</v>
      </c>
      <c r="D66" s="276">
        <v>3848</v>
      </c>
      <c r="E66" s="275">
        <f t="shared" si="4"/>
        <v>1.8287096001551172E-3</v>
      </c>
      <c r="F66" s="275">
        <f t="shared" si="5"/>
        <v>-0.52877785941709532</v>
      </c>
    </row>
    <row r="67" spans="1:6" ht="15.75" thickBot="1" x14ac:dyDescent="0.3">
      <c r="A67" s="272" t="s">
        <v>144</v>
      </c>
      <c r="B67" s="274">
        <v>2206</v>
      </c>
      <c r="C67" s="275">
        <f t="shared" si="3"/>
        <v>1.2779367635643198E-3</v>
      </c>
      <c r="D67" s="276">
        <v>1169</v>
      </c>
      <c r="E67" s="275">
        <f t="shared" si="4"/>
        <v>5.5555133123215493E-4</v>
      </c>
      <c r="F67" s="275">
        <f t="shared" si="5"/>
        <v>-0.4700815956482321</v>
      </c>
    </row>
    <row r="68" spans="1:6" ht="15.75" thickBot="1" x14ac:dyDescent="0.3">
      <c r="A68" s="268" t="s">
        <v>198</v>
      </c>
      <c r="B68" s="269">
        <v>198781</v>
      </c>
      <c r="C68" s="270">
        <f t="shared" si="3"/>
        <v>0.11515392012605577</v>
      </c>
      <c r="D68" s="271">
        <v>233287</v>
      </c>
      <c r="E68" s="270">
        <f t="shared" si="4"/>
        <v>0.11086646998216913</v>
      </c>
      <c r="F68" s="270">
        <f t="shared" si="5"/>
        <v>0.17358801897565662</v>
      </c>
    </row>
    <row r="69" spans="1:6" ht="15.75" thickBot="1" x14ac:dyDescent="0.3">
      <c r="A69" s="272" t="s">
        <v>51</v>
      </c>
      <c r="B69" s="274">
        <v>3035</v>
      </c>
      <c r="C69" s="275">
        <f t="shared" si="3"/>
        <v>1.7581768256653267E-3</v>
      </c>
      <c r="D69" s="276">
        <v>2165</v>
      </c>
      <c r="E69" s="275">
        <f t="shared" si="4"/>
        <v>1.0288867682785418E-3</v>
      </c>
      <c r="F69" s="275">
        <f t="shared" si="5"/>
        <v>-0.28665568369028005</v>
      </c>
    </row>
    <row r="70" spans="1:6" ht="15.75" thickBot="1" x14ac:dyDescent="0.3">
      <c r="A70" s="272" t="s">
        <v>11</v>
      </c>
      <c r="B70" s="274">
        <v>-50910</v>
      </c>
      <c r="C70" s="275">
        <f t="shared" si="3"/>
        <v>-2.9492185237107667E-2</v>
      </c>
      <c r="D70" s="276">
        <v>-70846</v>
      </c>
      <c r="E70" s="275">
        <f t="shared" si="4"/>
        <v>-3.3668596760028438E-2</v>
      </c>
      <c r="F70" s="275">
        <f t="shared" si="5"/>
        <v>0.39159300726772739</v>
      </c>
    </row>
    <row r="71" spans="1:6" ht="15.75" thickBot="1" x14ac:dyDescent="0.3">
      <c r="A71" s="272" t="s">
        <v>199</v>
      </c>
      <c r="B71" s="274">
        <v>46468</v>
      </c>
      <c r="C71" s="275">
        <f t="shared" si="3"/>
        <v>2.6918932696875255E-2</v>
      </c>
      <c r="D71" s="276">
        <v>50453</v>
      </c>
      <c r="E71" s="275">
        <f t="shared" si="4"/>
        <v>2.3977101210141925E-2</v>
      </c>
      <c r="F71" s="275">
        <f t="shared" si="5"/>
        <v>8.5757940948609793E-2</v>
      </c>
    </row>
    <row r="72" spans="1:6" ht="15.75" thickBot="1" x14ac:dyDescent="0.3">
      <c r="A72" s="272" t="s">
        <v>200</v>
      </c>
      <c r="B72" s="274">
        <v>5949</v>
      </c>
      <c r="C72" s="275">
        <f t="shared" si="3"/>
        <v>3.4462582984787571E-3</v>
      </c>
      <c r="D72" s="276">
        <v>-9738</v>
      </c>
      <c r="E72" s="275">
        <f t="shared" si="4"/>
        <v>-4.6278518935318428E-3</v>
      </c>
      <c r="F72" s="275">
        <f t="shared" si="5"/>
        <v>-2.6369137670196672</v>
      </c>
    </row>
    <row r="73" spans="1:6" ht="15.75" thickBot="1" x14ac:dyDescent="0.3">
      <c r="A73" s="272" t="s">
        <v>201</v>
      </c>
      <c r="B73" s="274">
        <v>-4194</v>
      </c>
      <c r="C73" s="275">
        <f t="shared" si="3"/>
        <v>-2.4295860319078679E-3</v>
      </c>
      <c r="D73" s="276">
        <v>-11041</v>
      </c>
      <c r="E73" s="275">
        <f t="shared" si="4"/>
        <v>-5.2470849000292741E-3</v>
      </c>
      <c r="F73" s="275">
        <f t="shared" si="5"/>
        <v>1.6325703385789223</v>
      </c>
    </row>
    <row r="74" spans="1:6" ht="15.75" thickBot="1" x14ac:dyDescent="0.3">
      <c r="A74" s="272" t="s">
        <v>202</v>
      </c>
      <c r="B74" s="273">
        <v>390</v>
      </c>
      <c r="C74" s="275">
        <f t="shared" si="3"/>
        <v>2.2592717034908643E-4</v>
      </c>
      <c r="D74" s="281">
        <v>185</v>
      </c>
      <c r="E74" s="275">
        <f t="shared" si="4"/>
        <v>8.7918730776688329E-5</v>
      </c>
      <c r="F74" s="275">
        <f t="shared" si="5"/>
        <v>-0.52564102564102566</v>
      </c>
    </row>
    <row r="75" spans="1:6" ht="15.75" thickBot="1" x14ac:dyDescent="0.3">
      <c r="A75" s="277" t="s">
        <v>204</v>
      </c>
      <c r="B75" s="278">
        <v>199519</v>
      </c>
      <c r="C75" s="279">
        <f t="shared" si="3"/>
        <v>0.11558144384840865</v>
      </c>
      <c r="D75" s="280">
        <v>194465</v>
      </c>
      <c r="E75" s="279">
        <f t="shared" si="4"/>
        <v>9.2416843137776733E-2</v>
      </c>
      <c r="F75" s="279">
        <f t="shared" si="5"/>
        <v>-2.5330920864679553E-2</v>
      </c>
    </row>
    <row r="76" spans="1:6" ht="15.75" thickBot="1" x14ac:dyDescent="0.3">
      <c r="A76" s="272" t="s">
        <v>205</v>
      </c>
      <c r="B76" s="274">
        <v>-51436</v>
      </c>
      <c r="C76" s="275">
        <f t="shared" si="3"/>
        <v>-2.979689726686054E-2</v>
      </c>
      <c r="D76" s="276">
        <v>-56024</v>
      </c>
      <c r="E76" s="275">
        <f t="shared" si="4"/>
        <v>-2.6624643097476686E-2</v>
      </c>
      <c r="F76" s="275">
        <f t="shared" si="5"/>
        <v>8.9198226922777818E-2</v>
      </c>
    </row>
    <row r="77" spans="1:6" ht="15.75" thickBot="1" x14ac:dyDescent="0.3">
      <c r="A77" s="282" t="s">
        <v>206</v>
      </c>
      <c r="B77" s="283">
        <v>3407</v>
      </c>
      <c r="C77" s="284">
        <f t="shared" si="3"/>
        <v>1.9736765881521474E-3</v>
      </c>
      <c r="D77" s="285">
        <v>14256</v>
      </c>
      <c r="E77" s="284">
        <f t="shared" si="4"/>
        <v>6.7749698700133448E-3</v>
      </c>
      <c r="F77" s="284">
        <f t="shared" si="5"/>
        <v>3.1843263868506018</v>
      </c>
    </row>
    <row r="78" spans="1:6" ht="15.75" thickBot="1" x14ac:dyDescent="0.3">
      <c r="A78" s="277" t="s">
        <v>207</v>
      </c>
      <c r="B78" s="278">
        <v>151490</v>
      </c>
      <c r="C78" s="279">
        <f t="shared" si="3"/>
        <v>8.7758223169700264E-2</v>
      </c>
      <c r="D78" s="280">
        <v>152697</v>
      </c>
      <c r="E78" s="279">
        <f t="shared" si="4"/>
        <v>7.2567169910313395E-2</v>
      </c>
      <c r="F78" s="279">
        <f t="shared" si="5"/>
        <v>7.9675226087530526E-3</v>
      </c>
    </row>
    <row r="79" spans="1:6" ht="15.75" thickBot="1" x14ac:dyDescent="0.3">
      <c r="A79" s="272" t="s">
        <v>208</v>
      </c>
      <c r="B79" s="273">
        <v>-304</v>
      </c>
      <c r="C79" s="275">
        <f t="shared" si="3"/>
        <v>-1.7610733278492893E-4</v>
      </c>
      <c r="D79" s="281">
        <v>-164</v>
      </c>
      <c r="E79" s="275">
        <f t="shared" si="4"/>
        <v>-7.7938766742577752E-5</v>
      </c>
      <c r="F79" s="275">
        <f t="shared" si="5"/>
        <v>-0.46052631578947367</v>
      </c>
    </row>
    <row r="80" spans="1:6" x14ac:dyDescent="0.25">
      <c r="A80" s="286" t="s">
        <v>209</v>
      </c>
      <c r="B80" s="308">
        <v>151186</v>
      </c>
      <c r="C80" s="288">
        <f t="shared" si="3"/>
        <v>8.7582115836915345E-2</v>
      </c>
      <c r="D80" s="287">
        <v>152533</v>
      </c>
      <c r="E80" s="288">
        <f t="shared" si="4"/>
        <v>7.2489231143570809E-2</v>
      </c>
      <c r="F80" s="288">
        <f t="shared" si="5"/>
        <v>8.9095551175373388E-3</v>
      </c>
    </row>
    <row r="81" spans="1:6" x14ac:dyDescent="0.25">
      <c r="A81" s="289"/>
      <c r="B81" s="291"/>
      <c r="C81" s="292"/>
      <c r="D81" s="294"/>
      <c r="E81" s="292"/>
      <c r="F81" s="292"/>
    </row>
    <row r="82" spans="1:6" x14ac:dyDescent="0.25">
      <c r="A82" s="295" t="s">
        <v>210</v>
      </c>
      <c r="B82" s="297"/>
      <c r="C82" s="298"/>
      <c r="D82" s="300"/>
      <c r="E82" s="298"/>
      <c r="F82" s="298"/>
    </row>
    <row r="83" spans="1:6" ht="15.75" thickBot="1" x14ac:dyDescent="0.3">
      <c r="A83" s="301" t="s">
        <v>211</v>
      </c>
      <c r="B83" s="274">
        <v>150991</v>
      </c>
      <c r="C83" s="275">
        <f>+B83/$B$60</f>
        <v>8.7469152251740803E-2</v>
      </c>
      <c r="D83" s="302">
        <v>151672</v>
      </c>
      <c r="E83" s="275">
        <f>+D83/$D$60</f>
        <v>7.2080052618172283E-2</v>
      </c>
      <c r="F83" s="275">
        <f>(D83-B83)/B83</f>
        <v>4.5102025948566471E-3</v>
      </c>
    </row>
    <row r="84" spans="1:6" ht="15.75" thickBot="1" x14ac:dyDescent="0.3">
      <c r="A84" s="303" t="s">
        <v>188</v>
      </c>
      <c r="B84" s="304">
        <v>195</v>
      </c>
      <c r="C84" s="284">
        <f>+B84/$B$60</f>
        <v>1.1296358517454322E-4</v>
      </c>
      <c r="D84" s="305">
        <v>861</v>
      </c>
      <c r="E84" s="284">
        <f>+D84/$D$60</f>
        <v>4.0917852539853322E-4</v>
      </c>
      <c r="F84" s="284">
        <f>(D84-B84)/B84</f>
        <v>3.4153846153846152</v>
      </c>
    </row>
    <row r="85" spans="1:6" ht="15.75" thickBot="1" x14ac:dyDescent="0.3">
      <c r="A85" s="306" t="s">
        <v>212</v>
      </c>
      <c r="B85" s="278">
        <v>151186</v>
      </c>
      <c r="C85" s="279">
        <f>+B85/$B$60</f>
        <v>8.7582115836915345E-2</v>
      </c>
      <c r="D85" s="307">
        <v>152533</v>
      </c>
      <c r="E85" s="279">
        <f>+D85/$D$60</f>
        <v>7.2489231143570809E-2</v>
      </c>
      <c r="F85" s="279">
        <f>(D85-B85)/B85</f>
        <v>8.9095551175373388E-3</v>
      </c>
    </row>
    <row r="86" spans="1:6" x14ac:dyDescent="0.25">
      <c r="A86" s="286" t="s">
        <v>213</v>
      </c>
      <c r="B86" s="287">
        <v>234916</v>
      </c>
      <c r="C86" s="288">
        <f>+B86/$B$60</f>
        <v>0.13608694140955382</v>
      </c>
      <c r="D86" s="287">
        <v>280995</v>
      </c>
      <c r="E86" s="288">
        <f>+D86/$D$60</f>
        <v>0.13353904732213803</v>
      </c>
      <c r="F86" s="288">
        <f>(D86-B86)/B86</f>
        <v>0.19615096460011239</v>
      </c>
    </row>
  </sheetData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7"/>
  <sheetViews>
    <sheetView topLeftCell="E55" zoomScaleNormal="100" workbookViewId="0">
      <selection activeCell="T58" sqref="T58"/>
    </sheetView>
  </sheetViews>
  <sheetFormatPr baseColWidth="10" defaultColWidth="11.42578125" defaultRowHeight="15" x14ac:dyDescent="0.25"/>
  <cols>
    <col min="1" max="1" width="50.85546875" style="229" bestFit="1" customWidth="1"/>
    <col min="2" max="7" width="11.42578125" style="229" customWidth="1"/>
    <col min="8" max="16384" width="11.42578125" style="229"/>
  </cols>
  <sheetData>
    <row r="1" spans="1:7" ht="18.75" x14ac:dyDescent="0.3">
      <c r="A1" s="228" t="s">
        <v>157</v>
      </c>
      <c r="B1" s="362"/>
      <c r="C1" s="362"/>
      <c r="D1" s="362"/>
      <c r="E1" s="362"/>
    </row>
    <row r="2" spans="1:7" x14ac:dyDescent="0.25">
      <c r="A2" s="315" t="s">
        <v>233</v>
      </c>
      <c r="B2" s="362"/>
      <c r="C2" s="362"/>
      <c r="D2" s="362"/>
      <c r="E2" s="362"/>
    </row>
    <row r="3" spans="1:7" x14ac:dyDescent="0.25">
      <c r="A3" s="314" t="s">
        <v>88</v>
      </c>
      <c r="B3" s="362"/>
      <c r="C3" s="362"/>
      <c r="D3" s="362"/>
      <c r="E3" s="362"/>
    </row>
    <row r="4" spans="1:7" x14ac:dyDescent="0.25">
      <c r="A4" s="231" t="s">
        <v>159</v>
      </c>
      <c r="B4" s="362"/>
      <c r="C4" s="362"/>
      <c r="D4" s="362"/>
      <c r="E4" s="362"/>
    </row>
    <row r="5" spans="1:7" ht="15.75" thickBot="1" x14ac:dyDescent="0.3">
      <c r="B5" s="363"/>
      <c r="C5" s="363"/>
      <c r="D5" s="363"/>
      <c r="E5" s="363"/>
    </row>
    <row r="6" spans="1:7" ht="23.25" thickBot="1" x14ac:dyDescent="0.3">
      <c r="A6" s="337"/>
      <c r="B6" s="338" t="s">
        <v>221</v>
      </c>
      <c r="C6" s="334" t="s">
        <v>226</v>
      </c>
      <c r="D6" s="233" t="s">
        <v>140</v>
      </c>
      <c r="E6" s="338" t="s">
        <v>221</v>
      </c>
      <c r="F6" s="335" t="s">
        <v>230</v>
      </c>
      <c r="G6" s="233" t="s">
        <v>140</v>
      </c>
    </row>
    <row r="7" spans="1:7" ht="15.75" thickTop="1" x14ac:dyDescent="0.25">
      <c r="A7" s="234" t="s">
        <v>20</v>
      </c>
      <c r="B7" s="235"/>
      <c r="C7" s="236"/>
      <c r="D7" s="235"/>
      <c r="E7" s="235"/>
      <c r="F7" s="236"/>
      <c r="G7" s="235"/>
    </row>
    <row r="8" spans="1:7" x14ac:dyDescent="0.25">
      <c r="A8" s="237" t="s">
        <v>160</v>
      </c>
      <c r="B8" s="238"/>
      <c r="C8" s="239"/>
      <c r="D8" s="238"/>
      <c r="E8" s="238"/>
      <c r="F8" s="239"/>
      <c r="G8" s="238"/>
    </row>
    <row r="9" spans="1:7" ht="15.75" thickBot="1" x14ac:dyDescent="0.3">
      <c r="A9" s="240" t="s">
        <v>161</v>
      </c>
      <c r="B9" s="242">
        <v>286064</v>
      </c>
      <c r="C9" s="243">
        <v>291761</v>
      </c>
      <c r="D9" s="244">
        <f t="shared" ref="D9:D15" si="0">(C9-B9)/B9</f>
        <v>1.9915123888360645E-2</v>
      </c>
      <c r="E9" s="242">
        <v>286064</v>
      </c>
      <c r="F9" s="243">
        <v>206643</v>
      </c>
      <c r="G9" s="244">
        <f t="shared" ref="G9:G15" si="1">(F9-E9)/E9</f>
        <v>-0.27763367638011077</v>
      </c>
    </row>
    <row r="10" spans="1:7" ht="15.75" thickBot="1" x14ac:dyDescent="0.3">
      <c r="A10" s="240" t="s">
        <v>162</v>
      </c>
      <c r="B10" s="242">
        <v>878280</v>
      </c>
      <c r="C10" s="243">
        <v>841750</v>
      </c>
      <c r="D10" s="244">
        <f t="shared" si="0"/>
        <v>-4.1592658377738304E-2</v>
      </c>
      <c r="E10" s="242">
        <v>878280</v>
      </c>
      <c r="F10" s="243">
        <v>819646</v>
      </c>
      <c r="G10" s="244">
        <f t="shared" si="1"/>
        <v>-6.676003096962245E-2</v>
      </c>
    </row>
    <row r="11" spans="1:7" ht="15.75" thickBot="1" x14ac:dyDescent="0.3">
      <c r="A11" s="240" t="s">
        <v>36</v>
      </c>
      <c r="B11" s="242">
        <v>1032969</v>
      </c>
      <c r="C11" s="243">
        <v>1119078</v>
      </c>
      <c r="D11" s="244">
        <f t="shared" si="0"/>
        <v>8.3360681685510404E-2</v>
      </c>
      <c r="E11" s="242">
        <v>1032969</v>
      </c>
      <c r="F11" s="243">
        <v>1083821</v>
      </c>
      <c r="G11" s="244">
        <f t="shared" si="1"/>
        <v>4.9228970085259095E-2</v>
      </c>
    </row>
    <row r="12" spans="1:7" ht="15.75" thickBot="1" x14ac:dyDescent="0.3">
      <c r="A12" s="240" t="s">
        <v>163</v>
      </c>
      <c r="B12" s="242">
        <v>53119</v>
      </c>
      <c r="C12" s="243">
        <v>51847</v>
      </c>
      <c r="D12" s="244">
        <f t="shared" si="0"/>
        <v>-2.3946233927596528E-2</v>
      </c>
      <c r="E12" s="242">
        <v>53119</v>
      </c>
      <c r="F12" s="243">
        <v>59385</v>
      </c>
      <c r="G12" s="244">
        <f t="shared" si="1"/>
        <v>0.11796155801125774</v>
      </c>
    </row>
    <row r="13" spans="1:7" ht="15.75" thickBot="1" x14ac:dyDescent="0.3">
      <c r="A13" s="240" t="s">
        <v>164</v>
      </c>
      <c r="B13" s="242">
        <v>220762</v>
      </c>
      <c r="C13" s="243">
        <v>241822</v>
      </c>
      <c r="D13" s="244">
        <f t="shared" si="0"/>
        <v>9.5396852719217981E-2</v>
      </c>
      <c r="E13" s="242">
        <v>220762</v>
      </c>
      <c r="F13" s="243">
        <v>279691</v>
      </c>
      <c r="G13" s="244">
        <f t="shared" si="1"/>
        <v>0.26693452677544144</v>
      </c>
    </row>
    <row r="14" spans="1:7" ht="15.75" thickBot="1" x14ac:dyDescent="0.3">
      <c r="A14" s="245" t="s">
        <v>165</v>
      </c>
      <c r="B14" s="247">
        <v>71679</v>
      </c>
      <c r="C14" s="248">
        <v>77861</v>
      </c>
      <c r="D14" s="244">
        <f t="shared" si="0"/>
        <v>8.6245622846300871E-2</v>
      </c>
      <c r="E14" s="247">
        <v>71679</v>
      </c>
      <c r="F14" s="248">
        <v>65702</v>
      </c>
      <c r="G14" s="244">
        <f t="shared" si="1"/>
        <v>-8.3385649911410592E-2</v>
      </c>
    </row>
    <row r="15" spans="1:7" ht="15.75" thickBot="1" x14ac:dyDescent="0.3">
      <c r="A15" s="249" t="s">
        <v>166</v>
      </c>
      <c r="B15" s="250">
        <f>SUM(B9:B14)</f>
        <v>2542873</v>
      </c>
      <c r="C15" s="251">
        <f>SUM(C9:C14)</f>
        <v>2624119</v>
      </c>
      <c r="D15" s="244">
        <f t="shared" si="0"/>
        <v>3.1950474915577773E-2</v>
      </c>
      <c r="E15" s="250">
        <f>SUM(E9:E14)</f>
        <v>2542873</v>
      </c>
      <c r="F15" s="251">
        <f>SUM(F9:F14)</f>
        <v>2514888</v>
      </c>
      <c r="G15" s="244">
        <f t="shared" si="1"/>
        <v>-1.1005268450292248E-2</v>
      </c>
    </row>
    <row r="16" spans="1:7" x14ac:dyDescent="0.25">
      <c r="A16" s="237" t="s">
        <v>167</v>
      </c>
      <c r="B16" s="238"/>
      <c r="C16" s="239"/>
      <c r="D16" s="238"/>
      <c r="E16" s="238"/>
      <c r="F16" s="239"/>
      <c r="G16" s="238"/>
    </row>
    <row r="17" spans="1:7" ht="15.75" thickBot="1" x14ac:dyDescent="0.3">
      <c r="A17" s="240" t="s">
        <v>162</v>
      </c>
      <c r="B17" s="242">
        <v>26729</v>
      </c>
      <c r="C17" s="243">
        <v>25395</v>
      </c>
      <c r="D17" s="244">
        <f t="shared" ref="D17:D28" si="2">(C17-B17)/B17</f>
        <v>-4.9908339256986796E-2</v>
      </c>
      <c r="E17" s="242">
        <v>26729</v>
      </c>
      <c r="F17" s="243">
        <v>26190</v>
      </c>
      <c r="G17" s="244">
        <f t="shared" ref="G17:G28" si="3">(F17-E17)/E17</f>
        <v>-2.0165363462905459E-2</v>
      </c>
    </row>
    <row r="18" spans="1:7" ht="15.75" thickBot="1" x14ac:dyDescent="0.3">
      <c r="A18" s="240" t="s">
        <v>168</v>
      </c>
      <c r="B18" s="242">
        <v>5699</v>
      </c>
      <c r="C18" s="243">
        <v>6156</v>
      </c>
      <c r="D18" s="244">
        <f t="shared" si="2"/>
        <v>8.018950693104053E-2</v>
      </c>
      <c r="E18" s="242">
        <v>5699</v>
      </c>
      <c r="F18" s="243">
        <v>6491</v>
      </c>
      <c r="G18" s="244">
        <f t="shared" si="3"/>
        <v>0.13897174942972451</v>
      </c>
    </row>
    <row r="19" spans="1:7" ht="15.75" thickBot="1" x14ac:dyDescent="0.3">
      <c r="A19" s="240" t="s">
        <v>169</v>
      </c>
      <c r="B19" s="242">
        <v>109021</v>
      </c>
      <c r="C19" s="243">
        <v>110760</v>
      </c>
      <c r="D19" s="244">
        <f t="shared" si="2"/>
        <v>1.5951055301272232E-2</v>
      </c>
      <c r="E19" s="242">
        <v>109021</v>
      </c>
      <c r="F19" s="243">
        <v>161255</v>
      </c>
      <c r="G19" s="244">
        <f t="shared" si="3"/>
        <v>0.47911870190146855</v>
      </c>
    </row>
    <row r="20" spans="1:7" ht="15.75" thickBot="1" x14ac:dyDescent="0.3">
      <c r="A20" s="240" t="s">
        <v>170</v>
      </c>
      <c r="B20" s="242">
        <v>3418149</v>
      </c>
      <c r="C20" s="243">
        <v>3893661</v>
      </c>
      <c r="D20" s="244">
        <f t="shared" si="2"/>
        <v>0.13911388883281567</v>
      </c>
      <c r="E20" s="242">
        <v>3418149</v>
      </c>
      <c r="F20" s="243">
        <v>3756035</v>
      </c>
      <c r="G20" s="244">
        <f t="shared" si="3"/>
        <v>9.885057673027127E-2</v>
      </c>
    </row>
    <row r="21" spans="1:7" ht="15.75" thickBot="1" x14ac:dyDescent="0.3">
      <c r="A21" s="240" t="s">
        <v>171</v>
      </c>
      <c r="B21" s="242">
        <v>3383722</v>
      </c>
      <c r="C21" s="243">
        <v>3364160</v>
      </c>
      <c r="D21" s="244">
        <f t="shared" si="2"/>
        <v>-5.7812077942573301E-3</v>
      </c>
      <c r="E21" s="242">
        <v>3383722</v>
      </c>
      <c r="F21" s="243">
        <v>3312068</v>
      </c>
      <c r="G21" s="244">
        <f t="shared" si="3"/>
        <v>-2.1176089525085099E-2</v>
      </c>
    </row>
    <row r="22" spans="1:7" ht="15.75" thickBot="1" x14ac:dyDescent="0.3">
      <c r="A22" s="240" t="s">
        <v>141</v>
      </c>
      <c r="B22" s="242">
        <v>82393</v>
      </c>
      <c r="C22" s="243">
        <v>82141</v>
      </c>
      <c r="D22" s="244">
        <f t="shared" si="2"/>
        <v>-3.0585122522544389E-3</v>
      </c>
      <c r="E22" s="242">
        <v>82393</v>
      </c>
      <c r="F22" s="243">
        <v>77368</v>
      </c>
      <c r="G22" s="244">
        <f t="shared" si="3"/>
        <v>-6.098819074435935E-2</v>
      </c>
    </row>
    <row r="23" spans="1:7" ht="15.75" thickBot="1" x14ac:dyDescent="0.3">
      <c r="A23" s="240" t="s">
        <v>172</v>
      </c>
      <c r="B23" s="242">
        <v>2033403</v>
      </c>
      <c r="C23" s="243">
        <v>2036765</v>
      </c>
      <c r="D23" s="244">
        <f t="shared" si="2"/>
        <v>1.6533859741526889E-3</v>
      </c>
      <c r="E23" s="242">
        <v>2033403</v>
      </c>
      <c r="F23" s="243">
        <v>2018384</v>
      </c>
      <c r="G23" s="244">
        <f t="shared" si="3"/>
        <v>-7.3861403765018542E-3</v>
      </c>
    </row>
    <row r="24" spans="1:7" ht="15.75" thickBot="1" x14ac:dyDescent="0.3">
      <c r="A24" s="240" t="s">
        <v>173</v>
      </c>
      <c r="B24" s="242">
        <v>1179957</v>
      </c>
      <c r="C24" s="243">
        <v>1172357</v>
      </c>
      <c r="D24" s="244">
        <f t="shared" si="2"/>
        <v>-6.4409126773263773E-3</v>
      </c>
      <c r="E24" s="242">
        <v>1179957</v>
      </c>
      <c r="F24" s="243">
        <v>1155162</v>
      </c>
      <c r="G24" s="244">
        <f t="shared" si="3"/>
        <v>-2.1013477609777304E-2</v>
      </c>
    </row>
    <row r="25" spans="1:7" ht="15.75" thickBot="1" x14ac:dyDescent="0.3">
      <c r="A25" s="240" t="s">
        <v>174</v>
      </c>
      <c r="B25" s="242">
        <v>355461</v>
      </c>
      <c r="C25" s="243">
        <v>371603</v>
      </c>
      <c r="D25" s="244">
        <f t="shared" si="2"/>
        <v>4.5411451607911976E-2</v>
      </c>
      <c r="E25" s="242">
        <v>355461</v>
      </c>
      <c r="F25" s="243">
        <v>365896</v>
      </c>
      <c r="G25" s="244">
        <f t="shared" si="3"/>
        <v>2.9356244426252107E-2</v>
      </c>
    </row>
    <row r="26" spans="1:7" ht="15.75" thickBot="1" x14ac:dyDescent="0.3">
      <c r="A26" s="245" t="s">
        <v>25</v>
      </c>
      <c r="B26" s="247">
        <v>40645</v>
      </c>
      <c r="C26" s="248">
        <v>42717</v>
      </c>
      <c r="D26" s="252">
        <f t="shared" si="2"/>
        <v>5.0977980071349488E-2</v>
      </c>
      <c r="E26" s="247">
        <v>40645</v>
      </c>
      <c r="F26" s="248">
        <v>44171</v>
      </c>
      <c r="G26" s="252">
        <f t="shared" si="3"/>
        <v>8.6751137901340883E-2</v>
      </c>
    </row>
    <row r="27" spans="1:7" ht="15.75" thickBot="1" x14ac:dyDescent="0.3">
      <c r="A27" s="249" t="s">
        <v>175</v>
      </c>
      <c r="B27" s="250">
        <f>SUM(B17:B26)</f>
        <v>10635179</v>
      </c>
      <c r="C27" s="251">
        <f>SUM(C17:C26)</f>
        <v>11105715</v>
      </c>
      <c r="D27" s="253">
        <f t="shared" si="2"/>
        <v>4.4243355001359168E-2</v>
      </c>
      <c r="E27" s="250">
        <f>SUM(E17:E26)</f>
        <v>10635179</v>
      </c>
      <c r="F27" s="251">
        <f>SUM(F17:F26)</f>
        <v>10923020</v>
      </c>
      <c r="G27" s="253">
        <f t="shared" si="3"/>
        <v>2.7064988751012091E-2</v>
      </c>
    </row>
    <row r="28" spans="1:7" ht="15.75" thickBot="1" x14ac:dyDescent="0.3">
      <c r="A28" s="249" t="s">
        <v>176</v>
      </c>
      <c r="B28" s="250">
        <f>+B15+B27</f>
        <v>13178052</v>
      </c>
      <c r="C28" s="251">
        <f>+C15+C27</f>
        <v>13729834</v>
      </c>
      <c r="D28" s="253">
        <f t="shared" si="2"/>
        <v>4.18712871978347E-2</v>
      </c>
      <c r="E28" s="250">
        <f>+E15+E27</f>
        <v>13178052</v>
      </c>
      <c r="F28" s="251">
        <f>+F15+F27</f>
        <v>13437908</v>
      </c>
      <c r="G28" s="253">
        <f t="shared" si="3"/>
        <v>1.9718847671871383E-2</v>
      </c>
    </row>
    <row r="29" spans="1:7" x14ac:dyDescent="0.25">
      <c r="A29" s="234" t="s">
        <v>142</v>
      </c>
      <c r="B29" s="254"/>
      <c r="C29" s="255"/>
      <c r="D29" s="254"/>
      <c r="E29" s="254"/>
      <c r="F29" s="255"/>
      <c r="G29" s="254"/>
    </row>
    <row r="30" spans="1:7" x14ac:dyDescent="0.25">
      <c r="A30" s="237" t="s">
        <v>177</v>
      </c>
      <c r="B30" s="256"/>
      <c r="C30" s="239"/>
      <c r="D30" s="256"/>
      <c r="E30" s="256"/>
      <c r="F30" s="239"/>
      <c r="G30" s="256"/>
    </row>
    <row r="31" spans="1:7" ht="15.75" thickBot="1" x14ac:dyDescent="0.3">
      <c r="A31" s="240" t="s">
        <v>28</v>
      </c>
      <c r="B31" s="242">
        <v>1059660</v>
      </c>
      <c r="C31" s="243">
        <v>1044488</v>
      </c>
      <c r="D31" s="244">
        <f t="shared" ref="D31:D37" si="4">(C31-B31)/B31</f>
        <v>-1.4317800049072344E-2</v>
      </c>
      <c r="E31" s="242">
        <v>1059660</v>
      </c>
      <c r="F31" s="243">
        <v>862246</v>
      </c>
      <c r="G31" s="244">
        <f t="shared" ref="G31:G37" si="5">(F31-E31)/E31</f>
        <v>-0.18629937904610913</v>
      </c>
    </row>
    <row r="32" spans="1:7" ht="15.75" thickBot="1" x14ac:dyDescent="0.3">
      <c r="A32" s="240" t="s">
        <v>178</v>
      </c>
      <c r="B32" s="242">
        <v>825435</v>
      </c>
      <c r="C32" s="243">
        <v>935523</v>
      </c>
      <c r="D32" s="244">
        <f t="shared" si="4"/>
        <v>0.13336967780624762</v>
      </c>
      <c r="E32" s="242">
        <v>825435</v>
      </c>
      <c r="F32" s="243">
        <v>861844</v>
      </c>
      <c r="G32" s="244">
        <f t="shared" si="5"/>
        <v>4.4108863811202575E-2</v>
      </c>
    </row>
    <row r="33" spans="1:7" ht="15.75" thickBot="1" x14ac:dyDescent="0.3">
      <c r="A33" s="240" t="s">
        <v>30</v>
      </c>
      <c r="B33" s="242">
        <v>172323</v>
      </c>
      <c r="C33" s="243">
        <v>186031</v>
      </c>
      <c r="D33" s="244">
        <f t="shared" si="4"/>
        <v>7.9548290129582241E-2</v>
      </c>
      <c r="E33" s="242">
        <v>172323</v>
      </c>
      <c r="F33" s="243">
        <v>205184</v>
      </c>
      <c r="G33" s="244">
        <f t="shared" si="5"/>
        <v>0.19069421957602872</v>
      </c>
    </row>
    <row r="34" spans="1:7" ht="15.75" thickBot="1" x14ac:dyDescent="0.3">
      <c r="A34" s="240" t="s">
        <v>179</v>
      </c>
      <c r="B34" s="242">
        <v>160628</v>
      </c>
      <c r="C34" s="243">
        <v>122670</v>
      </c>
      <c r="D34" s="244">
        <f t="shared" si="4"/>
        <v>-0.23630998331548672</v>
      </c>
      <c r="E34" s="242">
        <v>160628</v>
      </c>
      <c r="F34" s="243">
        <v>129825</v>
      </c>
      <c r="G34" s="244">
        <f t="shared" si="5"/>
        <v>-0.19176606818238415</v>
      </c>
    </row>
    <row r="35" spans="1:7" ht="15.75" thickBot="1" x14ac:dyDescent="0.3">
      <c r="A35" s="240" t="s">
        <v>180</v>
      </c>
      <c r="B35" s="242">
        <v>4415</v>
      </c>
      <c r="C35" s="243">
        <v>3289</v>
      </c>
      <c r="D35" s="244">
        <f t="shared" si="4"/>
        <v>-0.25503963759909398</v>
      </c>
      <c r="E35" s="242">
        <v>4415</v>
      </c>
      <c r="F35" s="243">
        <v>2901</v>
      </c>
      <c r="G35" s="244">
        <f t="shared" si="5"/>
        <v>-0.34292185730464325</v>
      </c>
    </row>
    <row r="36" spans="1:7" ht="15.75" thickBot="1" x14ac:dyDescent="0.3">
      <c r="A36" s="245" t="s">
        <v>143</v>
      </c>
      <c r="B36" s="247">
        <v>26641</v>
      </c>
      <c r="C36" s="248">
        <v>26274</v>
      </c>
      <c r="D36" s="252">
        <f t="shared" si="4"/>
        <v>-1.3775759168199392E-2</v>
      </c>
      <c r="E36" s="247">
        <v>26641</v>
      </c>
      <c r="F36" s="248">
        <v>22619</v>
      </c>
      <c r="G36" s="252">
        <f t="shared" si="5"/>
        <v>-0.15097030892233776</v>
      </c>
    </row>
    <row r="37" spans="1:7" ht="15.75" thickBot="1" x14ac:dyDescent="0.3">
      <c r="A37" s="249" t="s">
        <v>181</v>
      </c>
      <c r="B37" s="250">
        <f>SUM(B31:B36)</f>
        <v>2249102</v>
      </c>
      <c r="C37" s="251">
        <f>SUM(C31:C36)</f>
        <v>2318275</v>
      </c>
      <c r="D37" s="253">
        <f t="shared" si="4"/>
        <v>3.0755830549259216E-2</v>
      </c>
      <c r="E37" s="250">
        <f>SUM(E31:E36)</f>
        <v>2249102</v>
      </c>
      <c r="F37" s="251">
        <f>SUM(F31:F36)</f>
        <v>2084619</v>
      </c>
      <c r="G37" s="253">
        <f t="shared" si="5"/>
        <v>-7.313274364613076E-2</v>
      </c>
    </row>
    <row r="38" spans="1:7" x14ac:dyDescent="0.25">
      <c r="A38" s="237" t="s">
        <v>182</v>
      </c>
      <c r="B38" s="238"/>
      <c r="C38" s="239"/>
      <c r="D38" s="238"/>
      <c r="E38" s="238"/>
      <c r="F38" s="239"/>
      <c r="G38" s="238"/>
    </row>
    <row r="39" spans="1:7" ht="15.75" thickBot="1" x14ac:dyDescent="0.3">
      <c r="A39" s="240" t="s">
        <v>28</v>
      </c>
      <c r="B39" s="242">
        <v>2034604</v>
      </c>
      <c r="C39" s="243">
        <v>2170378</v>
      </c>
      <c r="D39" s="244">
        <f>(C39-B39)/B39</f>
        <v>6.6732396082972406E-2</v>
      </c>
      <c r="E39" s="242">
        <v>2034604</v>
      </c>
      <c r="F39" s="243">
        <v>2309966</v>
      </c>
      <c r="G39" s="244">
        <f>(F39-E39)/E39</f>
        <v>0.13533935842060665</v>
      </c>
    </row>
    <row r="40" spans="1:7" ht="15.75" thickBot="1" x14ac:dyDescent="0.3">
      <c r="A40" s="240" t="s">
        <v>178</v>
      </c>
      <c r="B40" s="241">
        <v>159</v>
      </c>
      <c r="C40" s="257">
        <v>158</v>
      </c>
      <c r="D40" s="244">
        <f>(C40-B40)/B40</f>
        <v>-6.2893081761006293E-3</v>
      </c>
      <c r="E40" s="241">
        <v>159</v>
      </c>
      <c r="F40" s="257">
        <v>159</v>
      </c>
      <c r="G40" s="244">
        <f>(F40-E40)/E40</f>
        <v>0</v>
      </c>
    </row>
    <row r="41" spans="1:7" ht="15.75" thickBot="1" x14ac:dyDescent="0.3">
      <c r="A41" s="240" t="s">
        <v>179</v>
      </c>
      <c r="B41" s="242">
        <v>211533</v>
      </c>
      <c r="C41" s="243">
        <v>218264</v>
      </c>
      <c r="D41" s="244">
        <f>(C41-B41)/B41</f>
        <v>3.1820094264251912E-2</v>
      </c>
      <c r="E41" s="242">
        <v>211533</v>
      </c>
      <c r="F41" s="243">
        <v>226813</v>
      </c>
      <c r="G41" s="244">
        <f>(F41-E41)/E41</f>
        <v>7.2234592238563253E-2</v>
      </c>
    </row>
    <row r="42" spans="1:7" ht="15.75" thickBot="1" x14ac:dyDescent="0.3">
      <c r="A42" s="240" t="s">
        <v>183</v>
      </c>
      <c r="B42" s="242">
        <v>727692</v>
      </c>
      <c r="C42" s="243">
        <v>642624</v>
      </c>
      <c r="D42" s="244">
        <f>(C42-B42)/B42</f>
        <v>-0.11690110651209577</v>
      </c>
      <c r="E42" s="242">
        <v>727692</v>
      </c>
      <c r="F42" s="243">
        <v>636888</v>
      </c>
      <c r="G42" s="244">
        <f>(F42-E42)/E42</f>
        <v>-0.12478356227634768</v>
      </c>
    </row>
    <row r="43" spans="1:7" ht="15.75" thickBot="1" x14ac:dyDescent="0.3">
      <c r="A43" s="245" t="s">
        <v>143</v>
      </c>
      <c r="B43" s="246" t="s">
        <v>184</v>
      </c>
      <c r="C43" s="258">
        <v>779</v>
      </c>
      <c r="D43" s="252" t="s">
        <v>131</v>
      </c>
      <c r="E43" s="246" t="s">
        <v>184</v>
      </c>
      <c r="F43" s="258">
        <v>801</v>
      </c>
      <c r="G43" s="252" t="s">
        <v>131</v>
      </c>
    </row>
    <row r="44" spans="1:7" ht="15.75" thickBot="1" x14ac:dyDescent="0.3">
      <c r="A44" s="249" t="s">
        <v>185</v>
      </c>
      <c r="B44" s="250">
        <f>SUM(B39:B43)</f>
        <v>2973988</v>
      </c>
      <c r="C44" s="251">
        <f>SUM(C39:C43)</f>
        <v>3032203</v>
      </c>
      <c r="D44" s="253">
        <f>(C44-B44)/B44</f>
        <v>1.9574725923574676E-2</v>
      </c>
      <c r="E44" s="250">
        <f>SUM(E39:E43)</f>
        <v>2973988</v>
      </c>
      <c r="F44" s="251">
        <f>SUM(F39:F43)</f>
        <v>3174627</v>
      </c>
      <c r="G44" s="253">
        <f>(F44-E44)/E44</f>
        <v>6.7464629985057104E-2</v>
      </c>
    </row>
    <row r="45" spans="1:7" ht="15.75" thickBot="1" x14ac:dyDescent="0.3">
      <c r="A45" s="249" t="s">
        <v>186</v>
      </c>
      <c r="B45" s="250">
        <f>+B37+B44</f>
        <v>5223090</v>
      </c>
      <c r="C45" s="251">
        <f>+C37+C44</f>
        <v>5350478</v>
      </c>
      <c r="D45" s="253">
        <f>(C45-B45)/B45</f>
        <v>2.4389394017717482E-2</v>
      </c>
      <c r="E45" s="250">
        <f>+E37+E44</f>
        <v>5223090</v>
      </c>
      <c r="F45" s="251">
        <f>+F37+F44</f>
        <v>5259246</v>
      </c>
      <c r="G45" s="253">
        <f>(F45-E45)/E45</f>
        <v>6.9223390751451726E-3</v>
      </c>
    </row>
    <row r="46" spans="1:7" x14ac:dyDescent="0.25">
      <c r="A46" s="234" t="s">
        <v>34</v>
      </c>
      <c r="B46" s="254"/>
      <c r="C46" s="255"/>
      <c r="D46" s="254"/>
      <c r="E46" s="254"/>
      <c r="F46" s="255"/>
      <c r="G46" s="254"/>
    </row>
    <row r="47" spans="1:7" ht="15.75" thickBot="1" x14ac:dyDescent="0.3">
      <c r="A47" s="249" t="s">
        <v>187</v>
      </c>
      <c r="B47" s="250">
        <v>7920603</v>
      </c>
      <c r="C47" s="251">
        <v>8344147</v>
      </c>
      <c r="D47" s="253">
        <f>(C47-B47)/B47</f>
        <v>5.3473706484215913E-2</v>
      </c>
      <c r="E47" s="250">
        <v>7920603</v>
      </c>
      <c r="F47" s="251">
        <v>8143026</v>
      </c>
      <c r="G47" s="253">
        <f>(F47-E47)/E47</f>
        <v>2.808157409227555E-2</v>
      </c>
    </row>
    <row r="48" spans="1:7" ht="15.75" thickBot="1" x14ac:dyDescent="0.3">
      <c r="A48" s="259" t="s">
        <v>188</v>
      </c>
      <c r="B48" s="247">
        <v>34359</v>
      </c>
      <c r="C48" s="248">
        <v>35209</v>
      </c>
      <c r="D48" s="252">
        <f>(C48-B48)/B48</f>
        <v>2.473878750836753E-2</v>
      </c>
      <c r="E48" s="247">
        <v>34359</v>
      </c>
      <c r="F48" s="248">
        <v>35636</v>
      </c>
      <c r="G48" s="252">
        <f>(F48-E48)/E48</f>
        <v>3.7166390174335692E-2</v>
      </c>
    </row>
    <row r="49" spans="1:18" ht="15.75" thickBot="1" x14ac:dyDescent="0.3">
      <c r="A49" s="249" t="s">
        <v>189</v>
      </c>
      <c r="B49" s="250">
        <f>SUM(B47:B48)</f>
        <v>7954962</v>
      </c>
      <c r="C49" s="251">
        <f>SUM(C47:C48)</f>
        <v>8379356</v>
      </c>
      <c r="D49" s="253">
        <f>(C49-B49)/B49</f>
        <v>5.3349594881785735E-2</v>
      </c>
      <c r="E49" s="250">
        <f>SUM(E47:E48)</f>
        <v>7954962</v>
      </c>
      <c r="F49" s="251">
        <f>SUM(F47:F48)</f>
        <v>8178662</v>
      </c>
      <c r="G49" s="253">
        <f>(F49-E49)/E49</f>
        <v>2.8120813147818932E-2</v>
      </c>
    </row>
    <row r="50" spans="1:18" ht="15.75" thickBot="1" x14ac:dyDescent="0.3">
      <c r="A50" s="260" t="s">
        <v>190</v>
      </c>
      <c r="B50" s="261">
        <f>+B45+B49</f>
        <v>13178052</v>
      </c>
      <c r="C50" s="251">
        <f>+C45+C49</f>
        <v>13729834</v>
      </c>
      <c r="D50" s="262">
        <f>(C50-B50)/B50</f>
        <v>4.18712871978347E-2</v>
      </c>
      <c r="E50" s="261">
        <f>+E45+E49</f>
        <v>13178052</v>
      </c>
      <c r="F50" s="251">
        <f>+F45+F49</f>
        <v>13437908</v>
      </c>
      <c r="G50" s="262">
        <f>(F50-E50)/E50</f>
        <v>1.9718847671871383E-2</v>
      </c>
    </row>
    <row r="53" spans="1:18" ht="18.75" x14ac:dyDescent="0.3">
      <c r="A53" s="264" t="s">
        <v>191</v>
      </c>
      <c r="B53" s="362"/>
      <c r="C53" s="362"/>
      <c r="D53" s="362"/>
      <c r="E53" s="362"/>
    </row>
    <row r="54" spans="1:18" x14ac:dyDescent="0.25">
      <c r="A54" s="315" t="s">
        <v>215</v>
      </c>
      <c r="B54" s="362"/>
      <c r="C54" s="362"/>
      <c r="D54" s="362"/>
      <c r="E54" s="362"/>
    </row>
    <row r="55" spans="1:18" x14ac:dyDescent="0.25">
      <c r="A55" s="314" t="s">
        <v>88</v>
      </c>
      <c r="B55" s="362"/>
      <c r="C55" s="362"/>
      <c r="D55" s="362"/>
      <c r="E55" s="362"/>
    </row>
    <row r="56" spans="1:18" x14ac:dyDescent="0.25">
      <c r="A56" s="265" t="s">
        <v>159</v>
      </c>
      <c r="B56" s="362"/>
      <c r="C56" s="362"/>
      <c r="D56" s="362"/>
      <c r="E56" s="362"/>
    </row>
    <row r="57" spans="1:18" ht="15.75" thickBot="1" x14ac:dyDescent="0.3">
      <c r="B57" s="364"/>
      <c r="C57" s="364"/>
      <c r="D57" s="364"/>
      <c r="E57" s="364"/>
    </row>
    <row r="58" spans="1:18" s="352" customFormat="1" ht="15.75" thickBot="1" x14ac:dyDescent="0.3">
      <c r="A58" s="350"/>
      <c r="B58" s="348" t="s">
        <v>146</v>
      </c>
      <c r="C58" s="348" t="s">
        <v>55</v>
      </c>
      <c r="D58" s="351" t="s">
        <v>222</v>
      </c>
      <c r="E58" s="348" t="s">
        <v>55</v>
      </c>
      <c r="F58" s="348" t="s">
        <v>46</v>
      </c>
      <c r="G58" s="348" t="s">
        <v>146</v>
      </c>
      <c r="H58" s="351" t="s">
        <v>222</v>
      </c>
      <c r="I58" s="348" t="s">
        <v>148</v>
      </c>
      <c r="J58" s="348" t="s">
        <v>55</v>
      </c>
      <c r="K58" s="351" t="s">
        <v>231</v>
      </c>
      <c r="L58" s="348" t="s">
        <v>55</v>
      </c>
      <c r="M58" s="348" t="s">
        <v>46</v>
      </c>
      <c r="N58" s="348" t="s">
        <v>150</v>
      </c>
      <c r="O58" s="348" t="s">
        <v>55</v>
      </c>
      <c r="P58" s="351" t="s">
        <v>232</v>
      </c>
      <c r="Q58" s="348" t="s">
        <v>55</v>
      </c>
      <c r="R58" s="348" t="s">
        <v>46</v>
      </c>
    </row>
    <row r="59" spans="1:18" ht="15.75" thickTop="1" x14ac:dyDescent="0.25">
      <c r="A59" s="266" t="s">
        <v>193</v>
      </c>
      <c r="B59" s="232"/>
      <c r="C59" s="232"/>
      <c r="D59" s="267"/>
      <c r="E59" s="232"/>
      <c r="F59" s="232"/>
      <c r="G59" s="232"/>
      <c r="H59" s="267"/>
      <c r="I59" s="232"/>
      <c r="J59" s="232"/>
      <c r="K59" s="267"/>
      <c r="L59" s="232"/>
      <c r="M59" s="232"/>
      <c r="N59" s="232"/>
      <c r="O59" s="232"/>
      <c r="P59" s="267"/>
      <c r="Q59" s="232"/>
      <c r="R59" s="232"/>
    </row>
    <row r="60" spans="1:18" ht="15.75" thickBot="1" x14ac:dyDescent="0.3">
      <c r="A60" s="268" t="s">
        <v>194</v>
      </c>
      <c r="B60" s="269">
        <v>1726220</v>
      </c>
      <c r="C60" s="270">
        <f t="shared" ref="C60:C81" si="6">+B60/$B$60</f>
        <v>1</v>
      </c>
      <c r="D60" s="271">
        <v>2104216</v>
      </c>
      <c r="E60" s="270">
        <f t="shared" ref="E60:E81" si="7">+D60/$D$60</f>
        <v>1</v>
      </c>
      <c r="F60" s="270">
        <f t="shared" ref="F60:F74" si="8">(D60-B60)/B60</f>
        <v>0.21897324790582892</v>
      </c>
      <c r="G60" s="269">
        <v>1726220</v>
      </c>
      <c r="H60" s="271">
        <v>2104216</v>
      </c>
      <c r="I60" s="269">
        <v>1857181</v>
      </c>
      <c r="J60" s="270">
        <f t="shared" ref="J60:J81" si="9">I60/$I$60</f>
        <v>1</v>
      </c>
      <c r="K60" s="271">
        <v>2101067</v>
      </c>
      <c r="L60" s="270">
        <f t="shared" ref="L60:L81" si="10">+K60/$K$60</f>
        <v>1</v>
      </c>
      <c r="M60" s="270">
        <f t="shared" ref="M60:M65" si="11">(K60-I60)/I60</f>
        <v>0.13132053364750124</v>
      </c>
      <c r="N60" s="316">
        <f t="shared" ref="N60:N81" si="12">+G60+I60</f>
        <v>3583401</v>
      </c>
      <c r="O60" s="270">
        <f t="shared" ref="O60:O81" si="13">N60/$N$60</f>
        <v>1</v>
      </c>
      <c r="P60" s="323">
        <f t="shared" ref="P60:P74" si="14">+H60+K60</f>
        <v>4205283</v>
      </c>
      <c r="Q60" s="270">
        <f t="shared" ref="Q60:Q81" si="15">P60/$P$60</f>
        <v>1</v>
      </c>
      <c r="R60" s="270">
        <f t="shared" ref="R60:R81" si="16">(P60-N60)/N60</f>
        <v>0.17354518793738127</v>
      </c>
    </row>
    <row r="61" spans="1:18" ht="15.75" thickBot="1" x14ac:dyDescent="0.3">
      <c r="A61" s="272" t="s">
        <v>195</v>
      </c>
      <c r="B61" s="274">
        <v>-972781</v>
      </c>
      <c r="C61" s="275">
        <f t="shared" si="6"/>
        <v>-0.56353245820347353</v>
      </c>
      <c r="D61" s="276">
        <v>-1196310</v>
      </c>
      <c r="E61" s="275">
        <f t="shared" si="7"/>
        <v>-0.56853003684032433</v>
      </c>
      <c r="F61" s="275">
        <f t="shared" si="8"/>
        <v>0.22978347644536642</v>
      </c>
      <c r="G61" s="274">
        <v>-972781</v>
      </c>
      <c r="H61" s="276">
        <v>-1196310</v>
      </c>
      <c r="I61" s="274">
        <v>-1044465</v>
      </c>
      <c r="J61" s="275">
        <f t="shared" si="9"/>
        <v>-0.56239268008880128</v>
      </c>
      <c r="K61" s="276">
        <v>-1202985</v>
      </c>
      <c r="L61" s="275">
        <f t="shared" si="10"/>
        <v>-0.57255908545515211</v>
      </c>
      <c r="M61" s="275">
        <f t="shared" si="11"/>
        <v>0.15177148109319125</v>
      </c>
      <c r="N61" s="317">
        <f t="shared" si="12"/>
        <v>-2017246</v>
      </c>
      <c r="O61" s="275">
        <f t="shared" si="13"/>
        <v>-0.56294174165827382</v>
      </c>
      <c r="P61" s="324">
        <f t="shared" si="14"/>
        <v>-2399295</v>
      </c>
      <c r="Q61" s="275">
        <f t="shared" si="15"/>
        <v>-0.57054305263165406</v>
      </c>
      <c r="R61" s="275">
        <f t="shared" si="16"/>
        <v>0.18939137814624493</v>
      </c>
    </row>
    <row r="62" spans="1:18" ht="15.75" thickBot="1" x14ac:dyDescent="0.3">
      <c r="A62" s="277" t="s">
        <v>196</v>
      </c>
      <c r="B62" s="278">
        <f>SUM(B60:B61)</f>
        <v>753439</v>
      </c>
      <c r="C62" s="279">
        <f t="shared" si="6"/>
        <v>0.43646754179652653</v>
      </c>
      <c r="D62" s="280">
        <f>SUM(D60:D61)</f>
        <v>907906</v>
      </c>
      <c r="E62" s="279">
        <f t="shared" si="7"/>
        <v>0.43146996315967562</v>
      </c>
      <c r="F62" s="279">
        <f t="shared" si="8"/>
        <v>0.205015933605773</v>
      </c>
      <c r="G62" s="278">
        <f>SUM(G60:G61)</f>
        <v>753439</v>
      </c>
      <c r="H62" s="280">
        <f>SUM(H60:H61)</f>
        <v>907906</v>
      </c>
      <c r="I62" s="278">
        <f>SUM(I60:I61)</f>
        <v>812716</v>
      </c>
      <c r="J62" s="279">
        <f t="shared" si="9"/>
        <v>0.43760731991119872</v>
      </c>
      <c r="K62" s="280">
        <f>SUM(K60:K61)</f>
        <v>898082</v>
      </c>
      <c r="L62" s="279">
        <f t="shared" si="10"/>
        <v>0.42744091454484795</v>
      </c>
      <c r="M62" s="279">
        <f t="shared" si="11"/>
        <v>0.10503792222621432</v>
      </c>
      <c r="N62" s="318">
        <f t="shared" si="12"/>
        <v>1566155</v>
      </c>
      <c r="O62" s="279">
        <f t="shared" si="13"/>
        <v>0.43705825834172618</v>
      </c>
      <c r="P62" s="325">
        <f t="shared" si="14"/>
        <v>1805988</v>
      </c>
      <c r="Q62" s="279">
        <f t="shared" si="15"/>
        <v>0.42945694736834594</v>
      </c>
      <c r="R62" s="279">
        <f t="shared" si="16"/>
        <v>0.15313490682595274</v>
      </c>
    </row>
    <row r="63" spans="1:18" ht="15.75" thickBot="1" x14ac:dyDescent="0.3">
      <c r="A63" s="272" t="s">
        <v>7</v>
      </c>
      <c r="B63" s="274">
        <v>-96265</v>
      </c>
      <c r="C63" s="275">
        <f t="shared" si="6"/>
        <v>-5.5766356547832838E-2</v>
      </c>
      <c r="D63" s="276">
        <v>-97009</v>
      </c>
      <c r="E63" s="275">
        <f t="shared" si="7"/>
        <v>-4.6102206237382475E-2</v>
      </c>
      <c r="F63" s="275">
        <f t="shared" si="8"/>
        <v>7.7286656624941568E-3</v>
      </c>
      <c r="G63" s="274">
        <v>-96265</v>
      </c>
      <c r="H63" s="276">
        <v>-97009</v>
      </c>
      <c r="I63" s="274">
        <v>-86819</v>
      </c>
      <c r="J63" s="275">
        <f t="shared" si="9"/>
        <v>-4.6747732181192894E-2</v>
      </c>
      <c r="K63" s="276">
        <v>-96978</v>
      </c>
      <c r="L63" s="275">
        <f t="shared" si="10"/>
        <v>-4.6156548077714799E-2</v>
      </c>
      <c r="M63" s="275">
        <f t="shared" si="11"/>
        <v>0.11701355694030109</v>
      </c>
      <c r="N63" s="317">
        <f t="shared" si="12"/>
        <v>-183084</v>
      </c>
      <c r="O63" s="275">
        <f t="shared" si="13"/>
        <v>-5.109224449063892E-2</v>
      </c>
      <c r="P63" s="324">
        <f t="shared" si="14"/>
        <v>-193987</v>
      </c>
      <c r="Q63" s="275">
        <f t="shared" si="15"/>
        <v>-4.6129356811420302E-2</v>
      </c>
      <c r="R63" s="275">
        <f t="shared" si="16"/>
        <v>5.9551899674466363E-2</v>
      </c>
    </row>
    <row r="64" spans="1:18" ht="15.75" thickBot="1" x14ac:dyDescent="0.3">
      <c r="A64" s="272" t="s">
        <v>8</v>
      </c>
      <c r="B64" s="274">
        <v>-436316</v>
      </c>
      <c r="C64" s="275">
        <f t="shared" si="6"/>
        <v>-0.25275804937956925</v>
      </c>
      <c r="D64" s="276">
        <v>-547935</v>
      </c>
      <c r="E64" s="275">
        <f t="shared" si="7"/>
        <v>-0.26039864728716061</v>
      </c>
      <c r="F64" s="275">
        <f t="shared" si="8"/>
        <v>0.25582146884368212</v>
      </c>
      <c r="G64" s="274">
        <v>-436316</v>
      </c>
      <c r="H64" s="276">
        <v>-547935</v>
      </c>
      <c r="I64" s="274">
        <v>-519884</v>
      </c>
      <c r="J64" s="275">
        <f t="shared" si="9"/>
        <v>-0.27993178909325478</v>
      </c>
      <c r="K64" s="276">
        <v>-580720</v>
      </c>
      <c r="L64" s="275">
        <f t="shared" si="10"/>
        <v>-0.27639289941729606</v>
      </c>
      <c r="M64" s="275">
        <f t="shared" si="11"/>
        <v>0.11701841179955529</v>
      </c>
      <c r="N64" s="317">
        <f t="shared" si="12"/>
        <v>-956200</v>
      </c>
      <c r="O64" s="275">
        <f t="shared" si="13"/>
        <v>-0.26684147266800451</v>
      </c>
      <c r="P64" s="324">
        <f t="shared" si="14"/>
        <v>-1128655</v>
      </c>
      <c r="Q64" s="275">
        <f t="shared" si="15"/>
        <v>-0.26838978494431887</v>
      </c>
      <c r="R64" s="275">
        <f t="shared" si="16"/>
        <v>0.18035452834135118</v>
      </c>
    </row>
    <row r="65" spans="1:18" ht="15.75" thickBot="1" x14ac:dyDescent="0.3">
      <c r="A65" s="272" t="s">
        <v>84</v>
      </c>
      <c r="B65" s="274">
        <v>-32449</v>
      </c>
      <c r="C65" s="275">
        <f t="shared" si="6"/>
        <v>-1.8797719873480785E-2</v>
      </c>
      <c r="D65" s="276">
        <v>-34692</v>
      </c>
      <c r="E65" s="275">
        <f t="shared" si="7"/>
        <v>-1.6486900584350657E-2</v>
      </c>
      <c r="F65" s="275">
        <f t="shared" si="8"/>
        <v>6.9123855896945974E-2</v>
      </c>
      <c r="G65" s="274">
        <v>-32449</v>
      </c>
      <c r="H65" s="276">
        <v>-34692</v>
      </c>
      <c r="I65" s="274">
        <v>-32185</v>
      </c>
      <c r="J65" s="275">
        <f t="shared" si="9"/>
        <v>-1.7330028683257045E-2</v>
      </c>
      <c r="K65" s="276">
        <v>-34612</v>
      </c>
      <c r="L65" s="275">
        <f t="shared" si="10"/>
        <v>-1.6473534637400901E-2</v>
      </c>
      <c r="M65" s="275">
        <f t="shared" si="11"/>
        <v>7.5407798663973902E-2</v>
      </c>
      <c r="N65" s="317">
        <f t="shared" si="12"/>
        <v>-64634</v>
      </c>
      <c r="O65" s="275">
        <f t="shared" si="13"/>
        <v>-1.8037054742129056E-2</v>
      </c>
      <c r="P65" s="324">
        <f t="shared" si="14"/>
        <v>-69304</v>
      </c>
      <c r="Q65" s="275">
        <f t="shared" si="15"/>
        <v>-1.6480222615219951E-2</v>
      </c>
      <c r="R65" s="275">
        <f t="shared" si="16"/>
        <v>7.2252993780363275E-2</v>
      </c>
    </row>
    <row r="66" spans="1:18" ht="15.75" thickBot="1" x14ac:dyDescent="0.3">
      <c r="A66" s="272" t="s">
        <v>197</v>
      </c>
      <c r="B66" s="274">
        <v>8166</v>
      </c>
      <c r="C66" s="275">
        <f t="shared" si="6"/>
        <v>4.730567366847795E-3</v>
      </c>
      <c r="D66" s="276">
        <v>3848</v>
      </c>
      <c r="E66" s="275">
        <f t="shared" si="7"/>
        <v>1.8287096001551172E-3</v>
      </c>
      <c r="F66" s="275">
        <f t="shared" si="8"/>
        <v>-0.52877785941709532</v>
      </c>
      <c r="G66" s="274">
        <v>8166</v>
      </c>
      <c r="H66" s="276">
        <v>3848</v>
      </c>
      <c r="I66" s="274">
        <v>-286</v>
      </c>
      <c r="J66" s="275">
        <f t="shared" si="9"/>
        <v>-1.5399683714188331E-4</v>
      </c>
      <c r="K66" s="276">
        <v>11938</v>
      </c>
      <c r="L66" s="275">
        <f t="shared" si="10"/>
        <v>5.6818749711456135E-3</v>
      </c>
      <c r="M66" s="275" t="s">
        <v>131</v>
      </c>
      <c r="N66" s="317">
        <f t="shared" si="12"/>
        <v>7880</v>
      </c>
      <c r="O66" s="275">
        <f t="shared" si="13"/>
        <v>2.1990282416062281E-3</v>
      </c>
      <c r="P66" s="324">
        <f t="shared" si="14"/>
        <v>15786</v>
      </c>
      <c r="Q66" s="275">
        <f t="shared" si="15"/>
        <v>3.7538496220111701E-3</v>
      </c>
      <c r="R66" s="275">
        <f t="shared" si="16"/>
        <v>1.0032994923857868</v>
      </c>
    </row>
    <row r="67" spans="1:18" ht="15.75" thickBot="1" x14ac:dyDescent="0.3">
      <c r="A67" s="272" t="s">
        <v>144</v>
      </c>
      <c r="B67" s="274">
        <v>2206</v>
      </c>
      <c r="C67" s="275">
        <f t="shared" si="6"/>
        <v>1.2779367635643198E-3</v>
      </c>
      <c r="D67" s="276">
        <v>1169</v>
      </c>
      <c r="E67" s="275">
        <f t="shared" si="7"/>
        <v>5.5555133123215493E-4</v>
      </c>
      <c r="F67" s="275">
        <f t="shared" si="8"/>
        <v>-0.4700815956482321</v>
      </c>
      <c r="G67" s="274">
        <v>2206</v>
      </c>
      <c r="H67" s="276">
        <v>1169</v>
      </c>
      <c r="I67" s="274">
        <v>-115</v>
      </c>
      <c r="J67" s="275">
        <f t="shared" si="9"/>
        <v>-6.1921805144463571E-5</v>
      </c>
      <c r="K67" s="276">
        <v>7387</v>
      </c>
      <c r="L67" s="275">
        <f t="shared" si="10"/>
        <v>3.5158326697815917E-3</v>
      </c>
      <c r="M67" s="275" t="s">
        <v>131</v>
      </c>
      <c r="N67" s="317">
        <f t="shared" si="12"/>
        <v>2091</v>
      </c>
      <c r="O67" s="275">
        <f t="shared" si="13"/>
        <v>5.8352386461911466E-4</v>
      </c>
      <c r="P67" s="324">
        <f t="shared" si="14"/>
        <v>8556</v>
      </c>
      <c r="Q67" s="275">
        <f t="shared" si="15"/>
        <v>2.0345836415765596E-3</v>
      </c>
      <c r="R67" s="275">
        <f t="shared" si="16"/>
        <v>3.0918220946915351</v>
      </c>
    </row>
    <row r="68" spans="1:18" ht="15.75" thickBot="1" x14ac:dyDescent="0.3">
      <c r="A68" s="268" t="s">
        <v>198</v>
      </c>
      <c r="B68" s="269">
        <f>SUM(B62:B67)</f>
        <v>198781</v>
      </c>
      <c r="C68" s="270">
        <f t="shared" si="6"/>
        <v>0.11515392012605577</v>
      </c>
      <c r="D68" s="271">
        <f>SUM(D62:D67)</f>
        <v>233287</v>
      </c>
      <c r="E68" s="270">
        <f t="shared" si="7"/>
        <v>0.11086646998216913</v>
      </c>
      <c r="F68" s="270">
        <f t="shared" si="8"/>
        <v>0.17358801897565662</v>
      </c>
      <c r="G68" s="269">
        <f>SUM(G62:G67)</f>
        <v>198781</v>
      </c>
      <c r="H68" s="271">
        <f>SUM(H62:H67)</f>
        <v>233287</v>
      </c>
      <c r="I68" s="269">
        <f>SUM(I62:I67)</f>
        <v>173427</v>
      </c>
      <c r="J68" s="270">
        <f t="shared" si="9"/>
        <v>9.3381851311207686E-2</v>
      </c>
      <c r="K68" s="271">
        <f>SUM(K62:K67)</f>
        <v>205097</v>
      </c>
      <c r="L68" s="270">
        <f t="shared" si="10"/>
        <v>9.7615640053363359E-2</v>
      </c>
      <c r="M68" s="270">
        <f>(K68-I68)/I68</f>
        <v>0.18261285728289137</v>
      </c>
      <c r="N68" s="316">
        <f t="shared" si="12"/>
        <v>372208</v>
      </c>
      <c r="O68" s="270">
        <f t="shared" si="13"/>
        <v>0.10387003854717906</v>
      </c>
      <c r="P68" s="323">
        <f t="shared" si="14"/>
        <v>438384</v>
      </c>
      <c r="Q68" s="270">
        <f t="shared" si="15"/>
        <v>0.10424601626097459</v>
      </c>
      <c r="R68" s="270">
        <f t="shared" si="16"/>
        <v>0.17779306194385935</v>
      </c>
    </row>
    <row r="69" spans="1:18" ht="15.75" thickBot="1" x14ac:dyDescent="0.3">
      <c r="A69" s="272" t="s">
        <v>51</v>
      </c>
      <c r="B69" s="274">
        <v>3035</v>
      </c>
      <c r="C69" s="275">
        <f t="shared" si="6"/>
        <v>1.7581768256653267E-3</v>
      </c>
      <c r="D69" s="276">
        <v>2165</v>
      </c>
      <c r="E69" s="275">
        <f t="shared" si="7"/>
        <v>1.0288867682785418E-3</v>
      </c>
      <c r="F69" s="275">
        <f t="shared" si="8"/>
        <v>-0.28665568369028005</v>
      </c>
      <c r="G69" s="274">
        <v>3035</v>
      </c>
      <c r="H69" s="276">
        <v>2165</v>
      </c>
      <c r="I69" s="274">
        <v>1921</v>
      </c>
      <c r="J69" s="275">
        <f t="shared" si="9"/>
        <v>1.0343633711523002E-3</v>
      </c>
      <c r="K69" s="276">
        <v>2482</v>
      </c>
      <c r="L69" s="275">
        <f t="shared" si="10"/>
        <v>1.1813045466898485E-3</v>
      </c>
      <c r="M69" s="275">
        <f>(K69-I69)/I69</f>
        <v>0.29203539823008851</v>
      </c>
      <c r="N69" s="317">
        <f t="shared" si="12"/>
        <v>4956</v>
      </c>
      <c r="O69" s="275">
        <f t="shared" si="13"/>
        <v>1.3830436504315314E-3</v>
      </c>
      <c r="P69" s="324">
        <f t="shared" si="14"/>
        <v>4647</v>
      </c>
      <c r="Q69" s="275">
        <f t="shared" si="15"/>
        <v>1.1050385907440713E-3</v>
      </c>
      <c r="R69" s="275">
        <f t="shared" si="16"/>
        <v>-6.2348668280871669E-2</v>
      </c>
    </row>
    <row r="70" spans="1:18" ht="15.75" thickBot="1" x14ac:dyDescent="0.3">
      <c r="A70" s="272" t="s">
        <v>11</v>
      </c>
      <c r="B70" s="274">
        <v>-50910</v>
      </c>
      <c r="C70" s="275">
        <f t="shared" si="6"/>
        <v>-2.9492185237107667E-2</v>
      </c>
      <c r="D70" s="276">
        <v>-70846</v>
      </c>
      <c r="E70" s="275">
        <f t="shared" si="7"/>
        <v>-3.3668596760028438E-2</v>
      </c>
      <c r="F70" s="275">
        <f t="shared" si="8"/>
        <v>0.39159300726772739</v>
      </c>
      <c r="G70" s="274">
        <v>-50910</v>
      </c>
      <c r="H70" s="276">
        <v>-70846</v>
      </c>
      <c r="I70" s="274">
        <v>-59360</v>
      </c>
      <c r="J70" s="275">
        <f t="shared" si="9"/>
        <v>-3.1962420464133542E-2</v>
      </c>
      <c r="K70" s="276">
        <v>-82107</v>
      </c>
      <c r="L70" s="275">
        <f t="shared" si="10"/>
        <v>-3.907871571920362E-2</v>
      </c>
      <c r="M70" s="275">
        <f>(K70-I70)/I70</f>
        <v>0.38320417789757411</v>
      </c>
      <c r="N70" s="317">
        <f t="shared" si="12"/>
        <v>-110270</v>
      </c>
      <c r="O70" s="275">
        <f t="shared" si="13"/>
        <v>-3.0772442157603906E-2</v>
      </c>
      <c r="P70" s="324">
        <f t="shared" si="14"/>
        <v>-152953</v>
      </c>
      <c r="Q70" s="275">
        <f t="shared" si="15"/>
        <v>-3.6371630636986854E-2</v>
      </c>
      <c r="R70" s="275">
        <f t="shared" si="16"/>
        <v>0.38707717420876031</v>
      </c>
    </row>
    <row r="71" spans="1:18" ht="15.75" thickBot="1" x14ac:dyDescent="0.3">
      <c r="A71" s="272" t="s">
        <v>199</v>
      </c>
      <c r="B71" s="274">
        <v>46468</v>
      </c>
      <c r="C71" s="275">
        <f t="shared" si="6"/>
        <v>2.6918932696875255E-2</v>
      </c>
      <c r="D71" s="276">
        <v>50453</v>
      </c>
      <c r="E71" s="275">
        <f t="shared" si="7"/>
        <v>2.3977101210141925E-2</v>
      </c>
      <c r="F71" s="275">
        <f t="shared" si="8"/>
        <v>8.5757940948609793E-2</v>
      </c>
      <c r="G71" s="274">
        <v>46468</v>
      </c>
      <c r="H71" s="276">
        <v>50453</v>
      </c>
      <c r="I71" s="274">
        <v>494</v>
      </c>
      <c r="J71" s="275">
        <f t="shared" si="9"/>
        <v>2.6599453688143485E-4</v>
      </c>
      <c r="K71" s="276">
        <v>41</v>
      </c>
      <c r="L71" s="275">
        <f t="shared" si="10"/>
        <v>1.9513894606883074E-5</v>
      </c>
      <c r="M71" s="275" t="s">
        <v>131</v>
      </c>
      <c r="N71" s="317">
        <f t="shared" si="12"/>
        <v>46962</v>
      </c>
      <c r="O71" s="275">
        <f t="shared" si="13"/>
        <v>1.3105426939379656E-2</v>
      </c>
      <c r="P71" s="324">
        <f t="shared" si="14"/>
        <v>50494</v>
      </c>
      <c r="Q71" s="275">
        <f t="shared" si="15"/>
        <v>1.2007277512595466E-2</v>
      </c>
      <c r="R71" s="275">
        <f t="shared" si="16"/>
        <v>7.5209744048379545E-2</v>
      </c>
    </row>
    <row r="72" spans="1:18" ht="15.75" thickBot="1" x14ac:dyDescent="0.3">
      <c r="A72" s="272" t="s">
        <v>200</v>
      </c>
      <c r="B72" s="274">
        <v>5949</v>
      </c>
      <c r="C72" s="275">
        <f t="shared" si="6"/>
        <v>3.4462582984787571E-3</v>
      </c>
      <c r="D72" s="276">
        <v>-9738</v>
      </c>
      <c r="E72" s="275">
        <f t="shared" si="7"/>
        <v>-4.6278518935318428E-3</v>
      </c>
      <c r="F72" s="275">
        <f t="shared" si="8"/>
        <v>-2.6369137670196672</v>
      </c>
      <c r="G72" s="274">
        <v>5949</v>
      </c>
      <c r="H72" s="276">
        <v>-9738</v>
      </c>
      <c r="I72" s="274">
        <v>6965</v>
      </c>
      <c r="J72" s="275">
        <f t="shared" si="9"/>
        <v>3.7503075898364241E-3</v>
      </c>
      <c r="K72" s="276">
        <v>-2615</v>
      </c>
      <c r="L72" s="275">
        <f t="shared" si="10"/>
        <v>-1.2446057169999815E-3</v>
      </c>
      <c r="M72" s="275">
        <f t="shared" ref="M72:M81" si="17">(K72-I72)/I72</f>
        <v>-1.3754486719310839</v>
      </c>
      <c r="N72" s="317">
        <f t="shared" si="12"/>
        <v>12914</v>
      </c>
      <c r="O72" s="275">
        <f t="shared" si="13"/>
        <v>3.6038389228556893E-3</v>
      </c>
      <c r="P72" s="324">
        <f t="shared" si="14"/>
        <v>-12353</v>
      </c>
      <c r="Q72" s="275">
        <f t="shared" si="15"/>
        <v>-2.937495526460407E-3</v>
      </c>
      <c r="R72" s="275">
        <f t="shared" si="16"/>
        <v>-1.9565587734241907</v>
      </c>
    </row>
    <row r="73" spans="1:18" ht="15.75" thickBot="1" x14ac:dyDescent="0.3">
      <c r="A73" s="272" t="s">
        <v>201</v>
      </c>
      <c r="B73" s="274">
        <v>-4194</v>
      </c>
      <c r="C73" s="275">
        <f t="shared" si="6"/>
        <v>-2.4295860319078679E-3</v>
      </c>
      <c r="D73" s="276">
        <v>-11041</v>
      </c>
      <c r="E73" s="275">
        <f t="shared" si="7"/>
        <v>-5.2470849000292741E-3</v>
      </c>
      <c r="F73" s="275">
        <f t="shared" si="8"/>
        <v>1.6325703385789223</v>
      </c>
      <c r="G73" s="274">
        <v>-4194</v>
      </c>
      <c r="H73" s="276">
        <v>-11041</v>
      </c>
      <c r="I73" s="274">
        <v>-3172</v>
      </c>
      <c r="J73" s="275">
        <f t="shared" si="9"/>
        <v>-1.7079649210281604E-3</v>
      </c>
      <c r="K73" s="276">
        <v>-7486</v>
      </c>
      <c r="L73" s="275">
        <f t="shared" si="10"/>
        <v>-3.5629515860274804E-3</v>
      </c>
      <c r="M73" s="275">
        <f t="shared" si="17"/>
        <v>1.3600252206809584</v>
      </c>
      <c r="N73" s="317">
        <f t="shared" si="12"/>
        <v>-7366</v>
      </c>
      <c r="O73" s="275">
        <f t="shared" si="13"/>
        <v>-2.0555890898060251E-3</v>
      </c>
      <c r="P73" s="324">
        <f t="shared" si="14"/>
        <v>-18527</v>
      </c>
      <c r="Q73" s="275">
        <f t="shared" si="15"/>
        <v>-4.4056487993792571E-3</v>
      </c>
      <c r="R73" s="275">
        <f t="shared" si="16"/>
        <v>1.5152049959272333</v>
      </c>
    </row>
    <row r="74" spans="1:18" ht="15.75" thickBot="1" x14ac:dyDescent="0.3">
      <c r="A74" s="272" t="s">
        <v>202</v>
      </c>
      <c r="B74" s="273">
        <v>390</v>
      </c>
      <c r="C74" s="275">
        <f t="shared" si="6"/>
        <v>2.2592717034908643E-4</v>
      </c>
      <c r="D74" s="281">
        <v>185</v>
      </c>
      <c r="E74" s="275">
        <f t="shared" si="7"/>
        <v>8.7918730776688329E-5</v>
      </c>
      <c r="F74" s="275">
        <f t="shared" si="8"/>
        <v>-0.52564102564102566</v>
      </c>
      <c r="G74" s="273">
        <v>390</v>
      </c>
      <c r="H74" s="281">
        <v>185</v>
      </c>
      <c r="I74" s="273">
        <v>758</v>
      </c>
      <c r="J74" s="275">
        <f t="shared" si="9"/>
        <v>4.081454634739425E-4</v>
      </c>
      <c r="K74" s="281">
        <v>619</v>
      </c>
      <c r="L74" s="275">
        <f t="shared" si="10"/>
        <v>2.9461221369903956E-4</v>
      </c>
      <c r="M74" s="275">
        <f t="shared" si="17"/>
        <v>-0.18337730870712401</v>
      </c>
      <c r="N74" s="317">
        <f t="shared" si="12"/>
        <v>1148</v>
      </c>
      <c r="O74" s="275">
        <f t="shared" si="13"/>
        <v>3.2036604332029824E-4</v>
      </c>
      <c r="P74" s="324">
        <f t="shared" si="14"/>
        <v>804</v>
      </c>
      <c r="Q74" s="275">
        <f t="shared" si="15"/>
        <v>1.9118808413131768E-4</v>
      </c>
      <c r="R74" s="275">
        <f t="shared" si="16"/>
        <v>-0.29965156794425085</v>
      </c>
    </row>
    <row r="75" spans="1:18" ht="15.75" thickBot="1" x14ac:dyDescent="0.3">
      <c r="A75" s="272" t="s">
        <v>203</v>
      </c>
      <c r="B75" s="273">
        <v>0</v>
      </c>
      <c r="C75" s="275">
        <f t="shared" si="6"/>
        <v>0</v>
      </c>
      <c r="D75" s="281">
        <v>0</v>
      </c>
      <c r="E75" s="275">
        <f t="shared" si="7"/>
        <v>0</v>
      </c>
      <c r="F75" s="275" t="s">
        <v>131</v>
      </c>
      <c r="G75" s="273">
        <v>0</v>
      </c>
      <c r="H75" s="281">
        <v>0</v>
      </c>
      <c r="I75" s="273">
        <v>62</v>
      </c>
      <c r="J75" s="275">
        <f t="shared" si="9"/>
        <v>3.3383929730058622E-5</v>
      </c>
      <c r="K75" s="281">
        <v>0</v>
      </c>
      <c r="L75" s="275">
        <f t="shared" si="10"/>
        <v>0</v>
      </c>
      <c r="M75" s="275">
        <f t="shared" si="17"/>
        <v>-1</v>
      </c>
      <c r="N75" s="317">
        <f t="shared" si="12"/>
        <v>62</v>
      </c>
      <c r="O75" s="275">
        <f t="shared" si="13"/>
        <v>1.730199885527743E-5</v>
      </c>
      <c r="P75" s="324">
        <v>0</v>
      </c>
      <c r="Q75" s="275">
        <f t="shared" si="15"/>
        <v>0</v>
      </c>
      <c r="R75" s="275">
        <f t="shared" si="16"/>
        <v>-1</v>
      </c>
    </row>
    <row r="76" spans="1:18" ht="15.75" thickBot="1" x14ac:dyDescent="0.3">
      <c r="A76" s="277" t="s">
        <v>204</v>
      </c>
      <c r="B76" s="278">
        <f>SUM(B68:B75)</f>
        <v>199519</v>
      </c>
      <c r="C76" s="279">
        <f t="shared" si="6"/>
        <v>0.11558144384840865</v>
      </c>
      <c r="D76" s="280">
        <f>SUM(D68:D75)</f>
        <v>194465</v>
      </c>
      <c r="E76" s="279">
        <f t="shared" si="7"/>
        <v>9.2416843137776733E-2</v>
      </c>
      <c r="F76" s="279">
        <f t="shared" ref="F76:F81" si="18">(D76-B76)/B76</f>
        <v>-2.5330920864679553E-2</v>
      </c>
      <c r="G76" s="278">
        <f>SUM(G68:G75)</f>
        <v>199519</v>
      </c>
      <c r="H76" s="280">
        <f>SUM(H68:H75)</f>
        <v>194465</v>
      </c>
      <c r="I76" s="278">
        <f>SUM(I68:I75)</f>
        <v>121095</v>
      </c>
      <c r="J76" s="279">
        <f t="shared" si="9"/>
        <v>6.5203660817120146E-2</v>
      </c>
      <c r="K76" s="280">
        <f>SUM(K68:K75)</f>
        <v>116031</v>
      </c>
      <c r="L76" s="279">
        <f t="shared" si="10"/>
        <v>5.5224797686128049E-2</v>
      </c>
      <c r="M76" s="279">
        <f t="shared" si="17"/>
        <v>-4.1818407035798338E-2</v>
      </c>
      <c r="N76" s="318">
        <f t="shared" si="12"/>
        <v>320614</v>
      </c>
      <c r="O76" s="279">
        <f t="shared" si="13"/>
        <v>8.947198485461158E-2</v>
      </c>
      <c r="P76" s="325">
        <f t="shared" ref="P76:P81" si="19">+H76+K76</f>
        <v>310496</v>
      </c>
      <c r="Q76" s="279">
        <f t="shared" si="15"/>
        <v>7.3834745485618927E-2</v>
      </c>
      <c r="R76" s="279">
        <f t="shared" si="16"/>
        <v>-3.1558197708147495E-2</v>
      </c>
    </row>
    <row r="77" spans="1:18" ht="15.75" thickBot="1" x14ac:dyDescent="0.3">
      <c r="A77" s="272" t="s">
        <v>205</v>
      </c>
      <c r="B77" s="274">
        <v>-51436</v>
      </c>
      <c r="C77" s="275">
        <f t="shared" si="6"/>
        <v>-2.979689726686054E-2</v>
      </c>
      <c r="D77" s="276">
        <v>-56024</v>
      </c>
      <c r="E77" s="275">
        <f t="shared" si="7"/>
        <v>-2.6624643097476686E-2</v>
      </c>
      <c r="F77" s="275">
        <f t="shared" si="18"/>
        <v>8.9198226922777818E-2</v>
      </c>
      <c r="G77" s="274">
        <v>-51436</v>
      </c>
      <c r="H77" s="276">
        <v>-56024</v>
      </c>
      <c r="I77" s="274">
        <v>-38427</v>
      </c>
      <c r="J77" s="275">
        <f t="shared" si="9"/>
        <v>-2.0691036576402623E-2</v>
      </c>
      <c r="K77" s="276">
        <v>-42183</v>
      </c>
      <c r="L77" s="275">
        <f t="shared" si="10"/>
        <v>-2.0076941858588992E-2</v>
      </c>
      <c r="M77" s="275">
        <f t="shared" si="17"/>
        <v>9.7743773908970252E-2</v>
      </c>
      <c r="N77" s="317">
        <f t="shared" si="12"/>
        <v>-89863</v>
      </c>
      <c r="O77" s="275">
        <f t="shared" si="13"/>
        <v>-2.507757295373864E-2</v>
      </c>
      <c r="P77" s="324">
        <f t="shared" si="19"/>
        <v>-98207</v>
      </c>
      <c r="Q77" s="275">
        <f t="shared" si="15"/>
        <v>-2.3353244002841188E-2</v>
      </c>
      <c r="R77" s="275">
        <f t="shared" si="16"/>
        <v>9.2852453178727617E-2</v>
      </c>
    </row>
    <row r="78" spans="1:18" ht="15.75" thickBot="1" x14ac:dyDescent="0.3">
      <c r="A78" s="282" t="s">
        <v>206</v>
      </c>
      <c r="B78" s="283">
        <v>3407</v>
      </c>
      <c r="C78" s="284">
        <f t="shared" si="6"/>
        <v>1.9736765881521474E-3</v>
      </c>
      <c r="D78" s="285">
        <v>14256</v>
      </c>
      <c r="E78" s="284">
        <f t="shared" si="7"/>
        <v>6.7749698700133448E-3</v>
      </c>
      <c r="F78" s="284">
        <f t="shared" si="18"/>
        <v>3.1843263868506018</v>
      </c>
      <c r="G78" s="283">
        <v>3407</v>
      </c>
      <c r="H78" s="285">
        <v>14256</v>
      </c>
      <c r="I78" s="283">
        <v>1408</v>
      </c>
      <c r="J78" s="284">
        <f t="shared" si="9"/>
        <v>7.5813827516004091E-4</v>
      </c>
      <c r="K78" s="285">
        <v>6703</v>
      </c>
      <c r="L78" s="284">
        <f t="shared" si="10"/>
        <v>3.1902837939009085E-3</v>
      </c>
      <c r="M78" s="284">
        <f t="shared" si="17"/>
        <v>3.7606534090909092</v>
      </c>
      <c r="N78" s="319">
        <f t="shared" si="12"/>
        <v>4815</v>
      </c>
      <c r="O78" s="284">
        <f t="shared" si="13"/>
        <v>1.3436955562606584E-3</v>
      </c>
      <c r="P78" s="326">
        <f t="shared" si="19"/>
        <v>20959</v>
      </c>
      <c r="Q78" s="284">
        <f t="shared" si="15"/>
        <v>4.9839689742640384E-3</v>
      </c>
      <c r="R78" s="284">
        <f t="shared" si="16"/>
        <v>3.3528556593977155</v>
      </c>
    </row>
    <row r="79" spans="1:18" ht="15.75" thickBot="1" x14ac:dyDescent="0.3">
      <c r="A79" s="277" t="s">
        <v>207</v>
      </c>
      <c r="B79" s="278">
        <f>SUM(B76:B78)</f>
        <v>151490</v>
      </c>
      <c r="C79" s="279">
        <f t="shared" si="6"/>
        <v>8.7758223169700264E-2</v>
      </c>
      <c r="D79" s="280">
        <f>SUM(D76:D78)</f>
        <v>152697</v>
      </c>
      <c r="E79" s="279">
        <f t="shared" si="7"/>
        <v>7.2567169910313395E-2</v>
      </c>
      <c r="F79" s="279">
        <f t="shared" si="18"/>
        <v>7.9675226087530526E-3</v>
      </c>
      <c r="G79" s="278">
        <f>SUM(G76:G78)</f>
        <v>151490</v>
      </c>
      <c r="H79" s="280">
        <f>SUM(H76:H78)</f>
        <v>152697</v>
      </c>
      <c r="I79" s="278">
        <f>SUM(I76:I78)</f>
        <v>84076</v>
      </c>
      <c r="J79" s="279">
        <f t="shared" si="9"/>
        <v>4.5270762515877555E-2</v>
      </c>
      <c r="K79" s="280">
        <f>SUM(K76:K78)</f>
        <v>80551</v>
      </c>
      <c r="L79" s="279">
        <f t="shared" si="10"/>
        <v>3.8338139621439962E-2</v>
      </c>
      <c r="M79" s="279">
        <f t="shared" si="17"/>
        <v>-4.1926352347875728E-2</v>
      </c>
      <c r="N79" s="318">
        <f t="shared" si="12"/>
        <v>235566</v>
      </c>
      <c r="O79" s="279">
        <f t="shared" si="13"/>
        <v>6.5738107457133599E-2</v>
      </c>
      <c r="P79" s="325">
        <f t="shared" si="19"/>
        <v>233248</v>
      </c>
      <c r="Q79" s="279">
        <f t="shared" si="15"/>
        <v>5.5465470457041775E-2</v>
      </c>
      <c r="R79" s="279">
        <f t="shared" si="16"/>
        <v>-9.8401297300968731E-3</v>
      </c>
    </row>
    <row r="80" spans="1:18" ht="15.75" thickBot="1" x14ac:dyDescent="0.3">
      <c r="A80" s="272" t="s">
        <v>208</v>
      </c>
      <c r="B80" s="273">
        <v>-304</v>
      </c>
      <c r="C80" s="275">
        <f t="shared" si="6"/>
        <v>-1.7610733278492893E-4</v>
      </c>
      <c r="D80" s="281">
        <v>-164</v>
      </c>
      <c r="E80" s="275">
        <f t="shared" si="7"/>
        <v>-7.7938766742577752E-5</v>
      </c>
      <c r="F80" s="275">
        <f t="shared" si="18"/>
        <v>-0.46052631578947367</v>
      </c>
      <c r="G80" s="273">
        <v>-304</v>
      </c>
      <c r="H80" s="281">
        <v>-164</v>
      </c>
      <c r="I80" s="273">
        <v>-4010</v>
      </c>
      <c r="J80" s="275">
        <f t="shared" si="9"/>
        <v>-2.1591864228634691E-3</v>
      </c>
      <c r="K80" s="281">
        <v>-83</v>
      </c>
      <c r="L80" s="275">
        <f t="shared" si="10"/>
        <v>-3.9503737862714516E-5</v>
      </c>
      <c r="M80" s="275">
        <f t="shared" si="17"/>
        <v>-0.97930174563591021</v>
      </c>
      <c r="N80" s="317">
        <f t="shared" si="12"/>
        <v>-4314</v>
      </c>
      <c r="O80" s="275">
        <f t="shared" si="13"/>
        <v>-1.2038842429301102E-3</v>
      </c>
      <c r="P80" s="324">
        <f t="shared" si="19"/>
        <v>-247</v>
      </c>
      <c r="Q80" s="275">
        <f t="shared" si="15"/>
        <v>-5.8735642761735654E-5</v>
      </c>
      <c r="R80" s="275">
        <f t="shared" si="16"/>
        <v>-0.94274455261937873</v>
      </c>
    </row>
    <row r="81" spans="1:18" x14ac:dyDescent="0.25">
      <c r="A81" s="286" t="s">
        <v>209</v>
      </c>
      <c r="B81" s="308">
        <f>SUM(B79:B80)</f>
        <v>151186</v>
      </c>
      <c r="C81" s="288">
        <f t="shared" si="6"/>
        <v>8.7582115836915345E-2</v>
      </c>
      <c r="D81" s="287">
        <f>SUM(D79:D80)</f>
        <v>152533</v>
      </c>
      <c r="E81" s="288">
        <f t="shared" si="7"/>
        <v>7.2489231143570809E-2</v>
      </c>
      <c r="F81" s="288">
        <f t="shared" si="18"/>
        <v>8.9095551175373388E-3</v>
      </c>
      <c r="G81" s="287">
        <f>SUM(G79:G80)</f>
        <v>151186</v>
      </c>
      <c r="H81" s="287">
        <f>SUM(H79:H80)</f>
        <v>152533</v>
      </c>
      <c r="I81" s="287">
        <f>SUM(I79:I80)</f>
        <v>80066</v>
      </c>
      <c r="J81" s="288">
        <f t="shared" si="9"/>
        <v>4.3111576093014088E-2</v>
      </c>
      <c r="K81" s="287">
        <f>SUM(K79:K80)</f>
        <v>80468</v>
      </c>
      <c r="L81" s="288">
        <f t="shared" si="10"/>
        <v>3.8298635883577251E-2</v>
      </c>
      <c r="M81" s="288">
        <f t="shared" si="17"/>
        <v>5.0208577923213345E-3</v>
      </c>
      <c r="N81" s="320">
        <f t="shared" si="12"/>
        <v>231252</v>
      </c>
      <c r="O81" s="288">
        <f t="shared" si="13"/>
        <v>6.453422321420349E-2</v>
      </c>
      <c r="P81" s="320">
        <f t="shared" si="19"/>
        <v>233001</v>
      </c>
      <c r="Q81" s="288">
        <f t="shared" si="15"/>
        <v>5.5406734814280038E-2</v>
      </c>
      <c r="R81" s="288">
        <f t="shared" si="16"/>
        <v>7.5631778319755075E-3</v>
      </c>
    </row>
    <row r="82" spans="1:18" x14ac:dyDescent="0.25">
      <c r="A82" s="289"/>
      <c r="B82" s="291"/>
      <c r="C82" s="292"/>
      <c r="D82" s="294"/>
      <c r="E82" s="292"/>
      <c r="F82" s="292"/>
      <c r="G82" s="291"/>
      <c r="H82" s="294"/>
      <c r="I82" s="291"/>
      <c r="J82" s="292"/>
      <c r="K82" s="294"/>
      <c r="L82" s="292"/>
      <c r="M82" s="292"/>
      <c r="N82" s="321"/>
      <c r="O82" s="292"/>
      <c r="P82" s="327"/>
      <c r="Q82" s="292"/>
      <c r="R82" s="292"/>
    </row>
    <row r="83" spans="1:18" x14ac:dyDescent="0.25">
      <c r="A83" s="295" t="s">
        <v>210</v>
      </c>
      <c r="B83" s="297"/>
      <c r="C83" s="298"/>
      <c r="D83" s="300"/>
      <c r="E83" s="298"/>
      <c r="F83" s="298"/>
      <c r="G83" s="297"/>
      <c r="H83" s="300"/>
      <c r="I83" s="297"/>
      <c r="J83" s="298"/>
      <c r="K83" s="300"/>
      <c r="L83" s="298"/>
      <c r="M83" s="298"/>
      <c r="N83" s="322"/>
      <c r="O83" s="298"/>
      <c r="P83" s="328"/>
      <c r="Q83" s="298"/>
      <c r="R83" s="298"/>
    </row>
    <row r="84" spans="1:18" ht="15.75" thickBot="1" x14ac:dyDescent="0.3">
      <c r="A84" s="301" t="s">
        <v>211</v>
      </c>
      <c r="B84" s="274">
        <v>150991</v>
      </c>
      <c r="C84" s="275">
        <f>+B84/$B$60</f>
        <v>8.7469152251740803E-2</v>
      </c>
      <c r="D84" s="302">
        <v>151672</v>
      </c>
      <c r="E84" s="275">
        <f>+D84/$D$60</f>
        <v>7.2080052618172283E-2</v>
      </c>
      <c r="F84" s="275">
        <f>(D84-B84)/B84</f>
        <v>4.5102025948566471E-3</v>
      </c>
      <c r="G84" s="274">
        <v>150991</v>
      </c>
      <c r="H84" s="302">
        <v>151672</v>
      </c>
      <c r="I84" s="274">
        <v>79293</v>
      </c>
      <c r="J84" s="275">
        <f>I84/$I$60</f>
        <v>4.2695353872347394E-2</v>
      </c>
      <c r="K84" s="302">
        <v>79412</v>
      </c>
      <c r="L84" s="275">
        <f>+K84/$K$60</f>
        <v>3.7796034110287771E-2</v>
      </c>
      <c r="M84" s="275">
        <f>(K84-I84)/I84</f>
        <v>1.5007629929501974E-3</v>
      </c>
      <c r="N84" s="317">
        <f>+G84+I84</f>
        <v>230284</v>
      </c>
      <c r="O84" s="275">
        <f>N84/$N$60</f>
        <v>6.4264088780463025E-2</v>
      </c>
      <c r="P84" s="329">
        <f>+H84+K84</f>
        <v>231084</v>
      </c>
      <c r="Q84" s="275">
        <f>P84/$P$60</f>
        <v>5.4950879643534095E-2</v>
      </c>
      <c r="R84" s="275">
        <f>(P84-N84)/N84</f>
        <v>3.4739712702575951E-3</v>
      </c>
    </row>
    <row r="85" spans="1:18" ht="15.75" thickBot="1" x14ac:dyDescent="0.3">
      <c r="A85" s="303" t="s">
        <v>188</v>
      </c>
      <c r="B85" s="304">
        <v>195</v>
      </c>
      <c r="C85" s="284">
        <f>+B85/$B$60</f>
        <v>1.1296358517454322E-4</v>
      </c>
      <c r="D85" s="305">
        <v>861</v>
      </c>
      <c r="E85" s="284">
        <f>+D85/$D$60</f>
        <v>4.0917852539853322E-4</v>
      </c>
      <c r="F85" s="284">
        <f>(D85-B85)/B85</f>
        <v>3.4153846153846152</v>
      </c>
      <c r="G85" s="304">
        <v>195</v>
      </c>
      <c r="H85" s="305">
        <v>861</v>
      </c>
      <c r="I85" s="304">
        <v>773</v>
      </c>
      <c r="J85" s="284">
        <f>I85/$I$60</f>
        <v>4.1622222066669862E-4</v>
      </c>
      <c r="K85" s="305">
        <v>1056</v>
      </c>
      <c r="L85" s="284">
        <f>+K85/$K$60</f>
        <v>5.0260177328947627E-4</v>
      </c>
      <c r="M85" s="284">
        <f>(K85-I85)/I85</f>
        <v>0.36610608020698576</v>
      </c>
      <c r="N85" s="319">
        <f>+G85+I85</f>
        <v>968</v>
      </c>
      <c r="O85" s="284">
        <f>N85/$N$60</f>
        <v>2.7013443374046054E-4</v>
      </c>
      <c r="P85" s="330">
        <f>+H85+K85</f>
        <v>1917</v>
      </c>
      <c r="Q85" s="284">
        <f>P85/$P$60</f>
        <v>4.558551707459403E-4</v>
      </c>
      <c r="R85" s="284">
        <f>(P85-N85)/N85</f>
        <v>0.98037190082644632</v>
      </c>
    </row>
    <row r="86" spans="1:18" ht="15.75" thickBot="1" x14ac:dyDescent="0.3">
      <c r="A86" s="306" t="s">
        <v>212</v>
      </c>
      <c r="B86" s="278">
        <f>SUM(B84:B85)</f>
        <v>151186</v>
      </c>
      <c r="C86" s="279">
        <f>+B86/$B$60</f>
        <v>8.7582115836915345E-2</v>
      </c>
      <c r="D86" s="307">
        <f>SUM(D84:D85)</f>
        <v>152533</v>
      </c>
      <c r="E86" s="279">
        <f>+D86/$D$60</f>
        <v>7.2489231143570809E-2</v>
      </c>
      <c r="F86" s="279">
        <f>(D86-B86)/B86</f>
        <v>8.9095551175373388E-3</v>
      </c>
      <c r="G86" s="278">
        <f>SUM(G84:G85)</f>
        <v>151186</v>
      </c>
      <c r="H86" s="307">
        <f>SUM(H84:H85)</f>
        <v>152533</v>
      </c>
      <c r="I86" s="278">
        <f>SUM(I84:I85)</f>
        <v>80066</v>
      </c>
      <c r="J86" s="279">
        <f>I86/$I$60</f>
        <v>4.3111576093014088E-2</v>
      </c>
      <c r="K86" s="307">
        <f>SUM(K84:K85)</f>
        <v>80468</v>
      </c>
      <c r="L86" s="279">
        <f>+K86/$K$60</f>
        <v>3.8298635883577251E-2</v>
      </c>
      <c r="M86" s="279">
        <f>(K86-I86)/I86</f>
        <v>5.0208577923213345E-3</v>
      </c>
      <c r="N86" s="318">
        <f>+G86+I86</f>
        <v>231252</v>
      </c>
      <c r="O86" s="279">
        <f>N86/$N$60</f>
        <v>6.453422321420349E-2</v>
      </c>
      <c r="P86" s="331">
        <f>+H86+K86</f>
        <v>233001</v>
      </c>
      <c r="Q86" s="279">
        <f>P86/$P$60</f>
        <v>5.5406734814280038E-2</v>
      </c>
      <c r="R86" s="279">
        <f>(P86-N86)/N86</f>
        <v>7.5631778319755075E-3</v>
      </c>
    </row>
    <row r="87" spans="1:18" x14ac:dyDescent="0.25">
      <c r="A87" s="286" t="s">
        <v>213</v>
      </c>
      <c r="B87" s="287">
        <v>234916</v>
      </c>
      <c r="C87" s="288">
        <f>+B87/$B$60</f>
        <v>0.13608694140955382</v>
      </c>
      <c r="D87" s="287">
        <v>280995</v>
      </c>
      <c r="E87" s="288">
        <f>+D87/$D$60</f>
        <v>0.13353904732213803</v>
      </c>
      <c r="F87" s="288">
        <f>(D87-B87)/B87</f>
        <v>0.19615096460011239</v>
      </c>
      <c r="G87" s="287">
        <v>234916</v>
      </c>
      <c r="H87" s="287">
        <v>280995</v>
      </c>
      <c r="I87" s="287">
        <v>223967</v>
      </c>
      <c r="J87" s="288">
        <f>I87/$I$60</f>
        <v>0.12059513854600064</v>
      </c>
      <c r="K87" s="287">
        <v>253208</v>
      </c>
      <c r="L87" s="288">
        <f>+K87/$K$60</f>
        <v>0.12051400550291828</v>
      </c>
      <c r="M87" s="288">
        <f>(K87-I87)/I87</f>
        <v>0.13055941277063138</v>
      </c>
      <c r="N87" s="320">
        <f>+G87+I87</f>
        <v>458883</v>
      </c>
      <c r="O87" s="288">
        <f>N87/$N$60</f>
        <v>0.12805795388235924</v>
      </c>
      <c r="P87" s="320">
        <f>+H87+K87</f>
        <v>534203</v>
      </c>
      <c r="Q87" s="288">
        <f>P87/$P$60</f>
        <v>0.12703140311841082</v>
      </c>
      <c r="R87" s="288">
        <f>(P87-N87)/N87</f>
        <v>0.16413769958791238</v>
      </c>
    </row>
  </sheetData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D15:D50 C62:C80 J62:J81 C86:J86" formula="1"/>
  </ignoredErrors>
  <drawing r:id="rId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7"/>
  <sheetViews>
    <sheetView topLeftCell="K50" zoomScaleNormal="100" workbookViewId="0">
      <selection activeCell="S60" sqref="S60"/>
    </sheetView>
  </sheetViews>
  <sheetFormatPr baseColWidth="10" defaultColWidth="11.42578125" defaultRowHeight="15" x14ac:dyDescent="0.25"/>
  <cols>
    <col min="1" max="1" width="50.85546875" style="229" bestFit="1" customWidth="1"/>
    <col min="2" max="25" width="11.42578125" style="229" customWidth="1"/>
    <col min="26" max="16384" width="11.42578125" style="229"/>
  </cols>
  <sheetData>
    <row r="1" spans="1:10" ht="18.75" x14ac:dyDescent="0.3">
      <c r="A1" s="228" t="s">
        <v>157</v>
      </c>
      <c r="B1" s="362"/>
      <c r="C1" s="362"/>
      <c r="D1" s="362"/>
      <c r="E1" s="362"/>
    </row>
    <row r="2" spans="1:10" x14ac:dyDescent="0.25">
      <c r="A2" s="333" t="s">
        <v>234</v>
      </c>
      <c r="B2" s="362"/>
      <c r="C2" s="362"/>
      <c r="D2" s="362"/>
      <c r="E2" s="362"/>
    </row>
    <row r="3" spans="1:10" x14ac:dyDescent="0.25">
      <c r="A3" s="332" t="s">
        <v>88</v>
      </c>
      <c r="B3" s="362"/>
      <c r="C3" s="362"/>
      <c r="D3" s="362"/>
      <c r="E3" s="362"/>
    </row>
    <row r="4" spans="1:10" x14ac:dyDescent="0.25">
      <c r="A4" s="231" t="s">
        <v>159</v>
      </c>
      <c r="B4" s="362"/>
      <c r="C4" s="362"/>
      <c r="D4" s="362"/>
      <c r="E4" s="362"/>
    </row>
    <row r="5" spans="1:10" ht="15.75" thickBot="1" x14ac:dyDescent="0.3">
      <c r="B5" s="363"/>
      <c r="C5" s="363"/>
      <c r="D5" s="363"/>
      <c r="E5" s="363"/>
    </row>
    <row r="6" spans="1:10" ht="36" customHeight="1" thickBot="1" x14ac:dyDescent="0.3">
      <c r="A6" s="338"/>
      <c r="B6" s="338" t="s">
        <v>221</v>
      </c>
      <c r="C6" s="334" t="s">
        <v>226</v>
      </c>
      <c r="D6" s="233" t="s">
        <v>140</v>
      </c>
      <c r="E6" s="338" t="s">
        <v>221</v>
      </c>
      <c r="F6" s="335" t="s">
        <v>230</v>
      </c>
      <c r="G6" s="233" t="s">
        <v>140</v>
      </c>
      <c r="H6" s="338" t="s">
        <v>221</v>
      </c>
      <c r="I6" s="336" t="s">
        <v>238</v>
      </c>
      <c r="J6" s="233" t="s">
        <v>140</v>
      </c>
    </row>
    <row r="7" spans="1:10" ht="15.75" thickTop="1" x14ac:dyDescent="0.25">
      <c r="A7" s="234" t="s">
        <v>20</v>
      </c>
      <c r="B7" s="235"/>
      <c r="C7" s="236"/>
      <c r="D7" s="235"/>
      <c r="E7" s="235"/>
      <c r="F7" s="236"/>
      <c r="G7" s="235"/>
      <c r="H7" s="235"/>
      <c r="I7" s="236"/>
      <c r="J7" s="235"/>
    </row>
    <row r="8" spans="1:10" x14ac:dyDescent="0.25">
      <c r="A8" s="237" t="s">
        <v>160</v>
      </c>
      <c r="B8" s="238"/>
      <c r="C8" s="239"/>
      <c r="D8" s="238"/>
      <c r="E8" s="238"/>
      <c r="F8" s="239"/>
      <c r="G8" s="238"/>
      <c r="H8" s="238"/>
      <c r="I8" s="239"/>
      <c r="J8" s="238"/>
    </row>
    <row r="9" spans="1:10" ht="15.75" thickBot="1" x14ac:dyDescent="0.3">
      <c r="A9" s="240" t="s">
        <v>161</v>
      </c>
      <c r="B9" s="242">
        <v>286064</v>
      </c>
      <c r="C9" s="243">
        <v>291761</v>
      </c>
      <c r="D9" s="244">
        <f t="shared" ref="D9:D15" si="0">(C9-B9)/B9</f>
        <v>1.9915123888360645E-2</v>
      </c>
      <c r="E9" s="242">
        <v>286064</v>
      </c>
      <c r="F9" s="243">
        <v>206643</v>
      </c>
      <c r="G9" s="244">
        <f t="shared" ref="G9:G15" si="1">(F9-E9)/E9</f>
        <v>-0.27763367638011077</v>
      </c>
      <c r="H9" s="242">
        <v>286064</v>
      </c>
      <c r="I9" s="243">
        <v>222833</v>
      </c>
      <c r="J9" s="244">
        <f t="shared" ref="J9:J15" si="2">(I9-H9)/H9</f>
        <v>-0.22103794954975112</v>
      </c>
    </row>
    <row r="10" spans="1:10" ht="15.75" thickBot="1" x14ac:dyDescent="0.3">
      <c r="A10" s="240" t="s">
        <v>162</v>
      </c>
      <c r="B10" s="242">
        <v>878280</v>
      </c>
      <c r="C10" s="243">
        <v>841750</v>
      </c>
      <c r="D10" s="244">
        <f t="shared" si="0"/>
        <v>-4.1592658377738304E-2</v>
      </c>
      <c r="E10" s="242">
        <v>878280</v>
      </c>
      <c r="F10" s="243">
        <v>819646</v>
      </c>
      <c r="G10" s="244">
        <f t="shared" si="1"/>
        <v>-6.676003096962245E-2</v>
      </c>
      <c r="H10" s="242">
        <v>878280</v>
      </c>
      <c r="I10" s="243">
        <v>869999</v>
      </c>
      <c r="J10" s="244">
        <f t="shared" si="2"/>
        <v>-9.4286560094730618E-3</v>
      </c>
    </row>
    <row r="11" spans="1:10" ht="15.75" thickBot="1" x14ac:dyDescent="0.3">
      <c r="A11" s="240" t="s">
        <v>36</v>
      </c>
      <c r="B11" s="242">
        <v>1032969</v>
      </c>
      <c r="C11" s="243">
        <v>1119078</v>
      </c>
      <c r="D11" s="244">
        <f t="shared" si="0"/>
        <v>8.3360681685510404E-2</v>
      </c>
      <c r="E11" s="242">
        <v>1032969</v>
      </c>
      <c r="F11" s="243">
        <v>1083821</v>
      </c>
      <c r="G11" s="244">
        <f t="shared" si="1"/>
        <v>4.9228970085259095E-2</v>
      </c>
      <c r="H11" s="242">
        <v>1032969</v>
      </c>
      <c r="I11" s="243">
        <v>1081609</v>
      </c>
      <c r="J11" s="244">
        <f t="shared" si="2"/>
        <v>4.7087569907712623E-2</v>
      </c>
    </row>
    <row r="12" spans="1:10" ht="15.75" thickBot="1" x14ac:dyDescent="0.3">
      <c r="A12" s="240" t="s">
        <v>163</v>
      </c>
      <c r="B12" s="242">
        <v>53119</v>
      </c>
      <c r="C12" s="243">
        <v>51847</v>
      </c>
      <c r="D12" s="244">
        <f t="shared" si="0"/>
        <v>-2.3946233927596528E-2</v>
      </c>
      <c r="E12" s="242">
        <v>53119</v>
      </c>
      <c r="F12" s="243">
        <v>59385</v>
      </c>
      <c r="G12" s="244">
        <f t="shared" si="1"/>
        <v>0.11796155801125774</v>
      </c>
      <c r="H12" s="242">
        <v>53119</v>
      </c>
      <c r="I12" s="243">
        <v>66216</v>
      </c>
      <c r="J12" s="244">
        <f t="shared" si="2"/>
        <v>0.24655961143846836</v>
      </c>
    </row>
    <row r="13" spans="1:10" ht="15.75" thickBot="1" x14ac:dyDescent="0.3">
      <c r="A13" s="240" t="s">
        <v>164</v>
      </c>
      <c r="B13" s="242">
        <v>220762</v>
      </c>
      <c r="C13" s="243">
        <v>241822</v>
      </c>
      <c r="D13" s="244">
        <f t="shared" si="0"/>
        <v>9.5396852719217981E-2</v>
      </c>
      <c r="E13" s="242">
        <v>220762</v>
      </c>
      <c r="F13" s="243">
        <v>279691</v>
      </c>
      <c r="G13" s="244">
        <f t="shared" si="1"/>
        <v>0.26693452677544144</v>
      </c>
      <c r="H13" s="242">
        <v>220762</v>
      </c>
      <c r="I13" s="243">
        <v>285916</v>
      </c>
      <c r="J13" s="244">
        <f t="shared" si="2"/>
        <v>0.29513231443817323</v>
      </c>
    </row>
    <row r="14" spans="1:10" ht="15.75" thickBot="1" x14ac:dyDescent="0.3">
      <c r="A14" s="245" t="s">
        <v>165</v>
      </c>
      <c r="B14" s="247">
        <v>71679</v>
      </c>
      <c r="C14" s="248">
        <v>77861</v>
      </c>
      <c r="D14" s="244">
        <f t="shared" si="0"/>
        <v>8.6245622846300871E-2</v>
      </c>
      <c r="E14" s="247">
        <v>71679</v>
      </c>
      <c r="F14" s="248">
        <v>65702</v>
      </c>
      <c r="G14" s="244">
        <f t="shared" si="1"/>
        <v>-8.3385649911410592E-2</v>
      </c>
      <c r="H14" s="247">
        <v>71679</v>
      </c>
      <c r="I14" s="248">
        <v>76079</v>
      </c>
      <c r="J14" s="244">
        <f t="shared" si="2"/>
        <v>6.1384784943986387E-2</v>
      </c>
    </row>
    <row r="15" spans="1:10" ht="15.75" thickBot="1" x14ac:dyDescent="0.3">
      <c r="A15" s="249" t="s">
        <v>166</v>
      </c>
      <c r="B15" s="250">
        <f>SUM(B9:B14)</f>
        <v>2542873</v>
      </c>
      <c r="C15" s="251">
        <f>SUM(C9:C14)</f>
        <v>2624119</v>
      </c>
      <c r="D15" s="244">
        <f t="shared" si="0"/>
        <v>3.1950474915577773E-2</v>
      </c>
      <c r="E15" s="250">
        <f>SUM(E9:E14)</f>
        <v>2542873</v>
      </c>
      <c r="F15" s="251">
        <f>SUM(F9:F14)</f>
        <v>2514888</v>
      </c>
      <c r="G15" s="244">
        <f t="shared" si="1"/>
        <v>-1.1005268450292248E-2</v>
      </c>
      <c r="H15" s="250">
        <f>SUM(H9:H14)</f>
        <v>2542873</v>
      </c>
      <c r="I15" s="251">
        <f>SUM(I9:I14)</f>
        <v>2602652</v>
      </c>
      <c r="J15" s="244">
        <f t="shared" si="2"/>
        <v>2.3508448907987149E-2</v>
      </c>
    </row>
    <row r="16" spans="1:10" x14ac:dyDescent="0.25">
      <c r="A16" s="237" t="s">
        <v>167</v>
      </c>
      <c r="B16" s="238"/>
      <c r="C16" s="239"/>
      <c r="D16" s="238"/>
      <c r="E16" s="238"/>
      <c r="F16" s="239"/>
      <c r="G16" s="238"/>
      <c r="H16" s="238"/>
      <c r="I16" s="239"/>
      <c r="J16" s="238"/>
    </row>
    <row r="17" spans="1:10" ht="15.75" thickBot="1" x14ac:dyDescent="0.3">
      <c r="A17" s="240" t="s">
        <v>162</v>
      </c>
      <c r="B17" s="242">
        <v>26729</v>
      </c>
      <c r="C17" s="243">
        <v>25395</v>
      </c>
      <c r="D17" s="244">
        <f t="shared" ref="D17:D28" si="3">(C17-B17)/B17</f>
        <v>-4.9908339256986796E-2</v>
      </c>
      <c r="E17" s="242">
        <v>26729</v>
      </c>
      <c r="F17" s="243">
        <v>26190</v>
      </c>
      <c r="G17" s="244">
        <f t="shared" ref="G17:G28" si="4">(F17-E17)/E17</f>
        <v>-2.0165363462905459E-2</v>
      </c>
      <c r="H17" s="242">
        <v>26729</v>
      </c>
      <c r="I17" s="243">
        <v>26261</v>
      </c>
      <c r="J17" s="244">
        <f t="shared" ref="J17:J28" si="5">(I17-H17)/H17</f>
        <v>-1.7509072542930899E-2</v>
      </c>
    </row>
    <row r="18" spans="1:10" ht="15.75" thickBot="1" x14ac:dyDescent="0.3">
      <c r="A18" s="240" t="s">
        <v>168</v>
      </c>
      <c r="B18" s="242">
        <v>5699</v>
      </c>
      <c r="C18" s="243">
        <v>6156</v>
      </c>
      <c r="D18" s="244">
        <f t="shared" si="3"/>
        <v>8.018950693104053E-2</v>
      </c>
      <c r="E18" s="242">
        <v>5699</v>
      </c>
      <c r="F18" s="243">
        <v>6491</v>
      </c>
      <c r="G18" s="244">
        <f t="shared" si="4"/>
        <v>0.13897174942972451</v>
      </c>
      <c r="H18" s="242">
        <v>5699</v>
      </c>
      <c r="I18" s="243">
        <v>7151</v>
      </c>
      <c r="J18" s="244">
        <f t="shared" si="5"/>
        <v>0.2547815406211616</v>
      </c>
    </row>
    <row r="19" spans="1:10" ht="15.75" thickBot="1" x14ac:dyDescent="0.3">
      <c r="A19" s="240" t="s">
        <v>169</v>
      </c>
      <c r="B19" s="242">
        <v>109021</v>
      </c>
      <c r="C19" s="243">
        <v>110760</v>
      </c>
      <c r="D19" s="244">
        <f t="shared" si="3"/>
        <v>1.5951055301272232E-2</v>
      </c>
      <c r="E19" s="242">
        <v>109021</v>
      </c>
      <c r="F19" s="243">
        <v>161255</v>
      </c>
      <c r="G19" s="244">
        <f t="shared" si="4"/>
        <v>0.47911870190146855</v>
      </c>
      <c r="H19" s="242">
        <v>109021</v>
      </c>
      <c r="I19" s="243">
        <v>161801</v>
      </c>
      <c r="J19" s="244">
        <f t="shared" si="5"/>
        <v>0.48412691132901003</v>
      </c>
    </row>
    <row r="20" spans="1:10" ht="15.75" thickBot="1" x14ac:dyDescent="0.3">
      <c r="A20" s="240" t="s">
        <v>170</v>
      </c>
      <c r="B20" s="242">
        <v>3418149</v>
      </c>
      <c r="C20" s="243">
        <v>3893661</v>
      </c>
      <c r="D20" s="244">
        <f t="shared" si="3"/>
        <v>0.13911388883281567</v>
      </c>
      <c r="E20" s="242">
        <v>3418149</v>
      </c>
      <c r="F20" s="243">
        <v>3756035</v>
      </c>
      <c r="G20" s="244">
        <f t="shared" si="4"/>
        <v>9.885057673027127E-2</v>
      </c>
      <c r="H20" s="242">
        <v>3418149</v>
      </c>
      <c r="I20" s="243">
        <v>3725217</v>
      </c>
      <c r="J20" s="244">
        <f t="shared" si="5"/>
        <v>8.9834585911848785E-2</v>
      </c>
    </row>
    <row r="21" spans="1:10" ht="15.75" thickBot="1" x14ac:dyDescent="0.3">
      <c r="A21" s="240" t="s">
        <v>171</v>
      </c>
      <c r="B21" s="242">
        <v>3383722</v>
      </c>
      <c r="C21" s="243">
        <v>3364160</v>
      </c>
      <c r="D21" s="244">
        <f t="shared" si="3"/>
        <v>-5.7812077942573301E-3</v>
      </c>
      <c r="E21" s="242">
        <v>3383722</v>
      </c>
      <c r="F21" s="243">
        <v>3312068</v>
      </c>
      <c r="G21" s="244">
        <f t="shared" si="4"/>
        <v>-2.1176089525085099E-2</v>
      </c>
      <c r="H21" s="242">
        <v>3383722</v>
      </c>
      <c r="I21" s="243">
        <v>3311507</v>
      </c>
      <c r="J21" s="244">
        <f t="shared" si="5"/>
        <v>-2.1341883287102192E-2</v>
      </c>
    </row>
    <row r="22" spans="1:10" ht="15.75" thickBot="1" x14ac:dyDescent="0.3">
      <c r="A22" s="240" t="s">
        <v>141</v>
      </c>
      <c r="B22" s="242">
        <v>82393</v>
      </c>
      <c r="C22" s="243">
        <v>82141</v>
      </c>
      <c r="D22" s="244">
        <f t="shared" si="3"/>
        <v>-3.0585122522544389E-3</v>
      </c>
      <c r="E22" s="242">
        <v>82393</v>
      </c>
      <c r="F22" s="243">
        <v>77368</v>
      </c>
      <c r="G22" s="244">
        <f t="shared" si="4"/>
        <v>-6.098819074435935E-2</v>
      </c>
      <c r="H22" s="242">
        <v>82393</v>
      </c>
      <c r="I22" s="243">
        <v>71951</v>
      </c>
      <c r="J22" s="244">
        <f t="shared" si="5"/>
        <v>-0.12673406721444783</v>
      </c>
    </row>
    <row r="23" spans="1:10" ht="15.75" thickBot="1" x14ac:dyDescent="0.3">
      <c r="A23" s="240" t="s">
        <v>172</v>
      </c>
      <c r="B23" s="242">
        <v>2033403</v>
      </c>
      <c r="C23" s="243">
        <v>2036765</v>
      </c>
      <c r="D23" s="244">
        <f t="shared" si="3"/>
        <v>1.6533859741526889E-3</v>
      </c>
      <c r="E23" s="242">
        <v>2033403</v>
      </c>
      <c r="F23" s="243">
        <v>2018384</v>
      </c>
      <c r="G23" s="244">
        <f t="shared" si="4"/>
        <v>-7.3861403765018542E-3</v>
      </c>
      <c r="H23" s="242">
        <v>2033403</v>
      </c>
      <c r="I23" s="243">
        <v>2009524</v>
      </c>
      <c r="J23" s="244">
        <f t="shared" si="5"/>
        <v>-1.174336813705891E-2</v>
      </c>
    </row>
    <row r="24" spans="1:10" ht="15.75" thickBot="1" x14ac:dyDescent="0.3">
      <c r="A24" s="240" t="s">
        <v>173</v>
      </c>
      <c r="B24" s="242">
        <v>1179957</v>
      </c>
      <c r="C24" s="243">
        <v>1172357</v>
      </c>
      <c r="D24" s="244">
        <f t="shared" si="3"/>
        <v>-6.4409126773263773E-3</v>
      </c>
      <c r="E24" s="242">
        <v>1179957</v>
      </c>
      <c r="F24" s="243">
        <v>1155162</v>
      </c>
      <c r="G24" s="244">
        <f t="shared" si="4"/>
        <v>-2.1013477609777304E-2</v>
      </c>
      <c r="H24" s="242">
        <v>1179957</v>
      </c>
      <c r="I24" s="243">
        <v>1149421</v>
      </c>
      <c r="J24" s="244">
        <f t="shared" si="5"/>
        <v>-2.5878909146689243E-2</v>
      </c>
    </row>
    <row r="25" spans="1:10" ht="15.75" thickBot="1" x14ac:dyDescent="0.3">
      <c r="A25" s="240" t="s">
        <v>174</v>
      </c>
      <c r="B25" s="242">
        <v>355461</v>
      </c>
      <c r="C25" s="243">
        <v>371603</v>
      </c>
      <c r="D25" s="244">
        <f t="shared" si="3"/>
        <v>4.5411451607911976E-2</v>
      </c>
      <c r="E25" s="242">
        <v>355461</v>
      </c>
      <c r="F25" s="243">
        <v>365896</v>
      </c>
      <c r="G25" s="244">
        <f t="shared" si="4"/>
        <v>2.9356244426252107E-2</v>
      </c>
      <c r="H25" s="242">
        <v>355461</v>
      </c>
      <c r="I25" s="243">
        <v>363222</v>
      </c>
      <c r="J25" s="244">
        <f t="shared" si="5"/>
        <v>2.1833618878020374E-2</v>
      </c>
    </row>
    <row r="26" spans="1:10" ht="15.75" thickBot="1" x14ac:dyDescent="0.3">
      <c r="A26" s="245" t="s">
        <v>25</v>
      </c>
      <c r="B26" s="247">
        <v>40645</v>
      </c>
      <c r="C26" s="248">
        <v>42717</v>
      </c>
      <c r="D26" s="252">
        <f t="shared" si="3"/>
        <v>5.0977980071349488E-2</v>
      </c>
      <c r="E26" s="247">
        <v>40645</v>
      </c>
      <c r="F26" s="248">
        <v>44171</v>
      </c>
      <c r="G26" s="252">
        <f t="shared" si="4"/>
        <v>8.6751137901340883E-2</v>
      </c>
      <c r="H26" s="247">
        <v>40645</v>
      </c>
      <c r="I26" s="248">
        <v>46257</v>
      </c>
      <c r="J26" s="252">
        <f t="shared" si="5"/>
        <v>0.13807356378398328</v>
      </c>
    </row>
    <row r="27" spans="1:10" ht="15.75" thickBot="1" x14ac:dyDescent="0.3">
      <c r="A27" s="249" t="s">
        <v>175</v>
      </c>
      <c r="B27" s="250">
        <f>SUM(B17:B26)</f>
        <v>10635179</v>
      </c>
      <c r="C27" s="251">
        <f>SUM(C17:C26)</f>
        <v>11105715</v>
      </c>
      <c r="D27" s="253">
        <f t="shared" si="3"/>
        <v>4.4243355001359168E-2</v>
      </c>
      <c r="E27" s="250">
        <f>SUM(E17:E26)</f>
        <v>10635179</v>
      </c>
      <c r="F27" s="251">
        <f>SUM(F17:F26)</f>
        <v>10923020</v>
      </c>
      <c r="G27" s="253">
        <f t="shared" si="4"/>
        <v>2.7064988751012091E-2</v>
      </c>
      <c r="H27" s="250">
        <f>SUM(H17:H26)</f>
        <v>10635179</v>
      </c>
      <c r="I27" s="251">
        <f>SUM(I17:I26)</f>
        <v>10872312</v>
      </c>
      <c r="J27" s="253">
        <f t="shared" si="5"/>
        <v>2.2297038912086013E-2</v>
      </c>
    </row>
    <row r="28" spans="1:10" ht="15.75" thickBot="1" x14ac:dyDescent="0.3">
      <c r="A28" s="249" t="s">
        <v>176</v>
      </c>
      <c r="B28" s="250">
        <f>+B15+B27</f>
        <v>13178052</v>
      </c>
      <c r="C28" s="251">
        <f>+C15+C27</f>
        <v>13729834</v>
      </c>
      <c r="D28" s="253">
        <f t="shared" si="3"/>
        <v>4.18712871978347E-2</v>
      </c>
      <c r="E28" s="250">
        <f>+E15+E27</f>
        <v>13178052</v>
      </c>
      <c r="F28" s="251">
        <f>+F15+F27</f>
        <v>13437908</v>
      </c>
      <c r="G28" s="253">
        <f t="shared" si="4"/>
        <v>1.9718847671871383E-2</v>
      </c>
      <c r="H28" s="250">
        <f>+H15+H27</f>
        <v>13178052</v>
      </c>
      <c r="I28" s="251">
        <f>+I15+I27</f>
        <v>13474964</v>
      </c>
      <c r="J28" s="253">
        <f t="shared" si="5"/>
        <v>2.2530795902156099E-2</v>
      </c>
    </row>
    <row r="29" spans="1:10" x14ac:dyDescent="0.25">
      <c r="A29" s="234" t="s">
        <v>142</v>
      </c>
      <c r="B29" s="254"/>
      <c r="C29" s="255"/>
      <c r="D29" s="254"/>
      <c r="E29" s="254"/>
      <c r="F29" s="255"/>
      <c r="G29" s="254"/>
      <c r="H29" s="254"/>
      <c r="I29" s="255"/>
      <c r="J29" s="254"/>
    </row>
    <row r="30" spans="1:10" x14ac:dyDescent="0.25">
      <c r="A30" s="237" t="s">
        <v>177</v>
      </c>
      <c r="B30" s="256"/>
      <c r="C30" s="239"/>
      <c r="D30" s="256"/>
      <c r="E30" s="256"/>
      <c r="F30" s="239"/>
      <c r="G30" s="256"/>
      <c r="H30" s="256"/>
      <c r="I30" s="239"/>
      <c r="J30" s="256"/>
    </row>
    <row r="31" spans="1:10" ht="15.75" thickBot="1" x14ac:dyDescent="0.3">
      <c r="A31" s="240" t="s">
        <v>28</v>
      </c>
      <c r="B31" s="242">
        <v>1059660</v>
      </c>
      <c r="C31" s="243">
        <v>1044488</v>
      </c>
      <c r="D31" s="244">
        <f t="shared" ref="D31:D37" si="6">(C31-B31)/B31</f>
        <v>-1.4317800049072344E-2</v>
      </c>
      <c r="E31" s="242">
        <v>1059660</v>
      </c>
      <c r="F31" s="243">
        <v>862246</v>
      </c>
      <c r="G31" s="244">
        <f t="shared" ref="G31:G37" si="7">(F31-E31)/E31</f>
        <v>-0.18629937904610913</v>
      </c>
      <c r="H31" s="242">
        <v>1059660</v>
      </c>
      <c r="I31" s="243">
        <v>799469</v>
      </c>
      <c r="J31" s="244">
        <f t="shared" ref="J31:J37" si="8">(I31-H31)/H31</f>
        <v>-0.2455419662910745</v>
      </c>
    </row>
    <row r="32" spans="1:10" ht="15.75" thickBot="1" x14ac:dyDescent="0.3">
      <c r="A32" s="240" t="s">
        <v>178</v>
      </c>
      <c r="B32" s="242">
        <v>825435</v>
      </c>
      <c r="C32" s="243">
        <v>935523</v>
      </c>
      <c r="D32" s="244">
        <f t="shared" si="6"/>
        <v>0.13336967780624762</v>
      </c>
      <c r="E32" s="242">
        <v>825435</v>
      </c>
      <c r="F32" s="243">
        <v>861844</v>
      </c>
      <c r="G32" s="244">
        <f t="shared" si="7"/>
        <v>4.4108863811202575E-2</v>
      </c>
      <c r="H32" s="242">
        <v>825435</v>
      </c>
      <c r="I32" s="243">
        <v>855542</v>
      </c>
      <c r="J32" s="244">
        <f t="shared" si="8"/>
        <v>3.6474101534342496E-2</v>
      </c>
    </row>
    <row r="33" spans="1:10" ht="15.75" thickBot="1" x14ac:dyDescent="0.3">
      <c r="A33" s="240" t="s">
        <v>30</v>
      </c>
      <c r="B33" s="242">
        <v>172323</v>
      </c>
      <c r="C33" s="243">
        <v>186031</v>
      </c>
      <c r="D33" s="244">
        <f t="shared" si="6"/>
        <v>7.9548290129582241E-2</v>
      </c>
      <c r="E33" s="242">
        <v>172323</v>
      </c>
      <c r="F33" s="243">
        <v>205184</v>
      </c>
      <c r="G33" s="244">
        <f t="shared" si="7"/>
        <v>0.19069421957602872</v>
      </c>
      <c r="H33" s="242">
        <v>172323</v>
      </c>
      <c r="I33" s="243">
        <v>206372</v>
      </c>
      <c r="J33" s="244">
        <f t="shared" si="8"/>
        <v>0.19758824997243549</v>
      </c>
    </row>
    <row r="34" spans="1:10" ht="15.75" thickBot="1" x14ac:dyDescent="0.3">
      <c r="A34" s="240" t="s">
        <v>179</v>
      </c>
      <c r="B34" s="242">
        <v>160628</v>
      </c>
      <c r="C34" s="243">
        <v>122670</v>
      </c>
      <c r="D34" s="244">
        <f t="shared" si="6"/>
        <v>-0.23630998331548672</v>
      </c>
      <c r="E34" s="242">
        <v>160628</v>
      </c>
      <c r="F34" s="243">
        <v>129825</v>
      </c>
      <c r="G34" s="244">
        <f t="shared" si="7"/>
        <v>-0.19176606818238415</v>
      </c>
      <c r="H34" s="242">
        <v>160628</v>
      </c>
      <c r="I34" s="243">
        <v>162674</v>
      </c>
      <c r="J34" s="244">
        <f t="shared" si="8"/>
        <v>1.2737505291729959E-2</v>
      </c>
    </row>
    <row r="35" spans="1:10" ht="15.75" thickBot="1" x14ac:dyDescent="0.3">
      <c r="A35" s="240" t="s">
        <v>180</v>
      </c>
      <c r="B35" s="242">
        <v>4415</v>
      </c>
      <c r="C35" s="243">
        <v>3289</v>
      </c>
      <c r="D35" s="244">
        <f t="shared" si="6"/>
        <v>-0.25503963759909398</v>
      </c>
      <c r="E35" s="242">
        <v>4415</v>
      </c>
      <c r="F35" s="243">
        <v>2901</v>
      </c>
      <c r="G35" s="244">
        <f t="shared" si="7"/>
        <v>-0.34292185730464325</v>
      </c>
      <c r="H35" s="242">
        <v>4415</v>
      </c>
      <c r="I35" s="243">
        <v>2921</v>
      </c>
      <c r="J35" s="244">
        <f t="shared" si="8"/>
        <v>-0.33839184597961497</v>
      </c>
    </row>
    <row r="36" spans="1:10" ht="15.75" thickBot="1" x14ac:dyDescent="0.3">
      <c r="A36" s="245" t="s">
        <v>143</v>
      </c>
      <c r="B36" s="247">
        <v>26641</v>
      </c>
      <c r="C36" s="248">
        <v>26274</v>
      </c>
      <c r="D36" s="252">
        <f t="shared" si="6"/>
        <v>-1.3775759168199392E-2</v>
      </c>
      <c r="E36" s="247">
        <v>26641</v>
      </c>
      <c r="F36" s="248">
        <v>22619</v>
      </c>
      <c r="G36" s="252">
        <f t="shared" si="7"/>
        <v>-0.15097030892233776</v>
      </c>
      <c r="H36" s="247">
        <v>26641</v>
      </c>
      <c r="I36" s="248">
        <v>28191</v>
      </c>
      <c r="J36" s="252">
        <f t="shared" si="8"/>
        <v>5.8180999211741302E-2</v>
      </c>
    </row>
    <row r="37" spans="1:10" ht="15.75" thickBot="1" x14ac:dyDescent="0.3">
      <c r="A37" s="249" t="s">
        <v>181</v>
      </c>
      <c r="B37" s="250">
        <f>SUM(B31:B36)</f>
        <v>2249102</v>
      </c>
      <c r="C37" s="251">
        <f>SUM(C31:C36)</f>
        <v>2318275</v>
      </c>
      <c r="D37" s="253">
        <f t="shared" si="6"/>
        <v>3.0755830549259216E-2</v>
      </c>
      <c r="E37" s="250">
        <f>SUM(E31:E36)</f>
        <v>2249102</v>
      </c>
      <c r="F37" s="251">
        <f>SUM(F31:F36)</f>
        <v>2084619</v>
      </c>
      <c r="G37" s="253">
        <f t="shared" si="7"/>
        <v>-7.313274364613076E-2</v>
      </c>
      <c r="H37" s="250">
        <f>SUM(H31:H36)</f>
        <v>2249102</v>
      </c>
      <c r="I37" s="251">
        <f>SUM(I31:I36)</f>
        <v>2055169</v>
      </c>
      <c r="J37" s="253">
        <f t="shared" si="8"/>
        <v>-8.6226858541764664E-2</v>
      </c>
    </row>
    <row r="38" spans="1:10" x14ac:dyDescent="0.25">
      <c r="A38" s="237" t="s">
        <v>182</v>
      </c>
      <c r="B38" s="238"/>
      <c r="C38" s="239"/>
      <c r="D38" s="238"/>
      <c r="E38" s="238"/>
      <c r="F38" s="239"/>
      <c r="G38" s="238"/>
      <c r="H38" s="238"/>
      <c r="I38" s="239"/>
      <c r="J38" s="238"/>
    </row>
    <row r="39" spans="1:10" ht="15.75" thickBot="1" x14ac:dyDescent="0.3">
      <c r="A39" s="240" t="s">
        <v>28</v>
      </c>
      <c r="B39" s="242">
        <v>2034604</v>
      </c>
      <c r="C39" s="243">
        <v>2170378</v>
      </c>
      <c r="D39" s="244">
        <f>(C39-B39)/B39</f>
        <v>6.6732396082972406E-2</v>
      </c>
      <c r="E39" s="242">
        <v>2034604</v>
      </c>
      <c r="F39" s="243">
        <v>2309966</v>
      </c>
      <c r="G39" s="244">
        <f>(F39-E39)/E39</f>
        <v>0.13533935842060665</v>
      </c>
      <c r="H39" s="242">
        <v>2034604</v>
      </c>
      <c r="I39" s="243">
        <v>2364526</v>
      </c>
      <c r="J39" s="244">
        <f>(I39-H39)/H39</f>
        <v>0.16215538748572203</v>
      </c>
    </row>
    <row r="40" spans="1:10" ht="15.75" thickBot="1" x14ac:dyDescent="0.3">
      <c r="A40" s="240" t="s">
        <v>178</v>
      </c>
      <c r="B40" s="241">
        <v>159</v>
      </c>
      <c r="C40" s="257">
        <v>158</v>
      </c>
      <c r="D40" s="244">
        <f>(C40-B40)/B40</f>
        <v>-6.2893081761006293E-3</v>
      </c>
      <c r="E40" s="241">
        <v>159</v>
      </c>
      <c r="F40" s="257">
        <v>159</v>
      </c>
      <c r="G40" s="244">
        <f>(F40-E40)/E40</f>
        <v>0</v>
      </c>
      <c r="H40" s="241">
        <v>159</v>
      </c>
      <c r="I40" s="257">
        <v>158</v>
      </c>
      <c r="J40" s="244">
        <f>(I40-H40)/H40</f>
        <v>-6.2893081761006293E-3</v>
      </c>
    </row>
    <row r="41" spans="1:10" ht="15.75" thickBot="1" x14ac:dyDescent="0.3">
      <c r="A41" s="240" t="s">
        <v>179</v>
      </c>
      <c r="B41" s="242">
        <v>211533</v>
      </c>
      <c r="C41" s="243">
        <v>218264</v>
      </c>
      <c r="D41" s="244">
        <f>(C41-B41)/B41</f>
        <v>3.1820094264251912E-2</v>
      </c>
      <c r="E41" s="242">
        <v>211533</v>
      </c>
      <c r="F41" s="243">
        <v>226813</v>
      </c>
      <c r="G41" s="244">
        <f>(F41-E41)/E41</f>
        <v>7.2234592238563253E-2</v>
      </c>
      <c r="H41" s="242">
        <v>211533</v>
      </c>
      <c r="I41" s="243">
        <v>224265</v>
      </c>
      <c r="J41" s="244">
        <f>(I41-H41)/H41</f>
        <v>6.0189190339096026E-2</v>
      </c>
    </row>
    <row r="42" spans="1:10" ht="15.75" thickBot="1" x14ac:dyDescent="0.3">
      <c r="A42" s="240" t="s">
        <v>183</v>
      </c>
      <c r="B42" s="242">
        <v>727692</v>
      </c>
      <c r="C42" s="243">
        <v>642624</v>
      </c>
      <c r="D42" s="244">
        <f>(C42-B42)/B42</f>
        <v>-0.11690110651209577</v>
      </c>
      <c r="E42" s="242">
        <v>727692</v>
      </c>
      <c r="F42" s="243">
        <v>636888</v>
      </c>
      <c r="G42" s="244">
        <f>(F42-E42)/E42</f>
        <v>-0.12478356227634768</v>
      </c>
      <c r="H42" s="365">
        <v>727692</v>
      </c>
      <c r="I42" s="243">
        <v>631573</v>
      </c>
      <c r="J42" s="244">
        <f>(I42-H42)/H42</f>
        <v>-0.13208747656975753</v>
      </c>
    </row>
    <row r="43" spans="1:10" ht="15.75" thickBot="1" x14ac:dyDescent="0.3">
      <c r="A43" s="245" t="s">
        <v>143</v>
      </c>
      <c r="B43" s="246" t="s">
        <v>184</v>
      </c>
      <c r="C43" s="258">
        <v>779</v>
      </c>
      <c r="D43" s="252" t="s">
        <v>131</v>
      </c>
      <c r="E43" s="246" t="s">
        <v>184</v>
      </c>
      <c r="F43" s="258">
        <v>801</v>
      </c>
      <c r="G43" s="252" t="s">
        <v>131</v>
      </c>
      <c r="H43" s="246" t="s">
        <v>184</v>
      </c>
      <c r="I43" s="258">
        <v>748</v>
      </c>
      <c r="J43" s="252" t="s">
        <v>131</v>
      </c>
    </row>
    <row r="44" spans="1:10" ht="15.75" thickBot="1" x14ac:dyDescent="0.3">
      <c r="A44" s="249" t="s">
        <v>185</v>
      </c>
      <c r="B44" s="250">
        <f>SUM(B39:B43)</f>
        <v>2973988</v>
      </c>
      <c r="C44" s="251">
        <f>SUM(C39:C43)</f>
        <v>3032203</v>
      </c>
      <c r="D44" s="253">
        <f>(C44-B44)/B44</f>
        <v>1.9574725923574676E-2</v>
      </c>
      <c r="E44" s="250">
        <f>SUM(E39:E43)</f>
        <v>2973988</v>
      </c>
      <c r="F44" s="251">
        <f>SUM(F39:F43)</f>
        <v>3174627</v>
      </c>
      <c r="G44" s="253">
        <f>(F44-E44)/E44</f>
        <v>6.7464629985057104E-2</v>
      </c>
      <c r="H44" s="250">
        <f>SUM(H39:H43)</f>
        <v>2973988</v>
      </c>
      <c r="I44" s="251">
        <f>SUM(I39:I43)</f>
        <v>3221270</v>
      </c>
      <c r="J44" s="253">
        <f>(I44-H44)/H44</f>
        <v>8.314828439119458E-2</v>
      </c>
    </row>
    <row r="45" spans="1:10" ht="15.75" thickBot="1" x14ac:dyDescent="0.3">
      <c r="A45" s="249" t="s">
        <v>186</v>
      </c>
      <c r="B45" s="250">
        <f>+B37+B44</f>
        <v>5223090</v>
      </c>
      <c r="C45" s="251">
        <f>+C37+C44</f>
        <v>5350478</v>
      </c>
      <c r="D45" s="253">
        <f>(C45-B45)/B45</f>
        <v>2.4389394017717482E-2</v>
      </c>
      <c r="E45" s="250">
        <f>+E37+E44</f>
        <v>5223090</v>
      </c>
      <c r="F45" s="251">
        <f>+F37+F44</f>
        <v>5259246</v>
      </c>
      <c r="G45" s="253">
        <f>(F45-E45)/E45</f>
        <v>6.9223390751451726E-3</v>
      </c>
      <c r="H45" s="250">
        <f>+H37+H44</f>
        <v>5223090</v>
      </c>
      <c r="I45" s="251">
        <f>+I37+I44</f>
        <v>5276439</v>
      </c>
      <c r="J45" s="253">
        <f>(I45-H45)/H45</f>
        <v>1.0214068683480468E-2</v>
      </c>
    </row>
    <row r="46" spans="1:10" x14ac:dyDescent="0.25">
      <c r="A46" s="234" t="s">
        <v>34</v>
      </c>
      <c r="B46" s="254"/>
      <c r="C46" s="255"/>
      <c r="D46" s="254"/>
      <c r="E46" s="254"/>
      <c r="F46" s="255"/>
      <c r="G46" s="254"/>
      <c r="H46" s="254"/>
      <c r="I46" s="255"/>
      <c r="J46" s="254"/>
    </row>
    <row r="47" spans="1:10" ht="15.75" thickBot="1" x14ac:dyDescent="0.3">
      <c r="A47" s="249" t="s">
        <v>187</v>
      </c>
      <c r="B47" s="250">
        <v>7920603</v>
      </c>
      <c r="C47" s="251">
        <v>8344147</v>
      </c>
      <c r="D47" s="253">
        <f>(C47-B47)/B47</f>
        <v>5.3473706484215913E-2</v>
      </c>
      <c r="E47" s="250">
        <v>7920603</v>
      </c>
      <c r="F47" s="251">
        <v>8143026</v>
      </c>
      <c r="G47" s="253">
        <f>(F47-E47)/E47</f>
        <v>2.808157409227555E-2</v>
      </c>
      <c r="H47" s="250">
        <v>7920603</v>
      </c>
      <c r="I47" s="251">
        <v>8162045</v>
      </c>
      <c r="J47" s="253">
        <f>(I47-H47)/H47</f>
        <v>3.0482780162065945E-2</v>
      </c>
    </row>
    <row r="48" spans="1:10" ht="15.75" thickBot="1" x14ac:dyDescent="0.3">
      <c r="A48" s="259" t="s">
        <v>188</v>
      </c>
      <c r="B48" s="247">
        <v>34359</v>
      </c>
      <c r="C48" s="248">
        <v>35209</v>
      </c>
      <c r="D48" s="252">
        <f>(C48-B48)/B48</f>
        <v>2.473878750836753E-2</v>
      </c>
      <c r="E48" s="247">
        <v>34359</v>
      </c>
      <c r="F48" s="248">
        <v>35636</v>
      </c>
      <c r="G48" s="252">
        <f>(F48-E48)/E48</f>
        <v>3.7166390174335692E-2</v>
      </c>
      <c r="H48" s="247">
        <v>34359</v>
      </c>
      <c r="I48" s="248">
        <v>36480</v>
      </c>
      <c r="J48" s="252">
        <f>(I48-H48)/H48</f>
        <v>6.1730550947350041E-2</v>
      </c>
    </row>
    <row r="49" spans="1:25" ht="15.75" thickBot="1" x14ac:dyDescent="0.3">
      <c r="A49" s="249" t="s">
        <v>189</v>
      </c>
      <c r="B49" s="250">
        <f>SUM(B47:B48)</f>
        <v>7954962</v>
      </c>
      <c r="C49" s="251">
        <f>SUM(C47:C48)</f>
        <v>8379356</v>
      </c>
      <c r="D49" s="253">
        <f>(C49-B49)/B49</f>
        <v>5.3349594881785735E-2</v>
      </c>
      <c r="E49" s="250">
        <f>SUM(E47:E48)</f>
        <v>7954962</v>
      </c>
      <c r="F49" s="251">
        <f>SUM(F47:F48)</f>
        <v>8178662</v>
      </c>
      <c r="G49" s="253">
        <f>(F49-E49)/E49</f>
        <v>2.8120813147818932E-2</v>
      </c>
      <c r="H49" s="250">
        <f>SUM(H47:H48)</f>
        <v>7954962</v>
      </c>
      <c r="I49" s="251">
        <f>SUM(I47:I48)</f>
        <v>8198525</v>
      </c>
      <c r="J49" s="253">
        <f>(I49-H49)/H49</f>
        <v>3.0617745251328668E-2</v>
      </c>
    </row>
    <row r="50" spans="1:25" ht="15.75" thickBot="1" x14ac:dyDescent="0.3">
      <c r="A50" s="260" t="s">
        <v>190</v>
      </c>
      <c r="B50" s="261">
        <f>+B45+B49</f>
        <v>13178052</v>
      </c>
      <c r="C50" s="251">
        <f>+C45+C49</f>
        <v>13729834</v>
      </c>
      <c r="D50" s="262">
        <f>(C50-B50)/B50</f>
        <v>4.18712871978347E-2</v>
      </c>
      <c r="E50" s="261">
        <f>+E45+E49</f>
        <v>13178052</v>
      </c>
      <c r="F50" s="251">
        <f>+F45+F49</f>
        <v>13437908</v>
      </c>
      <c r="G50" s="262">
        <f>(F50-E50)/E50</f>
        <v>1.9718847671871383E-2</v>
      </c>
      <c r="H50" s="261">
        <f>+H45+H49</f>
        <v>13178052</v>
      </c>
      <c r="I50" s="251">
        <f>+I45+I49</f>
        <v>13474964</v>
      </c>
      <c r="J50" s="262">
        <f>(I50-H50)/H50</f>
        <v>2.2530795902156099E-2</v>
      </c>
    </row>
    <row r="53" spans="1:25" ht="18.75" x14ac:dyDescent="0.3">
      <c r="A53" s="264" t="s">
        <v>191</v>
      </c>
      <c r="B53" s="362"/>
      <c r="C53" s="362"/>
      <c r="D53" s="362"/>
      <c r="E53" s="362"/>
    </row>
    <row r="54" spans="1:25" x14ac:dyDescent="0.25">
      <c r="A54" s="333" t="s">
        <v>235</v>
      </c>
      <c r="B54" s="362"/>
      <c r="C54" s="362"/>
      <c r="D54" s="362"/>
      <c r="E54" s="362"/>
    </row>
    <row r="55" spans="1:25" x14ac:dyDescent="0.25">
      <c r="A55" s="332" t="s">
        <v>88</v>
      </c>
      <c r="B55" s="362"/>
      <c r="C55" s="362"/>
      <c r="D55" s="362"/>
      <c r="E55" s="362"/>
    </row>
    <row r="56" spans="1:25" x14ac:dyDescent="0.25">
      <c r="A56" s="265" t="s">
        <v>159</v>
      </c>
      <c r="B56" s="362"/>
      <c r="C56" s="362"/>
      <c r="D56" s="362"/>
      <c r="E56" s="362"/>
    </row>
    <row r="57" spans="1:25" ht="15.75" thickBot="1" x14ac:dyDescent="0.3">
      <c r="B57" s="364"/>
      <c r="C57" s="364"/>
      <c r="D57" s="364"/>
      <c r="E57" s="364"/>
    </row>
    <row r="58" spans="1:25" s="340" customFormat="1" ht="15.75" customHeight="1" thickBot="1" x14ac:dyDescent="0.3">
      <c r="A58" s="341"/>
      <c r="B58" s="342" t="s">
        <v>146</v>
      </c>
      <c r="C58" s="342" t="s">
        <v>55</v>
      </c>
      <c r="D58" s="343" t="s">
        <v>222</v>
      </c>
      <c r="E58" s="342" t="s">
        <v>55</v>
      </c>
      <c r="F58" s="342" t="s">
        <v>46</v>
      </c>
      <c r="G58" s="344" t="s">
        <v>150</v>
      </c>
      <c r="H58" s="342" t="s">
        <v>55</v>
      </c>
      <c r="I58" s="345" t="s">
        <v>232</v>
      </c>
      <c r="J58" s="342" t="s">
        <v>55</v>
      </c>
      <c r="K58" s="342" t="s">
        <v>46</v>
      </c>
      <c r="L58" s="344" t="s">
        <v>146</v>
      </c>
      <c r="M58" s="345" t="s">
        <v>222</v>
      </c>
      <c r="N58" s="344" t="s">
        <v>148</v>
      </c>
      <c r="O58" s="345" t="s">
        <v>231</v>
      </c>
      <c r="P58" s="344" t="s">
        <v>152</v>
      </c>
      <c r="Q58" s="342" t="s">
        <v>55</v>
      </c>
      <c r="R58" s="345" t="s">
        <v>236</v>
      </c>
      <c r="S58" s="342" t="s">
        <v>55</v>
      </c>
      <c r="T58" s="342" t="s">
        <v>46</v>
      </c>
      <c r="U58" s="344" t="s">
        <v>224</v>
      </c>
      <c r="V58" s="342" t="s">
        <v>55</v>
      </c>
      <c r="W58" s="345" t="s">
        <v>237</v>
      </c>
      <c r="X58" s="342" t="s">
        <v>55</v>
      </c>
      <c r="Y58" s="342" t="s">
        <v>46</v>
      </c>
    </row>
    <row r="59" spans="1:25" ht="15.75" thickTop="1" x14ac:dyDescent="0.25">
      <c r="A59" s="266" t="s">
        <v>193</v>
      </c>
      <c r="B59" s="232"/>
      <c r="C59" s="232"/>
      <c r="D59" s="267"/>
      <c r="E59" s="232"/>
      <c r="F59" s="232"/>
      <c r="G59" s="232"/>
      <c r="H59" s="232"/>
      <c r="I59" s="267"/>
      <c r="J59" s="232"/>
      <c r="K59" s="232"/>
      <c r="L59" s="232"/>
      <c r="M59" s="267"/>
      <c r="N59" s="232"/>
      <c r="O59" s="267"/>
      <c r="P59" s="232"/>
      <c r="Q59" s="232"/>
      <c r="R59" s="267"/>
      <c r="S59" s="232"/>
      <c r="T59" s="232"/>
      <c r="U59" s="232"/>
      <c r="V59" s="232"/>
      <c r="W59" s="267"/>
      <c r="X59" s="232"/>
      <c r="Y59" s="232"/>
    </row>
    <row r="60" spans="1:25" ht="15.75" thickBot="1" x14ac:dyDescent="0.3">
      <c r="A60" s="268" t="s">
        <v>194</v>
      </c>
      <c r="B60" s="269">
        <v>1726220</v>
      </c>
      <c r="C60" s="270">
        <f t="shared" ref="C60:C81" si="9">+B60/$B$60</f>
        <v>1</v>
      </c>
      <c r="D60" s="271">
        <v>2104216</v>
      </c>
      <c r="E60" s="270">
        <f t="shared" ref="E60:E81" si="10">+D60/$D$60</f>
        <v>1</v>
      </c>
      <c r="F60" s="270">
        <f t="shared" ref="F60:F74" si="11">(D60-B60)/B60</f>
        <v>0.21897324790582892</v>
      </c>
      <c r="G60" s="269">
        <v>3583401</v>
      </c>
      <c r="H60" s="270">
        <f t="shared" ref="H60:H81" si="12">+G60/$G$60</f>
        <v>1</v>
      </c>
      <c r="I60" s="271">
        <v>4205283</v>
      </c>
      <c r="J60" s="270">
        <f t="shared" ref="J60:J81" si="13">+I60/$I$60</f>
        <v>1</v>
      </c>
      <c r="K60" s="270">
        <f t="shared" ref="K60:K81" si="14">(I60-G60)/G60</f>
        <v>0.17354518793738127</v>
      </c>
      <c r="L60" s="269">
        <v>1726220</v>
      </c>
      <c r="M60" s="271">
        <v>2104216</v>
      </c>
      <c r="N60" s="316">
        <v>1857181</v>
      </c>
      <c r="O60" s="323">
        <v>2101067</v>
      </c>
      <c r="P60" s="269">
        <v>2099200</v>
      </c>
      <c r="Q60" s="270">
        <f t="shared" ref="Q60:Q81" si="15">+P60/$P$60</f>
        <v>1</v>
      </c>
      <c r="R60" s="271">
        <v>2214012</v>
      </c>
      <c r="S60" s="270">
        <f t="shared" ref="S60:S81" si="16">+R60/$R$60</f>
        <v>1</v>
      </c>
      <c r="T60" s="270">
        <f t="shared" ref="T60:T70" si="17">(R60-P60)/P60</f>
        <v>5.4693216463414636E-2</v>
      </c>
      <c r="U60" s="269">
        <f t="shared" ref="U60:U81" si="18">+L60+N60+P60</f>
        <v>5682601</v>
      </c>
      <c r="V60" s="270">
        <f t="shared" ref="V60:V81" si="19">+U60/$U$60</f>
        <v>1</v>
      </c>
      <c r="W60" s="271">
        <f t="shared" ref="W60:W81" si="20">+M60+O60+R60</f>
        <v>6419295</v>
      </c>
      <c r="X60" s="270">
        <f t="shared" ref="X60:X81" si="21">+W60/$W$60</f>
        <v>1</v>
      </c>
      <c r="Y60" s="270">
        <f t="shared" ref="Y60:Y66" si="22">(W60-U60)/U60</f>
        <v>0.12964028268041342</v>
      </c>
    </row>
    <row r="61" spans="1:25" ht="15.75" thickBot="1" x14ac:dyDescent="0.3">
      <c r="A61" s="272" t="s">
        <v>195</v>
      </c>
      <c r="B61" s="274">
        <v>-972781</v>
      </c>
      <c r="C61" s="275">
        <f t="shared" si="9"/>
        <v>-0.56353245820347353</v>
      </c>
      <c r="D61" s="276">
        <v>-1196310</v>
      </c>
      <c r="E61" s="275">
        <f t="shared" si="10"/>
        <v>-0.56853003684032433</v>
      </c>
      <c r="F61" s="275">
        <f t="shared" si="11"/>
        <v>0.22978347644536642</v>
      </c>
      <c r="G61" s="274">
        <v>-2017246</v>
      </c>
      <c r="H61" s="275">
        <f t="shared" si="12"/>
        <v>-0.56294174165827382</v>
      </c>
      <c r="I61" s="276">
        <v>-2399295</v>
      </c>
      <c r="J61" s="275">
        <f t="shared" si="13"/>
        <v>-0.57054305263165406</v>
      </c>
      <c r="K61" s="275">
        <f t="shared" si="14"/>
        <v>0.18939137814624493</v>
      </c>
      <c r="L61" s="274">
        <v>-972781</v>
      </c>
      <c r="M61" s="276">
        <v>-1196310</v>
      </c>
      <c r="N61" s="317">
        <v>-1044465</v>
      </c>
      <c r="O61" s="324">
        <v>-1202985</v>
      </c>
      <c r="P61" s="274">
        <v>-1187913</v>
      </c>
      <c r="Q61" s="275">
        <f t="shared" si="15"/>
        <v>-0.56588843368902442</v>
      </c>
      <c r="R61" s="276">
        <v>-1279858</v>
      </c>
      <c r="S61" s="275">
        <f t="shared" si="16"/>
        <v>-0.57807184423571323</v>
      </c>
      <c r="T61" s="275">
        <f t="shared" si="17"/>
        <v>7.7400449359506962E-2</v>
      </c>
      <c r="U61" s="274">
        <f t="shared" si="18"/>
        <v>-3205159</v>
      </c>
      <c r="V61" s="275">
        <f t="shared" si="19"/>
        <v>-0.56403027416494667</v>
      </c>
      <c r="W61" s="276">
        <f t="shared" si="20"/>
        <v>-3679153</v>
      </c>
      <c r="X61" s="275">
        <f t="shared" si="21"/>
        <v>-0.57313972951858416</v>
      </c>
      <c r="Y61" s="275">
        <f t="shared" si="22"/>
        <v>0.14788470712373394</v>
      </c>
    </row>
    <row r="62" spans="1:25" ht="15.75" thickBot="1" x14ac:dyDescent="0.3">
      <c r="A62" s="277" t="s">
        <v>196</v>
      </c>
      <c r="B62" s="278">
        <f>SUM(B60:B61)</f>
        <v>753439</v>
      </c>
      <c r="C62" s="279">
        <f t="shared" si="9"/>
        <v>0.43646754179652653</v>
      </c>
      <c r="D62" s="280">
        <f>SUM(D60:D61)</f>
        <v>907906</v>
      </c>
      <c r="E62" s="279">
        <f t="shared" si="10"/>
        <v>0.43146996315967562</v>
      </c>
      <c r="F62" s="279">
        <f t="shared" si="11"/>
        <v>0.205015933605773</v>
      </c>
      <c r="G62" s="278">
        <f>SUM(G60:G61)</f>
        <v>1566155</v>
      </c>
      <c r="H62" s="279">
        <f t="shared" si="12"/>
        <v>0.43705825834172618</v>
      </c>
      <c r="I62" s="280">
        <f>SUM(I60:I61)</f>
        <v>1805988</v>
      </c>
      <c r="J62" s="279">
        <f t="shared" si="13"/>
        <v>0.42945694736834594</v>
      </c>
      <c r="K62" s="279">
        <f t="shared" si="14"/>
        <v>0.15313490682595274</v>
      </c>
      <c r="L62" s="278">
        <f>SUM(L60:L61)</f>
        <v>753439</v>
      </c>
      <c r="M62" s="280">
        <f>SUM(M60:M61)</f>
        <v>907906</v>
      </c>
      <c r="N62" s="318">
        <f>SUM(N60:N61)</f>
        <v>812716</v>
      </c>
      <c r="O62" s="325">
        <f>SUM(O60:O61)</f>
        <v>898082</v>
      </c>
      <c r="P62" s="278">
        <f>SUM(P60:P61)</f>
        <v>911287</v>
      </c>
      <c r="Q62" s="279">
        <f t="shared" si="15"/>
        <v>0.43411156631097558</v>
      </c>
      <c r="R62" s="280">
        <f>SUM(R60:R61)</f>
        <v>934154</v>
      </c>
      <c r="S62" s="279">
        <f t="shared" si="16"/>
        <v>0.42192815576428672</v>
      </c>
      <c r="T62" s="279">
        <f t="shared" si="17"/>
        <v>2.5093082640265909E-2</v>
      </c>
      <c r="U62" s="278">
        <f t="shared" si="18"/>
        <v>2477442</v>
      </c>
      <c r="V62" s="279">
        <f t="shared" si="19"/>
        <v>0.43596972583505333</v>
      </c>
      <c r="W62" s="280">
        <f t="shared" si="20"/>
        <v>2740142</v>
      </c>
      <c r="X62" s="279">
        <f t="shared" si="21"/>
        <v>0.42686027048141578</v>
      </c>
      <c r="Y62" s="279">
        <f t="shared" si="22"/>
        <v>0.10603679117412235</v>
      </c>
    </row>
    <row r="63" spans="1:25" ht="15.75" thickBot="1" x14ac:dyDescent="0.3">
      <c r="A63" s="272" t="s">
        <v>7</v>
      </c>
      <c r="B63" s="274">
        <v>-96265</v>
      </c>
      <c r="C63" s="275">
        <f t="shared" si="9"/>
        <v>-5.5766356547832838E-2</v>
      </c>
      <c r="D63" s="276">
        <v>-97009</v>
      </c>
      <c r="E63" s="275">
        <f t="shared" si="10"/>
        <v>-4.6102206237382475E-2</v>
      </c>
      <c r="F63" s="275">
        <f t="shared" si="11"/>
        <v>7.7286656624941568E-3</v>
      </c>
      <c r="G63" s="274">
        <v>-183084</v>
      </c>
      <c r="H63" s="275">
        <f t="shared" si="12"/>
        <v>-5.109224449063892E-2</v>
      </c>
      <c r="I63" s="276">
        <v>-193987</v>
      </c>
      <c r="J63" s="275">
        <f t="shared" si="13"/>
        <v>-4.6129356811420302E-2</v>
      </c>
      <c r="K63" s="275">
        <f t="shared" si="14"/>
        <v>5.9551899674466363E-2</v>
      </c>
      <c r="L63" s="274">
        <v>-96265</v>
      </c>
      <c r="M63" s="276">
        <v>-97009</v>
      </c>
      <c r="N63" s="317">
        <v>-86819</v>
      </c>
      <c r="O63" s="324">
        <v>-96978</v>
      </c>
      <c r="P63" s="274">
        <v>-95397</v>
      </c>
      <c r="Q63" s="275">
        <f t="shared" si="15"/>
        <v>-4.5444455030487801E-2</v>
      </c>
      <c r="R63" s="276">
        <v>-99902</v>
      </c>
      <c r="S63" s="275">
        <f t="shared" si="16"/>
        <v>-4.5122609994887111E-2</v>
      </c>
      <c r="T63" s="275">
        <f t="shared" si="17"/>
        <v>4.7223707244462614E-2</v>
      </c>
      <c r="U63" s="274">
        <f t="shared" si="18"/>
        <v>-278481</v>
      </c>
      <c r="V63" s="275">
        <f t="shared" si="19"/>
        <v>-4.9005904162548103E-2</v>
      </c>
      <c r="W63" s="276">
        <f t="shared" si="20"/>
        <v>-293889</v>
      </c>
      <c r="X63" s="275">
        <f t="shared" si="21"/>
        <v>-4.5782130280661665E-2</v>
      </c>
      <c r="Y63" s="275">
        <f t="shared" si="22"/>
        <v>5.5328729787669534E-2</v>
      </c>
    </row>
    <row r="64" spans="1:25" ht="15.75" thickBot="1" x14ac:dyDescent="0.3">
      <c r="A64" s="272" t="s">
        <v>8</v>
      </c>
      <c r="B64" s="274">
        <v>-436316</v>
      </c>
      <c r="C64" s="275">
        <f t="shared" si="9"/>
        <v>-0.25275804937956925</v>
      </c>
      <c r="D64" s="276">
        <v>-547935</v>
      </c>
      <c r="E64" s="275">
        <f t="shared" si="10"/>
        <v>-0.26039864728716061</v>
      </c>
      <c r="F64" s="275">
        <f t="shared" si="11"/>
        <v>0.25582146884368212</v>
      </c>
      <c r="G64" s="274">
        <v>-956200</v>
      </c>
      <c r="H64" s="275">
        <f t="shared" si="12"/>
        <v>-0.26684147266800451</v>
      </c>
      <c r="I64" s="276">
        <v>-1128655</v>
      </c>
      <c r="J64" s="275">
        <f t="shared" si="13"/>
        <v>-0.26838978494431887</v>
      </c>
      <c r="K64" s="275">
        <f t="shared" si="14"/>
        <v>0.18035452834135118</v>
      </c>
      <c r="L64" s="274">
        <v>-436316</v>
      </c>
      <c r="M64" s="276">
        <v>-547935</v>
      </c>
      <c r="N64" s="317">
        <v>-519884</v>
      </c>
      <c r="O64" s="324">
        <v>-580720</v>
      </c>
      <c r="P64" s="274">
        <v>-561107</v>
      </c>
      <c r="Q64" s="275">
        <f t="shared" si="15"/>
        <v>-0.26729563643292681</v>
      </c>
      <c r="R64" s="276">
        <v>-596608</v>
      </c>
      <c r="S64" s="275">
        <f t="shared" si="16"/>
        <v>-0.26946918083551491</v>
      </c>
      <c r="T64" s="275">
        <f t="shared" si="17"/>
        <v>6.3269572470134927E-2</v>
      </c>
      <c r="U64" s="274">
        <f t="shared" si="18"/>
        <v>-1517307</v>
      </c>
      <c r="V64" s="275">
        <f t="shared" si="19"/>
        <v>-0.26700924453432506</v>
      </c>
      <c r="W64" s="276">
        <f t="shared" si="20"/>
        <v>-1725263</v>
      </c>
      <c r="X64" s="275">
        <f t="shared" si="21"/>
        <v>-0.26876206810872533</v>
      </c>
      <c r="Y64" s="275">
        <f t="shared" si="22"/>
        <v>0.13705598141971267</v>
      </c>
    </row>
    <row r="65" spans="1:25" ht="15.75" thickBot="1" x14ac:dyDescent="0.3">
      <c r="A65" s="272" t="s">
        <v>84</v>
      </c>
      <c r="B65" s="274">
        <v>-32449</v>
      </c>
      <c r="C65" s="275">
        <f t="shared" si="9"/>
        <v>-1.8797719873480785E-2</v>
      </c>
      <c r="D65" s="276">
        <v>-34692</v>
      </c>
      <c r="E65" s="275">
        <f t="shared" si="10"/>
        <v>-1.6486900584350657E-2</v>
      </c>
      <c r="F65" s="275">
        <f t="shared" si="11"/>
        <v>6.9123855896945974E-2</v>
      </c>
      <c r="G65" s="274">
        <v>-64634</v>
      </c>
      <c r="H65" s="275">
        <f t="shared" si="12"/>
        <v>-1.8037054742129056E-2</v>
      </c>
      <c r="I65" s="276">
        <v>-69304</v>
      </c>
      <c r="J65" s="275">
        <f t="shared" si="13"/>
        <v>-1.6480222615219951E-2</v>
      </c>
      <c r="K65" s="275">
        <f t="shared" si="14"/>
        <v>7.2252993780363275E-2</v>
      </c>
      <c r="L65" s="274">
        <v>-32449</v>
      </c>
      <c r="M65" s="276">
        <v>-34692</v>
      </c>
      <c r="N65" s="317">
        <v>-32185</v>
      </c>
      <c r="O65" s="324">
        <v>-34612</v>
      </c>
      <c r="P65" s="274">
        <v>-31886</v>
      </c>
      <c r="Q65" s="275">
        <f t="shared" si="15"/>
        <v>-1.5189596036585366E-2</v>
      </c>
      <c r="R65" s="276">
        <v>-37705</v>
      </c>
      <c r="S65" s="275">
        <f t="shared" si="16"/>
        <v>-1.703016966484373E-2</v>
      </c>
      <c r="T65" s="275">
        <f t="shared" si="17"/>
        <v>0.18249388446340087</v>
      </c>
      <c r="U65" s="274">
        <f t="shared" si="18"/>
        <v>-96520</v>
      </c>
      <c r="V65" s="275">
        <f t="shared" si="19"/>
        <v>-1.6985179849861004E-2</v>
      </c>
      <c r="W65" s="276">
        <f t="shared" si="20"/>
        <v>-107009</v>
      </c>
      <c r="X65" s="275">
        <f t="shared" si="21"/>
        <v>-1.6669899108858528E-2</v>
      </c>
      <c r="Y65" s="275">
        <f t="shared" si="22"/>
        <v>0.10867177786987153</v>
      </c>
    </row>
    <row r="66" spans="1:25" ht="15.75" thickBot="1" x14ac:dyDescent="0.3">
      <c r="A66" s="272" t="s">
        <v>197</v>
      </c>
      <c r="B66" s="274">
        <v>8166</v>
      </c>
      <c r="C66" s="275">
        <f t="shared" si="9"/>
        <v>4.730567366847795E-3</v>
      </c>
      <c r="D66" s="276">
        <v>3848</v>
      </c>
      <c r="E66" s="275">
        <f t="shared" si="10"/>
        <v>1.8287096001551172E-3</v>
      </c>
      <c r="F66" s="275">
        <f t="shared" si="11"/>
        <v>-0.52877785941709532</v>
      </c>
      <c r="G66" s="274">
        <v>7880</v>
      </c>
      <c r="H66" s="275">
        <f t="shared" si="12"/>
        <v>2.1990282416062281E-3</v>
      </c>
      <c r="I66" s="276">
        <v>15786</v>
      </c>
      <c r="J66" s="275">
        <f t="shared" si="13"/>
        <v>3.7538496220111701E-3</v>
      </c>
      <c r="K66" s="275">
        <f t="shared" si="14"/>
        <v>1.0032994923857868</v>
      </c>
      <c r="L66" s="274">
        <v>8166</v>
      </c>
      <c r="M66" s="276">
        <v>3848</v>
      </c>
      <c r="N66" s="317">
        <v>-286</v>
      </c>
      <c r="O66" s="324">
        <v>11938</v>
      </c>
      <c r="P66" s="274">
        <v>-4707</v>
      </c>
      <c r="Q66" s="275">
        <f t="shared" si="15"/>
        <v>-2.2422827743902437E-3</v>
      </c>
      <c r="R66" s="276">
        <v>1152</v>
      </c>
      <c r="S66" s="275">
        <f t="shared" si="16"/>
        <v>5.2032238307651445E-4</v>
      </c>
      <c r="T66" s="275">
        <f t="shared" si="17"/>
        <v>-1.2447418738049714</v>
      </c>
      <c r="U66" s="274">
        <f t="shared" si="18"/>
        <v>3173</v>
      </c>
      <c r="V66" s="275">
        <f t="shared" si="19"/>
        <v>5.583710698674779E-4</v>
      </c>
      <c r="W66" s="276">
        <f t="shared" si="20"/>
        <v>16938</v>
      </c>
      <c r="X66" s="275">
        <f t="shared" si="21"/>
        <v>2.6386075106378504E-3</v>
      </c>
      <c r="Y66" s="275">
        <f t="shared" si="22"/>
        <v>4.3381657737157262</v>
      </c>
    </row>
    <row r="67" spans="1:25" ht="15.75" thickBot="1" x14ac:dyDescent="0.3">
      <c r="A67" s="272" t="s">
        <v>144</v>
      </c>
      <c r="B67" s="274">
        <v>2206</v>
      </c>
      <c r="C67" s="275">
        <f t="shared" si="9"/>
        <v>1.2779367635643198E-3</v>
      </c>
      <c r="D67" s="276">
        <v>1169</v>
      </c>
      <c r="E67" s="275">
        <f t="shared" si="10"/>
        <v>5.5555133123215493E-4</v>
      </c>
      <c r="F67" s="275">
        <f t="shared" si="11"/>
        <v>-0.4700815956482321</v>
      </c>
      <c r="G67" s="274">
        <v>2091</v>
      </c>
      <c r="H67" s="275">
        <f t="shared" si="12"/>
        <v>5.8352386461911466E-4</v>
      </c>
      <c r="I67" s="276">
        <v>8556</v>
      </c>
      <c r="J67" s="275">
        <f t="shared" si="13"/>
        <v>2.0345836415765596E-3</v>
      </c>
      <c r="K67" s="275">
        <f t="shared" si="14"/>
        <v>3.0918220946915351</v>
      </c>
      <c r="L67" s="274">
        <v>2206</v>
      </c>
      <c r="M67" s="276">
        <v>1169</v>
      </c>
      <c r="N67" s="317">
        <v>-115</v>
      </c>
      <c r="O67" s="324">
        <v>7387</v>
      </c>
      <c r="P67" s="274">
        <v>-3726</v>
      </c>
      <c r="Q67" s="275">
        <f t="shared" si="15"/>
        <v>-1.7749618902439025E-3</v>
      </c>
      <c r="R67" s="276">
        <v>8885</v>
      </c>
      <c r="S67" s="275">
        <f t="shared" si="16"/>
        <v>4.0130767132246798E-3</v>
      </c>
      <c r="T67" s="275">
        <f t="shared" si="17"/>
        <v>-3.3845947396672034</v>
      </c>
      <c r="U67" s="274">
        <f t="shared" si="18"/>
        <v>-1635</v>
      </c>
      <c r="V67" s="275">
        <f t="shared" si="19"/>
        <v>-2.8772035903981295E-4</v>
      </c>
      <c r="W67" s="276">
        <f t="shared" si="20"/>
        <v>17441</v>
      </c>
      <c r="X67" s="275">
        <f t="shared" si="21"/>
        <v>2.7169650249754839E-3</v>
      </c>
      <c r="Y67" s="275" t="s">
        <v>131</v>
      </c>
    </row>
    <row r="68" spans="1:25" ht="15.75" thickBot="1" x14ac:dyDescent="0.3">
      <c r="A68" s="268" t="s">
        <v>198</v>
      </c>
      <c r="B68" s="269">
        <f>SUM(B62:B67)</f>
        <v>198781</v>
      </c>
      <c r="C68" s="270">
        <f t="shared" si="9"/>
        <v>0.11515392012605577</v>
      </c>
      <c r="D68" s="271">
        <f>SUM(D62:D67)</f>
        <v>233287</v>
      </c>
      <c r="E68" s="270">
        <f t="shared" si="10"/>
        <v>0.11086646998216913</v>
      </c>
      <c r="F68" s="270">
        <f t="shared" si="11"/>
        <v>0.17358801897565662</v>
      </c>
      <c r="G68" s="269">
        <f>SUM(G62:G67)</f>
        <v>372208</v>
      </c>
      <c r="H68" s="270">
        <f t="shared" si="12"/>
        <v>0.10387003854717906</v>
      </c>
      <c r="I68" s="271">
        <f>SUM(I62:I67)</f>
        <v>438384</v>
      </c>
      <c r="J68" s="270">
        <f t="shared" si="13"/>
        <v>0.10424601626097459</v>
      </c>
      <c r="K68" s="270">
        <f t="shared" si="14"/>
        <v>0.17779306194385935</v>
      </c>
      <c r="L68" s="269">
        <f>SUM(L62:L67)</f>
        <v>198781</v>
      </c>
      <c r="M68" s="271">
        <f>SUM(M62:M67)</f>
        <v>233287</v>
      </c>
      <c r="N68" s="316">
        <f>SUM(N62:N67)</f>
        <v>173427</v>
      </c>
      <c r="O68" s="323">
        <f>SUM(O62:O67)</f>
        <v>205097</v>
      </c>
      <c r="P68" s="269">
        <f>SUM(P62:P67)</f>
        <v>214464</v>
      </c>
      <c r="Q68" s="270">
        <f t="shared" si="15"/>
        <v>0.10216463414634146</v>
      </c>
      <c r="R68" s="271">
        <f>SUM(R62:R67)</f>
        <v>209976</v>
      </c>
      <c r="S68" s="270">
        <f t="shared" si="16"/>
        <v>9.4839594365342186E-2</v>
      </c>
      <c r="T68" s="270">
        <f t="shared" si="17"/>
        <v>-2.0926589077887199E-2</v>
      </c>
      <c r="U68" s="269">
        <f t="shared" si="18"/>
        <v>586672</v>
      </c>
      <c r="V68" s="270">
        <f t="shared" si="19"/>
        <v>0.10324004799914686</v>
      </c>
      <c r="W68" s="271">
        <f t="shared" si="20"/>
        <v>648360</v>
      </c>
      <c r="X68" s="270">
        <f t="shared" si="21"/>
        <v>0.1010017455187836</v>
      </c>
      <c r="Y68" s="270">
        <f t="shared" ref="Y68:Y74" si="23">(W68-U68)/U68</f>
        <v>0.10514904409959909</v>
      </c>
    </row>
    <row r="69" spans="1:25" ht="15.75" thickBot="1" x14ac:dyDescent="0.3">
      <c r="A69" s="272" t="s">
        <v>51</v>
      </c>
      <c r="B69" s="274">
        <v>3035</v>
      </c>
      <c r="C69" s="275">
        <f t="shared" si="9"/>
        <v>1.7581768256653267E-3</v>
      </c>
      <c r="D69" s="276">
        <v>2165</v>
      </c>
      <c r="E69" s="275">
        <f t="shared" si="10"/>
        <v>1.0288867682785418E-3</v>
      </c>
      <c r="F69" s="275">
        <f t="shared" si="11"/>
        <v>-0.28665568369028005</v>
      </c>
      <c r="G69" s="274">
        <v>4956</v>
      </c>
      <c r="H69" s="275">
        <f t="shared" si="12"/>
        <v>1.3830436504315314E-3</v>
      </c>
      <c r="I69" s="276">
        <v>4647</v>
      </c>
      <c r="J69" s="275">
        <f t="shared" si="13"/>
        <v>1.1050385907440713E-3</v>
      </c>
      <c r="K69" s="275">
        <f t="shared" si="14"/>
        <v>-6.2348668280871669E-2</v>
      </c>
      <c r="L69" s="274">
        <v>3035</v>
      </c>
      <c r="M69" s="276">
        <v>2165</v>
      </c>
      <c r="N69" s="317">
        <v>1921</v>
      </c>
      <c r="O69" s="324">
        <v>2482</v>
      </c>
      <c r="P69" s="274">
        <v>2291</v>
      </c>
      <c r="Q69" s="275">
        <f t="shared" si="15"/>
        <v>1.0913681402439025E-3</v>
      </c>
      <c r="R69" s="276">
        <v>3061</v>
      </c>
      <c r="S69" s="275">
        <f t="shared" si="16"/>
        <v>1.3825579987823012E-3</v>
      </c>
      <c r="T69" s="275">
        <f t="shared" si="17"/>
        <v>0.33609777389786122</v>
      </c>
      <c r="U69" s="274">
        <f t="shared" si="18"/>
        <v>7247</v>
      </c>
      <c r="V69" s="275">
        <f t="shared" si="19"/>
        <v>1.2752962947776907E-3</v>
      </c>
      <c r="W69" s="276">
        <f t="shared" si="20"/>
        <v>7708</v>
      </c>
      <c r="X69" s="275">
        <f t="shared" si="21"/>
        <v>1.2007549115596028E-3</v>
      </c>
      <c r="Y69" s="275">
        <f t="shared" si="23"/>
        <v>6.3612529322478267E-2</v>
      </c>
    </row>
    <row r="70" spans="1:25" ht="15.75" thickBot="1" x14ac:dyDescent="0.3">
      <c r="A70" s="272" t="s">
        <v>11</v>
      </c>
      <c r="B70" s="274">
        <v>-50910</v>
      </c>
      <c r="C70" s="275">
        <f t="shared" si="9"/>
        <v>-2.9492185237107667E-2</v>
      </c>
      <c r="D70" s="276">
        <v>-70846</v>
      </c>
      <c r="E70" s="275">
        <f t="shared" si="10"/>
        <v>-3.3668596760028438E-2</v>
      </c>
      <c r="F70" s="275">
        <f t="shared" si="11"/>
        <v>0.39159300726772739</v>
      </c>
      <c r="G70" s="274">
        <v>-110270</v>
      </c>
      <c r="H70" s="275">
        <f t="shared" si="12"/>
        <v>-3.0772442157603906E-2</v>
      </c>
      <c r="I70" s="276">
        <v>-152953</v>
      </c>
      <c r="J70" s="275">
        <f t="shared" si="13"/>
        <v>-3.6371630636986854E-2</v>
      </c>
      <c r="K70" s="275">
        <f t="shared" si="14"/>
        <v>0.38707717420876031</v>
      </c>
      <c r="L70" s="274">
        <v>-50910</v>
      </c>
      <c r="M70" s="276">
        <v>-70846</v>
      </c>
      <c r="N70" s="317">
        <v>-59360</v>
      </c>
      <c r="O70" s="324">
        <v>-82107</v>
      </c>
      <c r="P70" s="274">
        <v>-60814</v>
      </c>
      <c r="Q70" s="275">
        <f t="shared" si="15"/>
        <v>-2.8970083841463413E-2</v>
      </c>
      <c r="R70" s="276">
        <v>-85697</v>
      </c>
      <c r="S70" s="275">
        <f t="shared" si="16"/>
        <v>-3.8706655609816024E-2</v>
      </c>
      <c r="T70" s="275">
        <f t="shared" si="17"/>
        <v>0.40916565264577237</v>
      </c>
      <c r="U70" s="274">
        <f t="shared" si="18"/>
        <v>-171084</v>
      </c>
      <c r="V70" s="275">
        <f t="shared" si="19"/>
        <v>-3.010663602811459E-2</v>
      </c>
      <c r="W70" s="276">
        <f t="shared" si="20"/>
        <v>-238650</v>
      </c>
      <c r="X70" s="275">
        <f t="shared" si="21"/>
        <v>-3.7176979715062168E-2</v>
      </c>
      <c r="Y70" s="275">
        <f t="shared" si="23"/>
        <v>0.39492880690187276</v>
      </c>
    </row>
    <row r="71" spans="1:25" ht="15.75" thickBot="1" x14ac:dyDescent="0.3">
      <c r="A71" s="272" t="s">
        <v>199</v>
      </c>
      <c r="B71" s="274">
        <v>46468</v>
      </c>
      <c r="C71" s="275">
        <f t="shared" si="9"/>
        <v>2.6918932696875255E-2</v>
      </c>
      <c r="D71" s="276">
        <v>50453</v>
      </c>
      <c r="E71" s="275">
        <f t="shared" si="10"/>
        <v>2.3977101210141925E-2</v>
      </c>
      <c r="F71" s="275">
        <f t="shared" si="11"/>
        <v>8.5757940948609793E-2</v>
      </c>
      <c r="G71" s="274">
        <v>46962</v>
      </c>
      <c r="H71" s="275">
        <f t="shared" si="12"/>
        <v>1.3105426939379656E-2</v>
      </c>
      <c r="I71" s="276">
        <v>50494</v>
      </c>
      <c r="J71" s="275">
        <f t="shared" si="13"/>
        <v>1.2007277512595466E-2</v>
      </c>
      <c r="K71" s="275">
        <f t="shared" si="14"/>
        <v>7.5209744048379545E-2</v>
      </c>
      <c r="L71" s="274">
        <v>46468</v>
      </c>
      <c r="M71" s="276">
        <v>50453</v>
      </c>
      <c r="N71" s="317">
        <v>494</v>
      </c>
      <c r="O71" s="324">
        <v>41</v>
      </c>
      <c r="P71" s="274">
        <v>0</v>
      </c>
      <c r="Q71" s="275">
        <f t="shared" si="15"/>
        <v>0</v>
      </c>
      <c r="R71" s="276">
        <v>0</v>
      </c>
      <c r="S71" s="275">
        <f t="shared" si="16"/>
        <v>0</v>
      </c>
      <c r="T71" s="275" t="s">
        <v>131</v>
      </c>
      <c r="U71" s="274">
        <f t="shared" si="18"/>
        <v>46962</v>
      </c>
      <c r="V71" s="275">
        <f t="shared" si="19"/>
        <v>8.2641733952462972E-3</v>
      </c>
      <c r="W71" s="276">
        <f t="shared" si="20"/>
        <v>50494</v>
      </c>
      <c r="X71" s="275">
        <f t="shared" si="21"/>
        <v>7.8659728210029294E-3</v>
      </c>
      <c r="Y71" s="275">
        <f t="shared" si="23"/>
        <v>7.5209744048379545E-2</v>
      </c>
    </row>
    <row r="72" spans="1:25" ht="15.75" thickBot="1" x14ac:dyDescent="0.3">
      <c r="A72" s="272" t="s">
        <v>200</v>
      </c>
      <c r="B72" s="274">
        <v>5949</v>
      </c>
      <c r="C72" s="275">
        <f t="shared" si="9"/>
        <v>3.4462582984787571E-3</v>
      </c>
      <c r="D72" s="276">
        <v>-9738</v>
      </c>
      <c r="E72" s="275">
        <f t="shared" si="10"/>
        <v>-4.6278518935318428E-3</v>
      </c>
      <c r="F72" s="275">
        <f t="shared" si="11"/>
        <v>-2.6369137670196672</v>
      </c>
      <c r="G72" s="274">
        <v>12914</v>
      </c>
      <c r="H72" s="275">
        <f t="shared" si="12"/>
        <v>3.6038389228556893E-3</v>
      </c>
      <c r="I72" s="276">
        <v>-12353</v>
      </c>
      <c r="J72" s="275">
        <f t="shared" si="13"/>
        <v>-2.937495526460407E-3</v>
      </c>
      <c r="K72" s="275">
        <f t="shared" si="14"/>
        <v>-1.9565587734241907</v>
      </c>
      <c r="L72" s="274">
        <v>5949</v>
      </c>
      <c r="M72" s="276">
        <v>-9738</v>
      </c>
      <c r="N72" s="317">
        <v>6965</v>
      </c>
      <c r="O72" s="324">
        <v>-2615</v>
      </c>
      <c r="P72" s="274">
        <v>1857</v>
      </c>
      <c r="Q72" s="275">
        <f t="shared" si="15"/>
        <v>8.8462271341463417E-4</v>
      </c>
      <c r="R72" s="276">
        <v>3685</v>
      </c>
      <c r="S72" s="275">
        <f t="shared" si="16"/>
        <v>1.664399289615413E-3</v>
      </c>
      <c r="T72" s="275">
        <f>(R72-P72)/P72</f>
        <v>0.98438341410877761</v>
      </c>
      <c r="U72" s="274">
        <f t="shared" si="18"/>
        <v>14771</v>
      </c>
      <c r="V72" s="275">
        <f t="shared" si="19"/>
        <v>2.5993378736251234E-3</v>
      </c>
      <c r="W72" s="276">
        <f t="shared" si="20"/>
        <v>-8668</v>
      </c>
      <c r="X72" s="275">
        <f t="shared" si="21"/>
        <v>-1.3503040442914682E-3</v>
      </c>
      <c r="Y72" s="275">
        <f t="shared" si="23"/>
        <v>-1.5868255365242705</v>
      </c>
    </row>
    <row r="73" spans="1:25" ht="15.75" thickBot="1" x14ac:dyDescent="0.3">
      <c r="A73" s="272" t="s">
        <v>201</v>
      </c>
      <c r="B73" s="274">
        <v>-4194</v>
      </c>
      <c r="C73" s="275">
        <f t="shared" si="9"/>
        <v>-2.4295860319078679E-3</v>
      </c>
      <c r="D73" s="276">
        <v>-11041</v>
      </c>
      <c r="E73" s="275">
        <f t="shared" si="10"/>
        <v>-5.2470849000292741E-3</v>
      </c>
      <c r="F73" s="275">
        <f t="shared" si="11"/>
        <v>1.6325703385789223</v>
      </c>
      <c r="G73" s="274">
        <v>-7366</v>
      </c>
      <c r="H73" s="275">
        <f t="shared" si="12"/>
        <v>-2.0555890898060251E-3</v>
      </c>
      <c r="I73" s="276">
        <v>-18527</v>
      </c>
      <c r="J73" s="275">
        <f t="shared" si="13"/>
        <v>-4.4056487993792571E-3</v>
      </c>
      <c r="K73" s="275">
        <f t="shared" si="14"/>
        <v>1.5152049959272333</v>
      </c>
      <c r="L73" s="274">
        <v>-4194</v>
      </c>
      <c r="M73" s="276">
        <v>-11041</v>
      </c>
      <c r="N73" s="317">
        <v>-3172</v>
      </c>
      <c r="O73" s="324">
        <v>-7486</v>
      </c>
      <c r="P73" s="274">
        <v>-10010</v>
      </c>
      <c r="Q73" s="275">
        <f t="shared" si="15"/>
        <v>-4.768483231707317E-3</v>
      </c>
      <c r="R73" s="276">
        <v>-14419</v>
      </c>
      <c r="S73" s="275">
        <f t="shared" si="16"/>
        <v>-6.5126114944273113E-3</v>
      </c>
      <c r="T73" s="275">
        <f>(R73-P73)/P73</f>
        <v>0.44045954045954044</v>
      </c>
      <c r="U73" s="274">
        <f t="shared" si="18"/>
        <v>-17376</v>
      </c>
      <c r="V73" s="275">
        <f t="shared" si="19"/>
        <v>-3.0577547147864156E-3</v>
      </c>
      <c r="W73" s="276">
        <f t="shared" si="20"/>
        <v>-32946</v>
      </c>
      <c r="X73" s="275">
        <f t="shared" si="21"/>
        <v>-5.1323392989417061E-3</v>
      </c>
      <c r="Y73" s="275">
        <f t="shared" si="23"/>
        <v>0.89606353591160226</v>
      </c>
    </row>
    <row r="74" spans="1:25" ht="15.75" thickBot="1" x14ac:dyDescent="0.3">
      <c r="A74" s="272" t="s">
        <v>202</v>
      </c>
      <c r="B74" s="273">
        <v>390</v>
      </c>
      <c r="C74" s="275">
        <f t="shared" si="9"/>
        <v>2.2592717034908643E-4</v>
      </c>
      <c r="D74" s="281">
        <v>185</v>
      </c>
      <c r="E74" s="275">
        <f t="shared" si="10"/>
        <v>8.7918730776688329E-5</v>
      </c>
      <c r="F74" s="275">
        <f t="shared" si="11"/>
        <v>-0.52564102564102566</v>
      </c>
      <c r="G74" s="273">
        <v>1148</v>
      </c>
      <c r="H74" s="275">
        <f t="shared" si="12"/>
        <v>3.2036604332029824E-4</v>
      </c>
      <c r="I74" s="281">
        <v>804</v>
      </c>
      <c r="J74" s="275">
        <f t="shared" si="13"/>
        <v>1.9118808413131768E-4</v>
      </c>
      <c r="K74" s="275">
        <f t="shared" si="14"/>
        <v>-0.29965156794425085</v>
      </c>
      <c r="L74" s="273">
        <v>390</v>
      </c>
      <c r="M74" s="281">
        <v>185</v>
      </c>
      <c r="N74" s="317">
        <v>758</v>
      </c>
      <c r="O74" s="324">
        <v>619</v>
      </c>
      <c r="P74" s="273">
        <v>703</v>
      </c>
      <c r="Q74" s="275">
        <f t="shared" si="15"/>
        <v>3.348894817073171E-4</v>
      </c>
      <c r="R74" s="324">
        <v>1350</v>
      </c>
      <c r="S74" s="275">
        <f t="shared" si="16"/>
        <v>6.0975279266779043E-4</v>
      </c>
      <c r="T74" s="275">
        <f>(R74-P74)/P74</f>
        <v>0.92034139402560455</v>
      </c>
      <c r="U74" s="317">
        <f t="shared" si="18"/>
        <v>1851</v>
      </c>
      <c r="V74" s="275">
        <f t="shared" si="19"/>
        <v>3.2573112206892582E-4</v>
      </c>
      <c r="W74" s="324">
        <f t="shared" si="20"/>
        <v>2154</v>
      </c>
      <c r="X74" s="275">
        <f t="shared" si="21"/>
        <v>3.3555086656712302E-4</v>
      </c>
      <c r="Y74" s="275">
        <f t="shared" si="23"/>
        <v>0.16369529983792544</v>
      </c>
    </row>
    <row r="75" spans="1:25" ht="15.75" thickBot="1" x14ac:dyDescent="0.3">
      <c r="A75" s="272" t="s">
        <v>203</v>
      </c>
      <c r="B75" s="273">
        <v>0</v>
      </c>
      <c r="C75" s="275">
        <f t="shared" si="9"/>
        <v>0</v>
      </c>
      <c r="D75" s="281">
        <v>0</v>
      </c>
      <c r="E75" s="275">
        <f t="shared" si="10"/>
        <v>0</v>
      </c>
      <c r="F75" s="275" t="s">
        <v>131</v>
      </c>
      <c r="G75" s="273">
        <v>62</v>
      </c>
      <c r="H75" s="275">
        <f t="shared" si="12"/>
        <v>1.730199885527743E-5</v>
      </c>
      <c r="I75" s="281">
        <v>0</v>
      </c>
      <c r="J75" s="275">
        <f t="shared" si="13"/>
        <v>0</v>
      </c>
      <c r="K75" s="275">
        <f t="shared" si="14"/>
        <v>-1</v>
      </c>
      <c r="L75" s="273">
        <v>0</v>
      </c>
      <c r="M75" s="281">
        <v>0</v>
      </c>
      <c r="N75" s="317">
        <v>62</v>
      </c>
      <c r="O75" s="324">
        <v>0</v>
      </c>
      <c r="P75" s="273">
        <v>19</v>
      </c>
      <c r="Q75" s="275">
        <f t="shared" si="15"/>
        <v>9.0510670731707313E-6</v>
      </c>
      <c r="R75" s="281">
        <v>0</v>
      </c>
      <c r="S75" s="275">
        <f t="shared" si="16"/>
        <v>0</v>
      </c>
      <c r="T75" s="275" t="s">
        <v>131</v>
      </c>
      <c r="U75" s="273">
        <f t="shared" si="18"/>
        <v>81</v>
      </c>
      <c r="V75" s="275">
        <f t="shared" si="19"/>
        <v>1.4254036135917337E-5</v>
      </c>
      <c r="W75" s="281">
        <f t="shared" si="20"/>
        <v>0</v>
      </c>
      <c r="X75" s="275">
        <f t="shared" si="21"/>
        <v>0</v>
      </c>
      <c r="Y75" s="275" t="s">
        <v>131</v>
      </c>
    </row>
    <row r="76" spans="1:25" ht="15.75" thickBot="1" x14ac:dyDescent="0.3">
      <c r="A76" s="277" t="s">
        <v>204</v>
      </c>
      <c r="B76" s="278">
        <f>SUM(B68:B75)</f>
        <v>199519</v>
      </c>
      <c r="C76" s="279">
        <f t="shared" si="9"/>
        <v>0.11558144384840865</v>
      </c>
      <c r="D76" s="280">
        <f>SUM(D68:D75)</f>
        <v>194465</v>
      </c>
      <c r="E76" s="279">
        <f t="shared" si="10"/>
        <v>9.2416843137776733E-2</v>
      </c>
      <c r="F76" s="279">
        <f t="shared" ref="F76:F81" si="24">(D76-B76)/B76</f>
        <v>-2.5330920864679553E-2</v>
      </c>
      <c r="G76" s="278">
        <f>SUM(G68:G75)</f>
        <v>320614</v>
      </c>
      <c r="H76" s="279">
        <f t="shared" si="12"/>
        <v>8.947198485461158E-2</v>
      </c>
      <c r="I76" s="280">
        <f>SUM(I68:I75)</f>
        <v>310496</v>
      </c>
      <c r="J76" s="279">
        <f t="shared" si="13"/>
        <v>7.3834745485618927E-2</v>
      </c>
      <c r="K76" s="279">
        <f t="shared" si="14"/>
        <v>-3.1558197708147495E-2</v>
      </c>
      <c r="L76" s="278">
        <f>SUM(L68:L75)</f>
        <v>199519</v>
      </c>
      <c r="M76" s="280">
        <f>SUM(M68:M75)</f>
        <v>194465</v>
      </c>
      <c r="N76" s="318">
        <f>SUM(N68:N75)</f>
        <v>121095</v>
      </c>
      <c r="O76" s="325">
        <f>SUM(O68:O75)</f>
        <v>116031</v>
      </c>
      <c r="P76" s="278">
        <f>SUM(P68:P75)</f>
        <v>148510</v>
      </c>
      <c r="Q76" s="279">
        <f t="shared" si="15"/>
        <v>7.074599847560975E-2</v>
      </c>
      <c r="R76" s="280">
        <f>SUM(R68:R75)</f>
        <v>117956</v>
      </c>
      <c r="S76" s="279">
        <f t="shared" si="16"/>
        <v>5.3277037342164359E-2</v>
      </c>
      <c r="T76" s="279">
        <f t="shared" ref="T76:T81" si="25">(R76-P76)/P76</f>
        <v>-0.20573698740825533</v>
      </c>
      <c r="U76" s="278">
        <f t="shared" si="18"/>
        <v>469124</v>
      </c>
      <c r="V76" s="279">
        <f t="shared" si="19"/>
        <v>8.2554449978099811E-2</v>
      </c>
      <c r="W76" s="280">
        <f t="shared" si="20"/>
        <v>428452</v>
      </c>
      <c r="X76" s="279">
        <f t="shared" si="21"/>
        <v>6.6744401059617917E-2</v>
      </c>
      <c r="Y76" s="279">
        <f>(W76-U76)/U76</f>
        <v>-8.6697760080490446E-2</v>
      </c>
    </row>
    <row r="77" spans="1:25" ht="15.75" thickBot="1" x14ac:dyDescent="0.3">
      <c r="A77" s="272" t="s">
        <v>205</v>
      </c>
      <c r="B77" s="274">
        <v>-51436</v>
      </c>
      <c r="C77" s="275">
        <f t="shared" si="9"/>
        <v>-2.979689726686054E-2</v>
      </c>
      <c r="D77" s="276">
        <v>-56024</v>
      </c>
      <c r="E77" s="275">
        <f t="shared" si="10"/>
        <v>-2.6624643097476686E-2</v>
      </c>
      <c r="F77" s="275">
        <f t="shared" si="24"/>
        <v>8.9198226922777818E-2</v>
      </c>
      <c r="G77" s="274">
        <v>-89863</v>
      </c>
      <c r="H77" s="275">
        <f t="shared" si="12"/>
        <v>-2.507757295373864E-2</v>
      </c>
      <c r="I77" s="276">
        <v>-98207</v>
      </c>
      <c r="J77" s="275">
        <f t="shared" si="13"/>
        <v>-2.3353244002841188E-2</v>
      </c>
      <c r="K77" s="275">
        <f t="shared" si="14"/>
        <v>9.2852453178727617E-2</v>
      </c>
      <c r="L77" s="274">
        <v>-51436</v>
      </c>
      <c r="M77" s="276">
        <v>-56024</v>
      </c>
      <c r="N77" s="317">
        <v>-38427</v>
      </c>
      <c r="O77" s="324">
        <v>-42183</v>
      </c>
      <c r="P77" s="274">
        <v>-47782</v>
      </c>
      <c r="Q77" s="275">
        <f t="shared" si="15"/>
        <v>-2.2762004573170732E-2</v>
      </c>
      <c r="R77" s="276">
        <v>-37516</v>
      </c>
      <c r="S77" s="275">
        <f t="shared" si="16"/>
        <v>-1.694480427387024E-2</v>
      </c>
      <c r="T77" s="275">
        <f t="shared" si="25"/>
        <v>-0.21485078062868862</v>
      </c>
      <c r="U77" s="274">
        <f t="shared" si="18"/>
        <v>-137645</v>
      </c>
      <c r="V77" s="275">
        <f t="shared" si="19"/>
        <v>-2.4222182764547431E-2</v>
      </c>
      <c r="W77" s="276">
        <f t="shared" si="20"/>
        <v>-135723</v>
      </c>
      <c r="X77" s="275">
        <f t="shared" si="21"/>
        <v>-2.1142975981007259E-2</v>
      </c>
      <c r="Y77" s="275">
        <f>(W77-U77)/U77</f>
        <v>-1.3963456718369719E-2</v>
      </c>
    </row>
    <row r="78" spans="1:25" ht="15.75" thickBot="1" x14ac:dyDescent="0.3">
      <c r="A78" s="282" t="s">
        <v>206</v>
      </c>
      <c r="B78" s="283">
        <v>3407</v>
      </c>
      <c r="C78" s="284">
        <f t="shared" si="9"/>
        <v>1.9736765881521474E-3</v>
      </c>
      <c r="D78" s="285">
        <v>14256</v>
      </c>
      <c r="E78" s="284">
        <f t="shared" si="10"/>
        <v>6.7749698700133448E-3</v>
      </c>
      <c r="F78" s="284">
        <f t="shared" si="24"/>
        <v>3.1843263868506018</v>
      </c>
      <c r="G78" s="283">
        <v>4815</v>
      </c>
      <c r="H78" s="284">
        <f t="shared" si="12"/>
        <v>1.3436955562606584E-3</v>
      </c>
      <c r="I78" s="285">
        <v>20959</v>
      </c>
      <c r="J78" s="284">
        <f t="shared" si="13"/>
        <v>4.9839689742640384E-3</v>
      </c>
      <c r="K78" s="284">
        <f t="shared" si="14"/>
        <v>3.3528556593977155</v>
      </c>
      <c r="L78" s="283">
        <v>3407</v>
      </c>
      <c r="M78" s="285">
        <v>14256</v>
      </c>
      <c r="N78" s="319">
        <v>1408</v>
      </c>
      <c r="O78" s="326">
        <v>6703</v>
      </c>
      <c r="P78" s="283">
        <v>-3491</v>
      </c>
      <c r="Q78" s="284">
        <f t="shared" si="15"/>
        <v>-1.663014481707317E-3</v>
      </c>
      <c r="R78" s="285">
        <v>2620</v>
      </c>
      <c r="S78" s="284">
        <f t="shared" si="16"/>
        <v>1.1833720865108228E-3</v>
      </c>
      <c r="T78" s="284">
        <f t="shared" si="25"/>
        <v>-1.7505012890289315</v>
      </c>
      <c r="U78" s="283">
        <f t="shared" si="18"/>
        <v>1324</v>
      </c>
      <c r="V78" s="284">
        <f t="shared" si="19"/>
        <v>2.3299189930808093E-4</v>
      </c>
      <c r="W78" s="285">
        <f t="shared" si="20"/>
        <v>23579</v>
      </c>
      <c r="X78" s="284">
        <f t="shared" si="21"/>
        <v>3.6731447923798485E-3</v>
      </c>
      <c r="Y78" s="284" t="s">
        <v>131</v>
      </c>
    </row>
    <row r="79" spans="1:25" ht="15.75" thickBot="1" x14ac:dyDescent="0.3">
      <c r="A79" s="277" t="s">
        <v>207</v>
      </c>
      <c r="B79" s="278">
        <f>SUM(B76:B78)</f>
        <v>151490</v>
      </c>
      <c r="C79" s="279">
        <f t="shared" si="9"/>
        <v>8.7758223169700264E-2</v>
      </c>
      <c r="D79" s="280">
        <f>SUM(D76:D78)</f>
        <v>152697</v>
      </c>
      <c r="E79" s="279">
        <f t="shared" si="10"/>
        <v>7.2567169910313395E-2</v>
      </c>
      <c r="F79" s="279">
        <f t="shared" si="24"/>
        <v>7.9675226087530526E-3</v>
      </c>
      <c r="G79" s="278">
        <f>SUM(G76:G78)</f>
        <v>235566</v>
      </c>
      <c r="H79" s="279">
        <f t="shared" si="12"/>
        <v>6.5738107457133599E-2</v>
      </c>
      <c r="I79" s="280">
        <f>SUM(I76:I78)</f>
        <v>233248</v>
      </c>
      <c r="J79" s="279">
        <f t="shared" si="13"/>
        <v>5.5465470457041775E-2</v>
      </c>
      <c r="K79" s="279">
        <f t="shared" si="14"/>
        <v>-9.8401297300968731E-3</v>
      </c>
      <c r="L79" s="278">
        <f>SUM(L76:L78)</f>
        <v>151490</v>
      </c>
      <c r="M79" s="280">
        <f>SUM(M76:M78)</f>
        <v>152697</v>
      </c>
      <c r="N79" s="318">
        <f>SUM(N76:N78)</f>
        <v>84076</v>
      </c>
      <c r="O79" s="325">
        <f>SUM(O76:O78)</f>
        <v>80551</v>
      </c>
      <c r="P79" s="278">
        <f>SUM(P76:P78)</f>
        <v>97237</v>
      </c>
      <c r="Q79" s="279">
        <f t="shared" si="15"/>
        <v>4.6320979420731705E-2</v>
      </c>
      <c r="R79" s="280">
        <f>SUM(R76:R78)</f>
        <v>83060</v>
      </c>
      <c r="S79" s="279">
        <f t="shared" si="16"/>
        <v>3.751560515480494E-2</v>
      </c>
      <c r="T79" s="279">
        <f t="shared" si="25"/>
        <v>-0.14579841007024075</v>
      </c>
      <c r="U79" s="278">
        <f t="shared" si="18"/>
        <v>332803</v>
      </c>
      <c r="V79" s="279">
        <f t="shared" si="19"/>
        <v>5.8565259112860465E-2</v>
      </c>
      <c r="W79" s="280">
        <f t="shared" si="20"/>
        <v>316308</v>
      </c>
      <c r="X79" s="279">
        <f t="shared" si="21"/>
        <v>4.9274569870990506E-2</v>
      </c>
      <c r="Y79" s="279">
        <f>(W79-U79)/U79</f>
        <v>-4.9563856095047223E-2</v>
      </c>
    </row>
    <row r="80" spans="1:25" ht="15.75" thickBot="1" x14ac:dyDescent="0.3">
      <c r="A80" s="272" t="s">
        <v>208</v>
      </c>
      <c r="B80" s="273">
        <v>-304</v>
      </c>
      <c r="C80" s="275">
        <f t="shared" si="9"/>
        <v>-1.7610733278492893E-4</v>
      </c>
      <c r="D80" s="281">
        <v>-164</v>
      </c>
      <c r="E80" s="275">
        <f t="shared" si="10"/>
        <v>-7.7938766742577752E-5</v>
      </c>
      <c r="F80" s="275">
        <f t="shared" si="24"/>
        <v>-0.46052631578947367</v>
      </c>
      <c r="G80" s="273">
        <v>-4314</v>
      </c>
      <c r="H80" s="275">
        <f t="shared" si="12"/>
        <v>-1.2038842429301102E-3</v>
      </c>
      <c r="I80" s="281">
        <v>-247</v>
      </c>
      <c r="J80" s="275">
        <f t="shared" si="13"/>
        <v>-5.8735642761735654E-5</v>
      </c>
      <c r="K80" s="275">
        <f t="shared" si="14"/>
        <v>-0.94274455261937873</v>
      </c>
      <c r="L80" s="273">
        <v>-304</v>
      </c>
      <c r="M80" s="281">
        <v>-164</v>
      </c>
      <c r="N80" s="317">
        <v>-4010</v>
      </c>
      <c r="O80" s="324">
        <v>-83</v>
      </c>
      <c r="P80" s="273">
        <v>-446</v>
      </c>
      <c r="Q80" s="275">
        <f t="shared" si="15"/>
        <v>-2.1246189024390244E-4</v>
      </c>
      <c r="R80" s="281">
        <v>55</v>
      </c>
      <c r="S80" s="275">
        <f t="shared" si="16"/>
        <v>2.4841780442021093E-5</v>
      </c>
      <c r="T80" s="275">
        <f t="shared" si="25"/>
        <v>-1.1233183856502242</v>
      </c>
      <c r="U80" s="273">
        <f t="shared" si="18"/>
        <v>-4760</v>
      </c>
      <c r="V80" s="275">
        <f t="shared" si="19"/>
        <v>-8.3764459267859914E-4</v>
      </c>
      <c r="W80" s="281">
        <f t="shared" si="20"/>
        <v>-192</v>
      </c>
      <c r="X80" s="275">
        <f t="shared" si="21"/>
        <v>-2.9909826546373084E-5</v>
      </c>
      <c r="Y80" s="275">
        <f>(W80-U80)/U80</f>
        <v>-0.95966386554621852</v>
      </c>
    </row>
    <row r="81" spans="1:25" x14ac:dyDescent="0.25">
      <c r="A81" s="286" t="s">
        <v>209</v>
      </c>
      <c r="B81" s="308">
        <f>SUM(B79:B80)</f>
        <v>151186</v>
      </c>
      <c r="C81" s="288">
        <f t="shared" si="9"/>
        <v>8.7582115836915345E-2</v>
      </c>
      <c r="D81" s="287">
        <f>SUM(D79:D80)</f>
        <v>152533</v>
      </c>
      <c r="E81" s="288">
        <f t="shared" si="10"/>
        <v>7.2489231143570809E-2</v>
      </c>
      <c r="F81" s="288">
        <f t="shared" si="24"/>
        <v>8.9095551175373388E-3</v>
      </c>
      <c r="G81" s="287">
        <f>SUM(G79:G80)</f>
        <v>231252</v>
      </c>
      <c r="H81" s="288">
        <f t="shared" si="12"/>
        <v>6.453422321420349E-2</v>
      </c>
      <c r="I81" s="287">
        <f>SUM(I79:I80)</f>
        <v>233001</v>
      </c>
      <c r="J81" s="288">
        <f t="shared" si="13"/>
        <v>5.5406734814280038E-2</v>
      </c>
      <c r="K81" s="288">
        <f t="shared" si="14"/>
        <v>7.5631778319755075E-3</v>
      </c>
      <c r="L81" s="287">
        <f>SUM(L79:L80)</f>
        <v>151186</v>
      </c>
      <c r="M81" s="287">
        <f>SUM(M79:M80)</f>
        <v>152533</v>
      </c>
      <c r="N81" s="320">
        <f>SUM(N79:N80)</f>
        <v>80066</v>
      </c>
      <c r="O81" s="320">
        <f>SUM(O79:O80)</f>
        <v>80468</v>
      </c>
      <c r="P81" s="308">
        <f>SUM(P79:P80)</f>
        <v>96791</v>
      </c>
      <c r="Q81" s="288">
        <f t="shared" si="15"/>
        <v>4.6108517530487808E-2</v>
      </c>
      <c r="R81" s="287">
        <f>SUM(R79:R80)</f>
        <v>83115</v>
      </c>
      <c r="S81" s="288">
        <f t="shared" si="16"/>
        <v>3.7540446935246961E-2</v>
      </c>
      <c r="T81" s="288">
        <f t="shared" si="25"/>
        <v>-0.1412941285863355</v>
      </c>
      <c r="U81" s="308">
        <f t="shared" si="18"/>
        <v>328043</v>
      </c>
      <c r="V81" s="288">
        <f t="shared" si="19"/>
        <v>5.7727614520181866E-2</v>
      </c>
      <c r="W81" s="287">
        <f t="shared" si="20"/>
        <v>316116</v>
      </c>
      <c r="X81" s="288">
        <f t="shared" si="21"/>
        <v>4.9244660044444132E-2</v>
      </c>
      <c r="Y81" s="288">
        <f>(W81-U81)/U81</f>
        <v>-3.6358038427889025E-2</v>
      </c>
    </row>
    <row r="82" spans="1:25" x14ac:dyDescent="0.25">
      <c r="A82" s="289"/>
      <c r="B82" s="291"/>
      <c r="C82" s="292"/>
      <c r="D82" s="294"/>
      <c r="E82" s="292"/>
      <c r="F82" s="292"/>
      <c r="G82" s="291"/>
      <c r="H82" s="292"/>
      <c r="I82" s="294"/>
      <c r="J82" s="292"/>
      <c r="K82" s="292"/>
      <c r="L82" s="291"/>
      <c r="M82" s="294"/>
      <c r="N82" s="321"/>
      <c r="O82" s="327"/>
      <c r="P82" s="291"/>
      <c r="Q82" s="292"/>
      <c r="R82" s="294"/>
      <c r="S82" s="292"/>
      <c r="T82" s="292"/>
      <c r="U82" s="291"/>
      <c r="V82" s="292"/>
      <c r="W82" s="294"/>
      <c r="X82" s="292"/>
      <c r="Y82" s="292"/>
    </row>
    <row r="83" spans="1:25" x14ac:dyDescent="0.25">
      <c r="A83" s="295" t="s">
        <v>210</v>
      </c>
      <c r="B83" s="297"/>
      <c r="C83" s="298"/>
      <c r="D83" s="300"/>
      <c r="E83" s="298"/>
      <c r="F83" s="298"/>
      <c r="G83" s="297"/>
      <c r="H83" s="298"/>
      <c r="I83" s="300"/>
      <c r="J83" s="298"/>
      <c r="K83" s="298"/>
      <c r="L83" s="297"/>
      <c r="M83" s="300"/>
      <c r="N83" s="322"/>
      <c r="O83" s="328"/>
      <c r="P83" s="297"/>
      <c r="Q83" s="298"/>
      <c r="R83" s="300"/>
      <c r="S83" s="298"/>
      <c r="T83" s="298"/>
      <c r="U83" s="297"/>
      <c r="V83" s="298"/>
      <c r="W83" s="300"/>
      <c r="X83" s="298"/>
      <c r="Y83" s="298"/>
    </row>
    <row r="84" spans="1:25" ht="15.75" thickBot="1" x14ac:dyDescent="0.3">
      <c r="A84" s="301" t="s">
        <v>211</v>
      </c>
      <c r="B84" s="274">
        <v>150991</v>
      </c>
      <c r="C84" s="275">
        <f>+B84/$B$60</f>
        <v>8.7469152251740803E-2</v>
      </c>
      <c r="D84" s="302">
        <v>151672</v>
      </c>
      <c r="E84" s="275">
        <f>+D84/$D$60</f>
        <v>7.2080052618172283E-2</v>
      </c>
      <c r="F84" s="275">
        <f>(D84-B84)/B84</f>
        <v>4.5102025948566471E-3</v>
      </c>
      <c r="G84" s="274">
        <v>230284</v>
      </c>
      <c r="H84" s="275">
        <f>+G84/$G$60</f>
        <v>6.4264088780463025E-2</v>
      </c>
      <c r="I84" s="302">
        <v>231084</v>
      </c>
      <c r="J84" s="275">
        <f>+I84/$I$60</f>
        <v>5.4950879643534095E-2</v>
      </c>
      <c r="K84" s="275">
        <f>(I84-G84)/G84</f>
        <v>3.4739712702575951E-3</v>
      </c>
      <c r="L84" s="274">
        <v>150991</v>
      </c>
      <c r="M84" s="302">
        <v>151672</v>
      </c>
      <c r="N84" s="317">
        <v>79293</v>
      </c>
      <c r="O84" s="329">
        <v>79412</v>
      </c>
      <c r="P84" s="274">
        <v>95871</v>
      </c>
      <c r="Q84" s="275">
        <f>+P84/$P$60</f>
        <v>4.5670255335365853E-2</v>
      </c>
      <c r="R84" s="302">
        <v>81993</v>
      </c>
      <c r="S84" s="275">
        <f>+R84/$R$60</f>
        <v>3.7033674614229732E-2</v>
      </c>
      <c r="T84" s="275">
        <f>(R84-P84)/P84</f>
        <v>-0.14475701724191883</v>
      </c>
      <c r="U84" s="274">
        <f>+L84+N84+P84</f>
        <v>326155</v>
      </c>
      <c r="V84" s="275">
        <f>+U84/$U$60</f>
        <v>5.739537229518666E-2</v>
      </c>
      <c r="W84" s="302">
        <f>+M84+O84+R84</f>
        <v>313077</v>
      </c>
      <c r="X84" s="275">
        <f>+W84/$W$60</f>
        <v>4.8771243571139822E-2</v>
      </c>
      <c r="Y84" s="275">
        <f>(W84-U84)/U84</f>
        <v>-4.0097499655071978E-2</v>
      </c>
    </row>
    <row r="85" spans="1:25" ht="15.75" thickBot="1" x14ac:dyDescent="0.3">
      <c r="A85" s="303" t="s">
        <v>188</v>
      </c>
      <c r="B85" s="304">
        <v>195</v>
      </c>
      <c r="C85" s="284">
        <f>+B85/$B$60</f>
        <v>1.1296358517454322E-4</v>
      </c>
      <c r="D85" s="305">
        <v>861</v>
      </c>
      <c r="E85" s="284">
        <f>+D85/$D$60</f>
        <v>4.0917852539853322E-4</v>
      </c>
      <c r="F85" s="284">
        <f>(D85-B85)/B85</f>
        <v>3.4153846153846152</v>
      </c>
      <c r="G85" s="304">
        <v>968</v>
      </c>
      <c r="H85" s="284">
        <f>+G85/$G$60</f>
        <v>2.7013443374046054E-4</v>
      </c>
      <c r="I85" s="305">
        <v>1917</v>
      </c>
      <c r="J85" s="284">
        <f>+I85/$I$60</f>
        <v>4.558551707459403E-4</v>
      </c>
      <c r="K85" s="284">
        <f>(I85-G85)/G85</f>
        <v>0.98037190082644632</v>
      </c>
      <c r="L85" s="304">
        <v>195</v>
      </c>
      <c r="M85" s="305">
        <v>861</v>
      </c>
      <c r="N85" s="319">
        <v>773</v>
      </c>
      <c r="O85" s="330">
        <v>1056</v>
      </c>
      <c r="P85" s="304">
        <v>920</v>
      </c>
      <c r="Q85" s="284">
        <f>+P85/$P$60</f>
        <v>4.3826219512195123E-4</v>
      </c>
      <c r="R85" s="330">
        <v>1122</v>
      </c>
      <c r="S85" s="284">
        <f>+R85/$R$60</f>
        <v>5.0677232101723022E-4</v>
      </c>
      <c r="T85" s="284">
        <f>(R85-P85)/P85</f>
        <v>0.21956521739130436</v>
      </c>
      <c r="U85" s="319">
        <f>+L85+N85+P85</f>
        <v>1888</v>
      </c>
      <c r="V85" s="284">
        <f>+U85/$U$60</f>
        <v>3.3224222499520905E-4</v>
      </c>
      <c r="W85" s="330">
        <f>+M85+O85+R85</f>
        <v>3039</v>
      </c>
      <c r="X85" s="284">
        <f>+W85/$W$60</f>
        <v>4.7341647330431143E-4</v>
      </c>
      <c r="Y85" s="284">
        <f>(W85-U85)/U85</f>
        <v>0.60963983050847459</v>
      </c>
    </row>
    <row r="86" spans="1:25" ht="15.75" thickBot="1" x14ac:dyDescent="0.3">
      <c r="A86" s="306" t="s">
        <v>212</v>
      </c>
      <c r="B86" s="278">
        <f>SUM(B84:B85)</f>
        <v>151186</v>
      </c>
      <c r="C86" s="279">
        <f>+B86/$B$60</f>
        <v>8.7582115836915345E-2</v>
      </c>
      <c r="D86" s="307">
        <f>SUM(D84:D85)</f>
        <v>152533</v>
      </c>
      <c r="E86" s="279">
        <f>+D86/$D$60</f>
        <v>7.2489231143570809E-2</v>
      </c>
      <c r="F86" s="279">
        <f>(D86-B86)/B86</f>
        <v>8.9095551175373388E-3</v>
      </c>
      <c r="G86" s="278">
        <f>SUM(G84:G85)</f>
        <v>231252</v>
      </c>
      <c r="H86" s="279">
        <f>+G86/$G$60</f>
        <v>6.453422321420349E-2</v>
      </c>
      <c r="I86" s="307">
        <f>SUM(I84:I85)</f>
        <v>233001</v>
      </c>
      <c r="J86" s="279">
        <f>+I86/$I$60</f>
        <v>5.5406734814280038E-2</v>
      </c>
      <c r="K86" s="279">
        <f>(I86-G86)/G86</f>
        <v>7.5631778319755075E-3</v>
      </c>
      <c r="L86" s="278">
        <f>SUM(L84:L85)</f>
        <v>151186</v>
      </c>
      <c r="M86" s="307">
        <f>SUM(M84:M85)</f>
        <v>152533</v>
      </c>
      <c r="N86" s="318">
        <f>SUM(N84:N85)</f>
        <v>80066</v>
      </c>
      <c r="O86" s="331">
        <f>SUM(O84:O85)</f>
        <v>80468</v>
      </c>
      <c r="P86" s="278">
        <f>SUM(P84:P85)</f>
        <v>96791</v>
      </c>
      <c r="Q86" s="279">
        <f>+P86/$P$60</f>
        <v>4.6108517530487808E-2</v>
      </c>
      <c r="R86" s="307">
        <f>SUM(R84:R85)</f>
        <v>83115</v>
      </c>
      <c r="S86" s="279">
        <f>+R86/$R$60</f>
        <v>3.7540446935246961E-2</v>
      </c>
      <c r="T86" s="279">
        <f>(R86-P86)/P86</f>
        <v>-0.1412941285863355</v>
      </c>
      <c r="U86" s="278">
        <f>+L86+N86+P86</f>
        <v>328043</v>
      </c>
      <c r="V86" s="279">
        <f>+U86/$U$60</f>
        <v>5.7727614520181866E-2</v>
      </c>
      <c r="W86" s="307">
        <f>+M86+O86+R86</f>
        <v>316116</v>
      </c>
      <c r="X86" s="279">
        <f>+W86/$W$60</f>
        <v>4.9244660044444132E-2</v>
      </c>
      <c r="Y86" s="279">
        <f>(W86-U86)/U86</f>
        <v>-3.6358038427889025E-2</v>
      </c>
    </row>
    <row r="87" spans="1:25" x14ac:dyDescent="0.25">
      <c r="A87" s="286" t="s">
        <v>213</v>
      </c>
      <c r="B87" s="287">
        <v>234916</v>
      </c>
      <c r="C87" s="288">
        <f>+B87/$B$60</f>
        <v>0.13608694140955382</v>
      </c>
      <c r="D87" s="287">
        <v>280995</v>
      </c>
      <c r="E87" s="288">
        <f>+D87/$D$60</f>
        <v>0.13353904732213803</v>
      </c>
      <c r="F87" s="288">
        <f>(D87-B87)/B87</f>
        <v>0.19615096460011239</v>
      </c>
      <c r="G87" s="287">
        <v>458883</v>
      </c>
      <c r="H87" s="288">
        <f>+G87/$G$60</f>
        <v>0.12805795388235924</v>
      </c>
      <c r="I87" s="287">
        <v>534203</v>
      </c>
      <c r="J87" s="288">
        <f>+I87/$I$60</f>
        <v>0.12703140311841082</v>
      </c>
      <c r="K87" s="288">
        <f>(I87-G87)/G87</f>
        <v>0.16413769958791238</v>
      </c>
      <c r="L87" s="287">
        <v>234916</v>
      </c>
      <c r="M87" s="287">
        <v>280995</v>
      </c>
      <c r="N87" s="320">
        <v>223967</v>
      </c>
      <c r="O87" s="320">
        <v>253208</v>
      </c>
      <c r="P87" s="287">
        <v>270788</v>
      </c>
      <c r="Q87" s="288">
        <f>+P87/$P$60</f>
        <v>0.12899580792682927</v>
      </c>
      <c r="R87" s="287">
        <v>266125</v>
      </c>
      <c r="S87" s="288">
        <f>+R87/$R$60</f>
        <v>0.12020034218423387</v>
      </c>
      <c r="T87" s="288">
        <f>(R87-P87)/P87</f>
        <v>-1.7220113151247472E-2</v>
      </c>
      <c r="U87" s="287">
        <f>+L87+N87+P87</f>
        <v>729671</v>
      </c>
      <c r="V87" s="288">
        <f>+U87/$U$60</f>
        <v>0.12840440495470296</v>
      </c>
      <c r="W87" s="287">
        <f>+M87+O87+R87</f>
        <v>800328</v>
      </c>
      <c r="X87" s="288">
        <f>+W87/$W$60</f>
        <v>0.1246753732302379</v>
      </c>
      <c r="Y87" s="288">
        <f>(W87-U87)/U87</f>
        <v>9.6834052607270946E-2</v>
      </c>
    </row>
  </sheetData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C62:C81 H62:H80" formula="1"/>
  </ignoredErrors>
  <drawing r:id="rId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7"/>
  <sheetViews>
    <sheetView topLeftCell="V46" zoomScaleNormal="100" workbookViewId="0">
      <selection activeCell="X58" sqref="X58"/>
    </sheetView>
  </sheetViews>
  <sheetFormatPr baseColWidth="10" defaultColWidth="11.42578125" defaultRowHeight="15" x14ac:dyDescent="0.25"/>
  <cols>
    <col min="1" max="1" width="50.85546875" style="229" bestFit="1" customWidth="1"/>
    <col min="2" max="10" width="11.42578125" style="229" customWidth="1"/>
    <col min="11" max="12" width="9.85546875" style="229" customWidth="1"/>
    <col min="13" max="25" width="11.42578125" style="229" customWidth="1"/>
    <col min="26" max="16384" width="11.42578125" style="229"/>
  </cols>
  <sheetData>
    <row r="1" spans="1:13" ht="18.75" x14ac:dyDescent="0.3">
      <c r="A1" s="228" t="s">
        <v>157</v>
      </c>
      <c r="B1" s="362"/>
      <c r="C1" s="362"/>
      <c r="D1" s="362"/>
      <c r="E1" s="362"/>
    </row>
    <row r="2" spans="1:13" x14ac:dyDescent="0.25">
      <c r="A2" s="333" t="s">
        <v>241</v>
      </c>
      <c r="B2" s="362"/>
      <c r="C2" s="362"/>
      <c r="D2" s="362"/>
      <c r="E2" s="362"/>
    </row>
    <row r="3" spans="1:13" x14ac:dyDescent="0.25">
      <c r="A3" s="332" t="s">
        <v>88</v>
      </c>
      <c r="B3" s="362"/>
      <c r="C3" s="362"/>
      <c r="D3" s="362"/>
      <c r="E3" s="362"/>
    </row>
    <row r="4" spans="1:13" x14ac:dyDescent="0.25">
      <c r="A4" s="231" t="s">
        <v>159</v>
      </c>
      <c r="B4" s="362"/>
      <c r="C4" s="362"/>
      <c r="D4" s="362"/>
      <c r="E4" s="362"/>
    </row>
    <row r="5" spans="1:13" ht="15.75" thickBot="1" x14ac:dyDescent="0.3">
      <c r="B5" s="363"/>
      <c r="C5" s="363"/>
      <c r="D5" s="363"/>
      <c r="E5" s="363"/>
    </row>
    <row r="6" spans="1:13" ht="36" customHeight="1" thickBot="1" x14ac:dyDescent="0.3">
      <c r="A6" s="338"/>
      <c r="B6" s="338" t="s">
        <v>221</v>
      </c>
      <c r="C6" s="334" t="s">
        <v>226</v>
      </c>
      <c r="D6" s="233" t="s">
        <v>140</v>
      </c>
      <c r="E6" s="338" t="s">
        <v>221</v>
      </c>
      <c r="F6" s="335" t="s">
        <v>230</v>
      </c>
      <c r="G6" s="233" t="s">
        <v>140</v>
      </c>
      <c r="H6" s="338" t="s">
        <v>221</v>
      </c>
      <c r="I6" s="336" t="s">
        <v>238</v>
      </c>
      <c r="J6" s="233" t="s">
        <v>140</v>
      </c>
      <c r="K6" s="338" t="s">
        <v>221</v>
      </c>
      <c r="L6" s="336" t="s">
        <v>240</v>
      </c>
      <c r="M6" s="233" t="s">
        <v>140</v>
      </c>
    </row>
    <row r="7" spans="1:13" ht="15.75" thickTop="1" x14ac:dyDescent="0.25">
      <c r="A7" s="234" t="s">
        <v>20</v>
      </c>
      <c r="B7" s="235"/>
      <c r="C7" s="236"/>
      <c r="D7" s="235"/>
      <c r="E7" s="235"/>
      <c r="F7" s="236"/>
      <c r="G7" s="235"/>
      <c r="H7" s="235"/>
      <c r="I7" s="236"/>
      <c r="J7" s="235"/>
      <c r="K7" s="235"/>
      <c r="L7" s="236"/>
      <c r="M7" s="235"/>
    </row>
    <row r="8" spans="1:13" x14ac:dyDescent="0.25">
      <c r="A8" s="237" t="s">
        <v>160</v>
      </c>
      <c r="B8" s="238"/>
      <c r="C8" s="239"/>
      <c r="D8" s="238"/>
      <c r="E8" s="238"/>
      <c r="F8" s="239"/>
      <c r="G8" s="238"/>
      <c r="H8" s="238"/>
      <c r="I8" s="239"/>
      <c r="J8" s="238"/>
      <c r="K8" s="238"/>
      <c r="L8" s="239"/>
      <c r="M8" s="238"/>
    </row>
    <row r="9" spans="1:13" ht="15.75" thickBot="1" x14ac:dyDescent="0.3">
      <c r="A9" s="240" t="s">
        <v>161</v>
      </c>
      <c r="B9" s="242">
        <v>286064</v>
      </c>
      <c r="C9" s="243">
        <v>291761</v>
      </c>
      <c r="D9" s="244">
        <f t="shared" ref="D9:D15" si="0">(C9-B9)/B9</f>
        <v>1.9915123888360645E-2</v>
      </c>
      <c r="E9" s="242">
        <v>286064</v>
      </c>
      <c r="F9" s="243">
        <v>206643</v>
      </c>
      <c r="G9" s="244">
        <f t="shared" ref="G9:G15" si="1">(F9-E9)/E9</f>
        <v>-0.27763367638011077</v>
      </c>
      <c r="H9" s="242">
        <v>286064</v>
      </c>
      <c r="I9" s="243">
        <v>222833</v>
      </c>
      <c r="J9" s="244">
        <f t="shared" ref="J9:J15" si="2">(I9-H9)/H9</f>
        <v>-0.22103794954975112</v>
      </c>
      <c r="K9" s="242">
        <v>286064</v>
      </c>
      <c r="L9" s="243">
        <v>219322</v>
      </c>
      <c r="M9" s="244">
        <f>(L9-K9)/K9</f>
        <v>-0.23331142681358019</v>
      </c>
    </row>
    <row r="10" spans="1:13" ht="15.75" thickBot="1" x14ac:dyDescent="0.3">
      <c r="A10" s="240" t="s">
        <v>162</v>
      </c>
      <c r="B10" s="242">
        <v>878280</v>
      </c>
      <c r="C10" s="243">
        <v>841750</v>
      </c>
      <c r="D10" s="244">
        <f t="shared" si="0"/>
        <v>-4.1592658377738304E-2</v>
      </c>
      <c r="E10" s="242">
        <v>878280</v>
      </c>
      <c r="F10" s="243">
        <v>819646</v>
      </c>
      <c r="G10" s="244">
        <f t="shared" si="1"/>
        <v>-6.676003096962245E-2</v>
      </c>
      <c r="H10" s="242">
        <v>878280</v>
      </c>
      <c r="I10" s="243">
        <v>869999</v>
      </c>
      <c r="J10" s="244">
        <f t="shared" si="2"/>
        <v>-9.4286560094730618E-3</v>
      </c>
      <c r="K10" s="242">
        <v>878280</v>
      </c>
      <c r="L10" s="243">
        <v>889197</v>
      </c>
      <c r="M10" s="244">
        <f t="shared" ref="M10:M15" si="3">(L10-K10)/K10</f>
        <v>1.2429976772783168E-2</v>
      </c>
    </row>
    <row r="11" spans="1:13" ht="15.75" thickBot="1" x14ac:dyDescent="0.3">
      <c r="A11" s="240" t="s">
        <v>36</v>
      </c>
      <c r="B11" s="242">
        <v>1032969</v>
      </c>
      <c r="C11" s="243">
        <v>1119078</v>
      </c>
      <c r="D11" s="244">
        <f t="shared" si="0"/>
        <v>8.3360681685510404E-2</v>
      </c>
      <c r="E11" s="242">
        <v>1032969</v>
      </c>
      <c r="F11" s="243">
        <v>1083821</v>
      </c>
      <c r="G11" s="244">
        <f t="shared" si="1"/>
        <v>4.9228970085259095E-2</v>
      </c>
      <c r="H11" s="242">
        <v>1032969</v>
      </c>
      <c r="I11" s="243">
        <v>1081609</v>
      </c>
      <c r="J11" s="244">
        <f t="shared" si="2"/>
        <v>4.7087569907712623E-2</v>
      </c>
      <c r="K11" s="242">
        <v>1032969</v>
      </c>
      <c r="L11" s="243">
        <v>1028417</v>
      </c>
      <c r="M11" s="244">
        <f t="shared" si="3"/>
        <v>-4.4067150127448159E-3</v>
      </c>
    </row>
    <row r="12" spans="1:13" ht="15.75" thickBot="1" x14ac:dyDescent="0.3">
      <c r="A12" s="240" t="s">
        <v>163</v>
      </c>
      <c r="B12" s="242">
        <v>53119</v>
      </c>
      <c r="C12" s="243">
        <v>51847</v>
      </c>
      <c r="D12" s="244">
        <f t="shared" si="0"/>
        <v>-2.3946233927596528E-2</v>
      </c>
      <c r="E12" s="242">
        <v>53119</v>
      </c>
      <c r="F12" s="243">
        <v>59385</v>
      </c>
      <c r="G12" s="244">
        <f t="shared" si="1"/>
        <v>0.11796155801125774</v>
      </c>
      <c r="H12" s="242">
        <v>53119</v>
      </c>
      <c r="I12" s="243">
        <v>66216</v>
      </c>
      <c r="J12" s="244">
        <f t="shared" si="2"/>
        <v>0.24655961143846836</v>
      </c>
      <c r="K12" s="242">
        <v>53119</v>
      </c>
      <c r="L12" s="243">
        <v>75677</v>
      </c>
      <c r="M12" s="244">
        <f t="shared" si="3"/>
        <v>0.42466913910276927</v>
      </c>
    </row>
    <row r="13" spans="1:13" ht="15.75" thickBot="1" x14ac:dyDescent="0.3">
      <c r="A13" s="240" t="s">
        <v>164</v>
      </c>
      <c r="B13" s="242">
        <v>220762</v>
      </c>
      <c r="C13" s="243">
        <v>241822</v>
      </c>
      <c r="D13" s="244">
        <f t="shared" si="0"/>
        <v>9.5396852719217981E-2</v>
      </c>
      <c r="E13" s="242">
        <v>220762</v>
      </c>
      <c r="F13" s="243">
        <v>279691</v>
      </c>
      <c r="G13" s="244">
        <f t="shared" si="1"/>
        <v>0.26693452677544144</v>
      </c>
      <c r="H13" s="242">
        <v>220762</v>
      </c>
      <c r="I13" s="243">
        <v>285916</v>
      </c>
      <c r="J13" s="244">
        <f t="shared" si="2"/>
        <v>0.29513231443817323</v>
      </c>
      <c r="K13" s="242">
        <v>220762</v>
      </c>
      <c r="L13" s="243">
        <v>246832</v>
      </c>
      <c r="M13" s="244">
        <f t="shared" si="3"/>
        <v>0.1180909758019949</v>
      </c>
    </row>
    <row r="14" spans="1:13" ht="15.75" thickBot="1" x14ac:dyDescent="0.3">
      <c r="A14" s="245" t="s">
        <v>165</v>
      </c>
      <c r="B14" s="247">
        <v>71679</v>
      </c>
      <c r="C14" s="248">
        <v>77861</v>
      </c>
      <c r="D14" s="244">
        <f t="shared" si="0"/>
        <v>8.6245622846300871E-2</v>
      </c>
      <c r="E14" s="247">
        <v>71679</v>
      </c>
      <c r="F14" s="248">
        <v>65702</v>
      </c>
      <c r="G14" s="244">
        <f t="shared" si="1"/>
        <v>-8.3385649911410592E-2</v>
      </c>
      <c r="H14" s="247">
        <v>71679</v>
      </c>
      <c r="I14" s="248">
        <v>76079</v>
      </c>
      <c r="J14" s="244">
        <f t="shared" si="2"/>
        <v>6.1384784943986387E-2</v>
      </c>
      <c r="K14" s="247">
        <v>71679</v>
      </c>
      <c r="L14" s="248">
        <v>100330</v>
      </c>
      <c r="M14" s="244">
        <f t="shared" si="3"/>
        <v>0.39971260759776223</v>
      </c>
    </row>
    <row r="15" spans="1:13" ht="15.75" thickBot="1" x14ac:dyDescent="0.3">
      <c r="A15" s="249" t="s">
        <v>166</v>
      </c>
      <c r="B15" s="250">
        <f>SUM(B9:B14)</f>
        <v>2542873</v>
      </c>
      <c r="C15" s="251">
        <f>SUM(C9:C14)</f>
        <v>2624119</v>
      </c>
      <c r="D15" s="244">
        <f t="shared" si="0"/>
        <v>3.1950474915577773E-2</v>
      </c>
      <c r="E15" s="250">
        <f>SUM(E9:E14)</f>
        <v>2542873</v>
      </c>
      <c r="F15" s="251">
        <f>SUM(F9:F14)</f>
        <v>2514888</v>
      </c>
      <c r="G15" s="244">
        <f t="shared" si="1"/>
        <v>-1.1005268450292248E-2</v>
      </c>
      <c r="H15" s="250">
        <f>SUM(H9:H14)</f>
        <v>2542873</v>
      </c>
      <c r="I15" s="251">
        <f>SUM(I9:I14)</f>
        <v>2602652</v>
      </c>
      <c r="J15" s="244">
        <f t="shared" si="2"/>
        <v>2.3508448907987149E-2</v>
      </c>
      <c r="K15" s="250">
        <f>SUM(K9:K14)</f>
        <v>2542873</v>
      </c>
      <c r="L15" s="251">
        <f>SUM(L9:L14)</f>
        <v>2559775</v>
      </c>
      <c r="M15" s="244">
        <f t="shared" si="3"/>
        <v>6.6468124833603563E-3</v>
      </c>
    </row>
    <row r="16" spans="1:13" x14ac:dyDescent="0.25">
      <c r="A16" s="237" t="s">
        <v>167</v>
      </c>
      <c r="B16" s="238"/>
      <c r="C16" s="239"/>
      <c r="D16" s="238"/>
      <c r="E16" s="238"/>
      <c r="F16" s="239"/>
      <c r="G16" s="238"/>
      <c r="H16" s="238"/>
      <c r="I16" s="239"/>
      <c r="J16" s="238"/>
      <c r="K16" s="238"/>
      <c r="L16" s="239"/>
      <c r="M16" s="238"/>
    </row>
    <row r="17" spans="1:13" ht="15.75" thickBot="1" x14ac:dyDescent="0.3">
      <c r="A17" s="240" t="s">
        <v>162</v>
      </c>
      <c r="B17" s="242">
        <v>26729</v>
      </c>
      <c r="C17" s="243">
        <v>25395</v>
      </c>
      <c r="D17" s="244">
        <f t="shared" ref="D17:D28" si="4">(C17-B17)/B17</f>
        <v>-4.9908339256986796E-2</v>
      </c>
      <c r="E17" s="242">
        <v>26729</v>
      </c>
      <c r="F17" s="243">
        <v>26190</v>
      </c>
      <c r="G17" s="244">
        <f t="shared" ref="G17:G28" si="5">(F17-E17)/E17</f>
        <v>-2.0165363462905459E-2</v>
      </c>
      <c r="H17" s="242">
        <v>26729</v>
      </c>
      <c r="I17" s="243">
        <v>26261</v>
      </c>
      <c r="J17" s="244">
        <f t="shared" ref="J17:J28" si="6">(I17-H17)/H17</f>
        <v>-1.7509072542930899E-2</v>
      </c>
      <c r="K17" s="242">
        <v>26729</v>
      </c>
      <c r="L17" s="243">
        <v>23495</v>
      </c>
      <c r="M17" s="244">
        <f t="shared" ref="M17:M28" si="7">(L17-K17)/K17</f>
        <v>-0.12099218077743275</v>
      </c>
    </row>
    <row r="18" spans="1:13" ht="15.75" thickBot="1" x14ac:dyDescent="0.3">
      <c r="A18" s="240" t="s">
        <v>168</v>
      </c>
      <c r="B18" s="242">
        <v>5699</v>
      </c>
      <c r="C18" s="243">
        <v>6156</v>
      </c>
      <c r="D18" s="244">
        <f t="shared" si="4"/>
        <v>8.018950693104053E-2</v>
      </c>
      <c r="E18" s="242">
        <v>5699</v>
      </c>
      <c r="F18" s="243">
        <v>6491</v>
      </c>
      <c r="G18" s="244">
        <f t="shared" si="5"/>
        <v>0.13897174942972451</v>
      </c>
      <c r="H18" s="242">
        <v>5699</v>
      </c>
      <c r="I18" s="243">
        <v>7151</v>
      </c>
      <c r="J18" s="244">
        <f t="shared" si="6"/>
        <v>0.2547815406211616</v>
      </c>
      <c r="K18" s="242">
        <v>5699</v>
      </c>
      <c r="L18" s="243">
        <v>7433</v>
      </c>
      <c r="M18" s="244">
        <f t="shared" si="7"/>
        <v>0.30426390594841202</v>
      </c>
    </row>
    <row r="19" spans="1:13" ht="15.75" thickBot="1" x14ac:dyDescent="0.3">
      <c r="A19" s="240" t="s">
        <v>169</v>
      </c>
      <c r="B19" s="242">
        <v>109021</v>
      </c>
      <c r="C19" s="243">
        <v>110760</v>
      </c>
      <c r="D19" s="244">
        <f t="shared" si="4"/>
        <v>1.5951055301272232E-2</v>
      </c>
      <c r="E19" s="242">
        <v>109021</v>
      </c>
      <c r="F19" s="243">
        <v>161255</v>
      </c>
      <c r="G19" s="244">
        <f t="shared" si="5"/>
        <v>0.47911870190146855</v>
      </c>
      <c r="H19" s="242">
        <v>109021</v>
      </c>
      <c r="I19" s="243">
        <v>161801</v>
      </c>
      <c r="J19" s="244">
        <f t="shared" si="6"/>
        <v>0.48412691132901003</v>
      </c>
      <c r="K19" s="242">
        <v>109021</v>
      </c>
      <c r="L19" s="243">
        <v>164510</v>
      </c>
      <c r="M19" s="244">
        <f t="shared" si="7"/>
        <v>0.50897533502719661</v>
      </c>
    </row>
    <row r="20" spans="1:13" ht="15.75" thickBot="1" x14ac:dyDescent="0.3">
      <c r="A20" s="240" t="s">
        <v>170</v>
      </c>
      <c r="B20" s="242">
        <v>3418149</v>
      </c>
      <c r="C20" s="243">
        <v>3893661</v>
      </c>
      <c r="D20" s="244">
        <f t="shared" si="4"/>
        <v>0.13911388883281567</v>
      </c>
      <c r="E20" s="242">
        <v>3418149</v>
      </c>
      <c r="F20" s="243">
        <v>3756035</v>
      </c>
      <c r="G20" s="244">
        <f t="shared" si="5"/>
        <v>9.885057673027127E-2</v>
      </c>
      <c r="H20" s="242">
        <v>3418149</v>
      </c>
      <c r="I20" s="243">
        <v>3725217</v>
      </c>
      <c r="J20" s="244">
        <f t="shared" si="6"/>
        <v>8.9834585911848785E-2</v>
      </c>
      <c r="K20" s="242">
        <v>3418149</v>
      </c>
      <c r="L20" s="243">
        <v>3885206</v>
      </c>
      <c r="M20" s="244">
        <f t="shared" si="7"/>
        <v>0.13664032784995622</v>
      </c>
    </row>
    <row r="21" spans="1:13" ht="15.75" thickBot="1" x14ac:dyDescent="0.3">
      <c r="A21" s="240" t="s">
        <v>171</v>
      </c>
      <c r="B21" s="242">
        <v>3383722</v>
      </c>
      <c r="C21" s="243">
        <v>3364160</v>
      </c>
      <c r="D21" s="244">
        <f t="shared" si="4"/>
        <v>-5.7812077942573301E-3</v>
      </c>
      <c r="E21" s="242">
        <v>3383722</v>
      </c>
      <c r="F21" s="243">
        <v>3312068</v>
      </c>
      <c r="G21" s="244">
        <f t="shared" si="5"/>
        <v>-2.1176089525085099E-2</v>
      </c>
      <c r="H21" s="242">
        <v>3383722</v>
      </c>
      <c r="I21" s="243">
        <v>3311507</v>
      </c>
      <c r="J21" s="244">
        <f t="shared" si="6"/>
        <v>-2.1341883287102192E-2</v>
      </c>
      <c r="K21" s="242">
        <v>3383722</v>
      </c>
      <c r="L21" s="243">
        <v>3383513</v>
      </c>
      <c r="M21" s="244">
        <f t="shared" si="7"/>
        <v>-6.176630349656385E-5</v>
      </c>
    </row>
    <row r="22" spans="1:13" ht="15.75" thickBot="1" x14ac:dyDescent="0.3">
      <c r="A22" s="240" t="s">
        <v>141</v>
      </c>
      <c r="B22" s="242">
        <v>82393</v>
      </c>
      <c r="C22" s="243">
        <v>82141</v>
      </c>
      <c r="D22" s="244">
        <f t="shared" si="4"/>
        <v>-3.0585122522544389E-3</v>
      </c>
      <c r="E22" s="242">
        <v>82393</v>
      </c>
      <c r="F22" s="243">
        <v>77368</v>
      </c>
      <c r="G22" s="244">
        <f t="shared" si="5"/>
        <v>-6.098819074435935E-2</v>
      </c>
      <c r="H22" s="242">
        <v>82393</v>
      </c>
      <c r="I22" s="243">
        <v>71951</v>
      </c>
      <c r="J22" s="244">
        <f t="shared" si="6"/>
        <v>-0.12673406721444783</v>
      </c>
      <c r="K22" s="242">
        <v>82393</v>
      </c>
      <c r="L22" s="243">
        <v>71842</v>
      </c>
      <c r="M22" s="244">
        <f t="shared" si="7"/>
        <v>-0.12805699513308169</v>
      </c>
    </row>
    <row r="23" spans="1:13" ht="15.75" thickBot="1" x14ac:dyDescent="0.3">
      <c r="A23" s="240" t="s">
        <v>172</v>
      </c>
      <c r="B23" s="242">
        <v>2033403</v>
      </c>
      <c r="C23" s="243">
        <v>2036765</v>
      </c>
      <c r="D23" s="244">
        <f t="shared" si="4"/>
        <v>1.6533859741526889E-3</v>
      </c>
      <c r="E23" s="242">
        <v>2033403</v>
      </c>
      <c r="F23" s="243">
        <v>2018384</v>
      </c>
      <c r="G23" s="244">
        <f t="shared" si="5"/>
        <v>-7.3861403765018542E-3</v>
      </c>
      <c r="H23" s="242">
        <v>2033403</v>
      </c>
      <c r="I23" s="243">
        <v>2009524</v>
      </c>
      <c r="J23" s="244">
        <f t="shared" si="6"/>
        <v>-1.174336813705891E-2</v>
      </c>
      <c r="K23" s="242">
        <v>2033403</v>
      </c>
      <c r="L23" s="243">
        <v>2034454</v>
      </c>
      <c r="M23" s="244">
        <f t="shared" si="7"/>
        <v>5.1686753683357408E-4</v>
      </c>
    </row>
    <row r="24" spans="1:13" ht="15.75" thickBot="1" x14ac:dyDescent="0.3">
      <c r="A24" s="240" t="s">
        <v>173</v>
      </c>
      <c r="B24" s="242">
        <v>1179957</v>
      </c>
      <c r="C24" s="243">
        <v>1172357</v>
      </c>
      <c r="D24" s="244">
        <f t="shared" si="4"/>
        <v>-6.4409126773263773E-3</v>
      </c>
      <c r="E24" s="242">
        <v>1179957</v>
      </c>
      <c r="F24" s="243">
        <v>1155162</v>
      </c>
      <c r="G24" s="244">
        <f t="shared" si="5"/>
        <v>-2.1013477609777304E-2</v>
      </c>
      <c r="H24" s="242">
        <v>1179957</v>
      </c>
      <c r="I24" s="243">
        <v>1149421</v>
      </c>
      <c r="J24" s="244">
        <f t="shared" si="6"/>
        <v>-2.5878909146689243E-2</v>
      </c>
      <c r="K24" s="242">
        <v>1179957</v>
      </c>
      <c r="L24" s="243">
        <v>1163671</v>
      </c>
      <c r="M24" s="244">
        <f t="shared" si="7"/>
        <v>-1.3802197876702286E-2</v>
      </c>
    </row>
    <row r="25" spans="1:13" ht="15.75" thickBot="1" x14ac:dyDescent="0.3">
      <c r="A25" s="240" t="s">
        <v>174</v>
      </c>
      <c r="B25" s="242">
        <v>355461</v>
      </c>
      <c r="C25" s="243">
        <v>371603</v>
      </c>
      <c r="D25" s="244">
        <f t="shared" si="4"/>
        <v>4.5411451607911976E-2</v>
      </c>
      <c r="E25" s="242">
        <v>355461</v>
      </c>
      <c r="F25" s="243">
        <v>365896</v>
      </c>
      <c r="G25" s="244">
        <f t="shared" si="5"/>
        <v>2.9356244426252107E-2</v>
      </c>
      <c r="H25" s="242">
        <v>355461</v>
      </c>
      <c r="I25" s="243">
        <v>363222</v>
      </c>
      <c r="J25" s="244">
        <f t="shared" si="6"/>
        <v>2.1833618878020374E-2</v>
      </c>
      <c r="K25" s="242">
        <v>355461</v>
      </c>
      <c r="L25" s="243">
        <v>356994</v>
      </c>
      <c r="M25" s="244">
        <f t="shared" si="7"/>
        <v>4.3127094111590301E-3</v>
      </c>
    </row>
    <row r="26" spans="1:13" ht="15.75" thickBot="1" x14ac:dyDescent="0.3">
      <c r="A26" s="245" t="s">
        <v>25</v>
      </c>
      <c r="B26" s="247">
        <v>40645</v>
      </c>
      <c r="C26" s="248">
        <v>42717</v>
      </c>
      <c r="D26" s="252">
        <f t="shared" si="4"/>
        <v>5.0977980071349488E-2</v>
      </c>
      <c r="E26" s="247">
        <v>40645</v>
      </c>
      <c r="F26" s="248">
        <v>44171</v>
      </c>
      <c r="G26" s="252">
        <f t="shared" si="5"/>
        <v>8.6751137901340883E-2</v>
      </c>
      <c r="H26" s="247">
        <v>40645</v>
      </c>
      <c r="I26" s="248">
        <v>46257</v>
      </c>
      <c r="J26" s="252">
        <f t="shared" si="6"/>
        <v>0.13807356378398328</v>
      </c>
      <c r="K26" s="247">
        <v>40645</v>
      </c>
      <c r="L26" s="248">
        <v>48661</v>
      </c>
      <c r="M26" s="252">
        <f t="shared" si="7"/>
        <v>0.19721983023742157</v>
      </c>
    </row>
    <row r="27" spans="1:13" ht="15.75" thickBot="1" x14ac:dyDescent="0.3">
      <c r="A27" s="249" t="s">
        <v>175</v>
      </c>
      <c r="B27" s="250">
        <f>SUM(B17:B26)</f>
        <v>10635179</v>
      </c>
      <c r="C27" s="251">
        <f>SUM(C17:C26)</f>
        <v>11105715</v>
      </c>
      <c r="D27" s="253">
        <f t="shared" si="4"/>
        <v>4.4243355001359168E-2</v>
      </c>
      <c r="E27" s="250">
        <f>SUM(E17:E26)</f>
        <v>10635179</v>
      </c>
      <c r="F27" s="251">
        <f>SUM(F17:F26)</f>
        <v>10923020</v>
      </c>
      <c r="G27" s="253">
        <f t="shared" si="5"/>
        <v>2.7064988751012091E-2</v>
      </c>
      <c r="H27" s="250">
        <f>SUM(H17:H26)</f>
        <v>10635179</v>
      </c>
      <c r="I27" s="251">
        <f>SUM(I17:I26)</f>
        <v>10872312</v>
      </c>
      <c r="J27" s="253">
        <f t="shared" si="6"/>
        <v>2.2297038912086013E-2</v>
      </c>
      <c r="K27" s="250">
        <f>SUM(K17:K26)</f>
        <v>10635179</v>
      </c>
      <c r="L27" s="251">
        <f>SUM(L17:L26)</f>
        <v>11139779</v>
      </c>
      <c r="M27" s="253">
        <f t="shared" si="7"/>
        <v>4.744631002449512E-2</v>
      </c>
    </row>
    <row r="28" spans="1:13" ht="15.75" thickBot="1" x14ac:dyDescent="0.3">
      <c r="A28" s="249" t="s">
        <v>176</v>
      </c>
      <c r="B28" s="250">
        <f>+B15+B27</f>
        <v>13178052</v>
      </c>
      <c r="C28" s="251">
        <f>+C15+C27</f>
        <v>13729834</v>
      </c>
      <c r="D28" s="253">
        <f t="shared" si="4"/>
        <v>4.18712871978347E-2</v>
      </c>
      <c r="E28" s="250">
        <f>+E15+E27</f>
        <v>13178052</v>
      </c>
      <c r="F28" s="251">
        <f>+F15+F27</f>
        <v>13437908</v>
      </c>
      <c r="G28" s="253">
        <f t="shared" si="5"/>
        <v>1.9718847671871383E-2</v>
      </c>
      <c r="H28" s="250">
        <f>+H15+H27</f>
        <v>13178052</v>
      </c>
      <c r="I28" s="251">
        <f>+I15+I27</f>
        <v>13474964</v>
      </c>
      <c r="J28" s="253">
        <f t="shared" si="6"/>
        <v>2.2530795902156099E-2</v>
      </c>
      <c r="K28" s="250">
        <f>+K15+K27</f>
        <v>13178052</v>
      </c>
      <c r="L28" s="251">
        <f>+L15+L27</f>
        <v>13699554</v>
      </c>
      <c r="M28" s="253">
        <f t="shared" si="7"/>
        <v>3.9573527255773462E-2</v>
      </c>
    </row>
    <row r="29" spans="1:13" x14ac:dyDescent="0.25">
      <c r="A29" s="234" t="s">
        <v>142</v>
      </c>
      <c r="B29" s="254"/>
      <c r="C29" s="255"/>
      <c r="D29" s="254"/>
      <c r="E29" s="254"/>
      <c r="F29" s="255"/>
      <c r="G29" s="254"/>
      <c r="H29" s="254"/>
      <c r="I29" s="255"/>
      <c r="J29" s="254"/>
      <c r="K29" s="254"/>
      <c r="L29" s="255"/>
      <c r="M29" s="254"/>
    </row>
    <row r="30" spans="1:13" x14ac:dyDescent="0.25">
      <c r="A30" s="237" t="s">
        <v>177</v>
      </c>
      <c r="B30" s="256"/>
      <c r="C30" s="239"/>
      <c r="D30" s="256"/>
      <c r="E30" s="256"/>
      <c r="F30" s="239"/>
      <c r="G30" s="256"/>
      <c r="H30" s="256"/>
      <c r="I30" s="239"/>
      <c r="J30" s="256"/>
      <c r="K30" s="256"/>
      <c r="L30" s="239"/>
      <c r="M30" s="256"/>
    </row>
    <row r="31" spans="1:13" ht="15.75" thickBot="1" x14ac:dyDescent="0.3">
      <c r="A31" s="240" t="s">
        <v>28</v>
      </c>
      <c r="B31" s="242">
        <v>1059660</v>
      </c>
      <c r="C31" s="243">
        <v>1044488</v>
      </c>
      <c r="D31" s="244">
        <f t="shared" ref="D31:D37" si="8">(C31-B31)/B31</f>
        <v>-1.4317800049072344E-2</v>
      </c>
      <c r="E31" s="242">
        <v>1059660</v>
      </c>
      <c r="F31" s="243">
        <v>862246</v>
      </c>
      <c r="G31" s="244">
        <f t="shared" ref="G31:G37" si="9">(F31-E31)/E31</f>
        <v>-0.18629937904610913</v>
      </c>
      <c r="H31" s="242">
        <v>1059660</v>
      </c>
      <c r="I31" s="243">
        <v>799469</v>
      </c>
      <c r="J31" s="244">
        <f t="shared" ref="J31:J37" si="10">(I31-H31)/H31</f>
        <v>-0.2455419662910745</v>
      </c>
      <c r="K31" s="242">
        <v>1059660</v>
      </c>
      <c r="L31" s="243">
        <v>847689</v>
      </c>
      <c r="M31" s="244">
        <f t="shared" ref="M31:M37" si="11">(L31-K31)/K31</f>
        <v>-0.20003680425796955</v>
      </c>
    </row>
    <row r="32" spans="1:13" ht="15.75" thickBot="1" x14ac:dyDescent="0.3">
      <c r="A32" s="240" t="s">
        <v>178</v>
      </c>
      <c r="B32" s="242">
        <v>825435</v>
      </c>
      <c r="C32" s="243">
        <v>935523</v>
      </c>
      <c r="D32" s="244">
        <f t="shared" si="8"/>
        <v>0.13336967780624762</v>
      </c>
      <c r="E32" s="242">
        <v>825435</v>
      </c>
      <c r="F32" s="243">
        <v>861844</v>
      </c>
      <c r="G32" s="244">
        <f t="shared" si="9"/>
        <v>4.4108863811202575E-2</v>
      </c>
      <c r="H32" s="242">
        <v>825435</v>
      </c>
      <c r="I32" s="243">
        <v>855542</v>
      </c>
      <c r="J32" s="244">
        <f t="shared" si="10"/>
        <v>3.6474101534342496E-2</v>
      </c>
      <c r="K32" s="242">
        <v>825435</v>
      </c>
      <c r="L32" s="243">
        <v>888840</v>
      </c>
      <c r="M32" s="244">
        <f t="shared" si="11"/>
        <v>7.6814043504334073E-2</v>
      </c>
    </row>
    <row r="33" spans="1:13" ht="15.75" thickBot="1" x14ac:dyDescent="0.3">
      <c r="A33" s="240" t="s">
        <v>30</v>
      </c>
      <c r="B33" s="242">
        <v>172323</v>
      </c>
      <c r="C33" s="243">
        <v>186031</v>
      </c>
      <c r="D33" s="244">
        <f t="shared" si="8"/>
        <v>7.9548290129582241E-2</v>
      </c>
      <c r="E33" s="242">
        <v>172323</v>
      </c>
      <c r="F33" s="243">
        <v>205184</v>
      </c>
      <c r="G33" s="244">
        <f t="shared" si="9"/>
        <v>0.19069421957602872</v>
      </c>
      <c r="H33" s="242">
        <v>172323</v>
      </c>
      <c r="I33" s="243">
        <v>206372</v>
      </c>
      <c r="J33" s="244">
        <f t="shared" si="10"/>
        <v>0.19758824997243549</v>
      </c>
      <c r="K33" s="242">
        <v>172323</v>
      </c>
      <c r="L33" s="243">
        <v>163362</v>
      </c>
      <c r="M33" s="244">
        <f t="shared" si="11"/>
        <v>-5.2001183823401402E-2</v>
      </c>
    </row>
    <row r="34" spans="1:13" ht="15.75" thickBot="1" x14ac:dyDescent="0.3">
      <c r="A34" s="240" t="s">
        <v>179</v>
      </c>
      <c r="B34" s="242">
        <v>160628</v>
      </c>
      <c r="C34" s="243">
        <v>122670</v>
      </c>
      <c r="D34" s="244">
        <f t="shared" si="8"/>
        <v>-0.23630998331548672</v>
      </c>
      <c r="E34" s="242">
        <v>160628</v>
      </c>
      <c r="F34" s="243">
        <v>129825</v>
      </c>
      <c r="G34" s="244">
        <f t="shared" si="9"/>
        <v>-0.19176606818238415</v>
      </c>
      <c r="H34" s="242">
        <v>160628</v>
      </c>
      <c r="I34" s="243">
        <v>162674</v>
      </c>
      <c r="J34" s="244">
        <f t="shared" si="10"/>
        <v>1.2737505291729959E-2</v>
      </c>
      <c r="K34" s="242">
        <v>160628</v>
      </c>
      <c r="L34" s="243">
        <v>161592</v>
      </c>
      <c r="M34" s="244">
        <f t="shared" si="11"/>
        <v>6.0014443310008221E-3</v>
      </c>
    </row>
    <row r="35" spans="1:13" ht="15.75" thickBot="1" x14ac:dyDescent="0.3">
      <c r="A35" s="240" t="s">
        <v>180</v>
      </c>
      <c r="B35" s="242">
        <v>4415</v>
      </c>
      <c r="C35" s="243">
        <v>3289</v>
      </c>
      <c r="D35" s="244">
        <f t="shared" si="8"/>
        <v>-0.25503963759909398</v>
      </c>
      <c r="E35" s="242">
        <v>4415</v>
      </c>
      <c r="F35" s="243">
        <v>2901</v>
      </c>
      <c r="G35" s="244">
        <f t="shared" si="9"/>
        <v>-0.34292185730464325</v>
      </c>
      <c r="H35" s="242">
        <v>4415</v>
      </c>
      <c r="I35" s="243">
        <v>2921</v>
      </c>
      <c r="J35" s="244">
        <f t="shared" si="10"/>
        <v>-0.33839184597961497</v>
      </c>
      <c r="K35" s="242">
        <v>4415</v>
      </c>
      <c r="L35" s="243">
        <v>2734</v>
      </c>
      <c r="M35" s="244">
        <f t="shared" si="11"/>
        <v>-0.38074745186862968</v>
      </c>
    </row>
    <row r="36" spans="1:13" ht="15.75" thickBot="1" x14ac:dyDescent="0.3">
      <c r="A36" s="245" t="s">
        <v>143</v>
      </c>
      <c r="B36" s="247">
        <v>26641</v>
      </c>
      <c r="C36" s="248">
        <v>26274</v>
      </c>
      <c r="D36" s="252">
        <f t="shared" si="8"/>
        <v>-1.3775759168199392E-2</v>
      </c>
      <c r="E36" s="247">
        <v>26641</v>
      </c>
      <c r="F36" s="248">
        <v>22619</v>
      </c>
      <c r="G36" s="252">
        <f t="shared" si="9"/>
        <v>-0.15097030892233776</v>
      </c>
      <c r="H36" s="247">
        <v>26641</v>
      </c>
      <c r="I36" s="248">
        <v>28191</v>
      </c>
      <c r="J36" s="252">
        <f t="shared" si="10"/>
        <v>5.8180999211741302E-2</v>
      </c>
      <c r="K36" s="247">
        <v>26641</v>
      </c>
      <c r="L36" s="248">
        <v>49746</v>
      </c>
      <c r="M36" s="252">
        <f t="shared" si="11"/>
        <v>0.86727224954018245</v>
      </c>
    </row>
    <row r="37" spans="1:13" ht="15.75" thickBot="1" x14ac:dyDescent="0.3">
      <c r="A37" s="249" t="s">
        <v>181</v>
      </c>
      <c r="B37" s="250">
        <f>SUM(B31:B36)</f>
        <v>2249102</v>
      </c>
      <c r="C37" s="251">
        <f>SUM(C31:C36)</f>
        <v>2318275</v>
      </c>
      <c r="D37" s="253">
        <f t="shared" si="8"/>
        <v>3.0755830549259216E-2</v>
      </c>
      <c r="E37" s="250">
        <f>SUM(E31:E36)</f>
        <v>2249102</v>
      </c>
      <c r="F37" s="251">
        <f>SUM(F31:F36)</f>
        <v>2084619</v>
      </c>
      <c r="G37" s="253">
        <f t="shared" si="9"/>
        <v>-7.313274364613076E-2</v>
      </c>
      <c r="H37" s="250">
        <f>SUM(H31:H36)</f>
        <v>2249102</v>
      </c>
      <c r="I37" s="251">
        <f>SUM(I31:I36)</f>
        <v>2055169</v>
      </c>
      <c r="J37" s="253">
        <f t="shared" si="10"/>
        <v>-8.6226858541764664E-2</v>
      </c>
      <c r="K37" s="250">
        <f>SUM(K31:K36)</f>
        <v>2249102</v>
      </c>
      <c r="L37" s="251">
        <f>SUM(L31:L36)</f>
        <v>2113963</v>
      </c>
      <c r="M37" s="253">
        <f t="shared" si="11"/>
        <v>-6.0085758671683184E-2</v>
      </c>
    </row>
    <row r="38" spans="1:13" x14ac:dyDescent="0.25">
      <c r="A38" s="237" t="s">
        <v>182</v>
      </c>
      <c r="B38" s="238"/>
      <c r="C38" s="239"/>
      <c r="D38" s="238"/>
      <c r="E38" s="238"/>
      <c r="F38" s="239"/>
      <c r="G38" s="238"/>
      <c r="H38" s="238"/>
      <c r="I38" s="239"/>
      <c r="J38" s="238"/>
      <c r="K38" s="238"/>
      <c r="L38" s="239"/>
      <c r="M38" s="238"/>
    </row>
    <row r="39" spans="1:13" ht="15.75" thickBot="1" x14ac:dyDescent="0.3">
      <c r="A39" s="240" t="s">
        <v>28</v>
      </c>
      <c r="B39" s="242">
        <v>2034604</v>
      </c>
      <c r="C39" s="243">
        <v>2170378</v>
      </c>
      <c r="D39" s="244">
        <f>(C39-B39)/B39</f>
        <v>6.6732396082972406E-2</v>
      </c>
      <c r="E39" s="242">
        <v>2034604</v>
      </c>
      <c r="F39" s="243">
        <v>2309966</v>
      </c>
      <c r="G39" s="244">
        <f>(F39-E39)/E39</f>
        <v>0.13533935842060665</v>
      </c>
      <c r="H39" s="242">
        <v>2034604</v>
      </c>
      <c r="I39" s="243">
        <v>2364526</v>
      </c>
      <c r="J39" s="244">
        <f>(I39-H39)/H39</f>
        <v>0.16215538748572203</v>
      </c>
      <c r="K39" s="242">
        <v>2034604</v>
      </c>
      <c r="L39" s="243">
        <v>2277429</v>
      </c>
      <c r="M39" s="244">
        <f>(L39-K39)/K39</f>
        <v>0.11934754871218183</v>
      </c>
    </row>
    <row r="40" spans="1:13" ht="15.75" thickBot="1" x14ac:dyDescent="0.3">
      <c r="A40" s="240" t="s">
        <v>178</v>
      </c>
      <c r="B40" s="241">
        <v>159</v>
      </c>
      <c r="C40" s="257">
        <v>158</v>
      </c>
      <c r="D40" s="244">
        <f>(C40-B40)/B40</f>
        <v>-6.2893081761006293E-3</v>
      </c>
      <c r="E40" s="241">
        <v>159</v>
      </c>
      <c r="F40" s="257">
        <v>159</v>
      </c>
      <c r="G40" s="244">
        <f>(F40-E40)/E40</f>
        <v>0</v>
      </c>
      <c r="H40" s="241">
        <v>159</v>
      </c>
      <c r="I40" s="257">
        <v>158</v>
      </c>
      <c r="J40" s="244">
        <f>(I40-H40)/H40</f>
        <v>-6.2893081761006293E-3</v>
      </c>
      <c r="K40" s="241">
        <v>159</v>
      </c>
      <c r="L40" s="257">
        <v>158</v>
      </c>
      <c r="M40" s="244">
        <f>(L40-K40)/K40</f>
        <v>-6.2893081761006293E-3</v>
      </c>
    </row>
    <row r="41" spans="1:13" ht="15.75" thickBot="1" x14ac:dyDescent="0.3">
      <c r="A41" s="240" t="s">
        <v>179</v>
      </c>
      <c r="B41" s="242">
        <v>211533</v>
      </c>
      <c r="C41" s="243">
        <v>218264</v>
      </c>
      <c r="D41" s="244">
        <f>(C41-B41)/B41</f>
        <v>3.1820094264251912E-2</v>
      </c>
      <c r="E41" s="242">
        <v>211533</v>
      </c>
      <c r="F41" s="243">
        <v>226813</v>
      </c>
      <c r="G41" s="244">
        <f>(F41-E41)/E41</f>
        <v>7.2234592238563253E-2</v>
      </c>
      <c r="H41" s="242">
        <v>211533</v>
      </c>
      <c r="I41" s="243">
        <v>224265</v>
      </c>
      <c r="J41" s="244">
        <f>(I41-H41)/H41</f>
        <v>6.0189190339096026E-2</v>
      </c>
      <c r="K41" s="242">
        <v>211533</v>
      </c>
      <c r="L41" s="243">
        <v>216744</v>
      </c>
      <c r="M41" s="244">
        <f>(L41-K41)/K41</f>
        <v>2.4634454198635674E-2</v>
      </c>
    </row>
    <row r="42" spans="1:13" ht="15.75" thickBot="1" x14ac:dyDescent="0.3">
      <c r="A42" s="240" t="s">
        <v>183</v>
      </c>
      <c r="B42" s="242">
        <v>727692</v>
      </c>
      <c r="C42" s="243">
        <v>642624</v>
      </c>
      <c r="D42" s="244">
        <f>(C42-B42)/B42</f>
        <v>-0.11690110651209577</v>
      </c>
      <c r="E42" s="242">
        <v>727692</v>
      </c>
      <c r="F42" s="243">
        <v>636888</v>
      </c>
      <c r="G42" s="244">
        <f>(F42-E42)/E42</f>
        <v>-0.12478356227634768</v>
      </c>
      <c r="H42" s="365">
        <v>727692</v>
      </c>
      <c r="I42" s="243">
        <v>631573</v>
      </c>
      <c r="J42" s="244">
        <f>(I42-H42)/H42</f>
        <v>-0.13208747656975753</v>
      </c>
      <c r="K42" s="365">
        <v>727692</v>
      </c>
      <c r="L42" s="243">
        <v>705700</v>
      </c>
      <c r="M42" s="244">
        <f>(L42-K42)/K42</f>
        <v>-3.02215772607092E-2</v>
      </c>
    </row>
    <row r="43" spans="1:13" ht="15.75" thickBot="1" x14ac:dyDescent="0.3">
      <c r="A43" s="245" t="s">
        <v>143</v>
      </c>
      <c r="B43" s="246" t="s">
        <v>184</v>
      </c>
      <c r="C43" s="258">
        <v>779</v>
      </c>
      <c r="D43" s="252" t="s">
        <v>131</v>
      </c>
      <c r="E43" s="246" t="s">
        <v>184</v>
      </c>
      <c r="F43" s="258">
        <v>801</v>
      </c>
      <c r="G43" s="252" t="s">
        <v>131</v>
      </c>
      <c r="H43" s="246" t="s">
        <v>184</v>
      </c>
      <c r="I43" s="258">
        <v>748</v>
      </c>
      <c r="J43" s="252" t="s">
        <v>131</v>
      </c>
      <c r="K43" s="246" t="s">
        <v>184</v>
      </c>
      <c r="L43" s="258">
        <v>600</v>
      </c>
      <c r="M43" s="252" t="s">
        <v>131</v>
      </c>
    </row>
    <row r="44" spans="1:13" ht="15.75" thickBot="1" x14ac:dyDescent="0.3">
      <c r="A44" s="249" t="s">
        <v>185</v>
      </c>
      <c r="B44" s="250">
        <f>SUM(B39:B43)</f>
        <v>2973988</v>
      </c>
      <c r="C44" s="251">
        <f>SUM(C39:C43)</f>
        <v>3032203</v>
      </c>
      <c r="D44" s="253">
        <f>(C44-B44)/B44</f>
        <v>1.9574725923574676E-2</v>
      </c>
      <c r="E44" s="250">
        <f>SUM(E39:E43)</f>
        <v>2973988</v>
      </c>
      <c r="F44" s="251">
        <f>SUM(F39:F43)</f>
        <v>3174627</v>
      </c>
      <c r="G44" s="253">
        <f>(F44-E44)/E44</f>
        <v>6.7464629985057104E-2</v>
      </c>
      <c r="H44" s="250">
        <f>SUM(H39:H43)</f>
        <v>2973988</v>
      </c>
      <c r="I44" s="251">
        <f>SUM(I39:I43)</f>
        <v>3221270</v>
      </c>
      <c r="J44" s="253">
        <f>(I44-H44)/H44</f>
        <v>8.314828439119458E-2</v>
      </c>
      <c r="K44" s="250">
        <f>SUM(K39:K43)</f>
        <v>2973988</v>
      </c>
      <c r="L44" s="251">
        <f>SUM(L39:L43)</f>
        <v>3200631</v>
      </c>
      <c r="M44" s="253">
        <f>(L44-K44)/K44</f>
        <v>7.6208444687739157E-2</v>
      </c>
    </row>
    <row r="45" spans="1:13" ht="15.75" thickBot="1" x14ac:dyDescent="0.3">
      <c r="A45" s="249" t="s">
        <v>186</v>
      </c>
      <c r="B45" s="250">
        <f>+B37+B44</f>
        <v>5223090</v>
      </c>
      <c r="C45" s="251">
        <f>+C37+C44</f>
        <v>5350478</v>
      </c>
      <c r="D45" s="253">
        <f>(C45-B45)/B45</f>
        <v>2.4389394017717482E-2</v>
      </c>
      <c r="E45" s="250">
        <f>+E37+E44</f>
        <v>5223090</v>
      </c>
      <c r="F45" s="251">
        <f>+F37+F44</f>
        <v>5259246</v>
      </c>
      <c r="G45" s="253">
        <f>(F45-E45)/E45</f>
        <v>6.9223390751451726E-3</v>
      </c>
      <c r="H45" s="250">
        <f>+H37+H44</f>
        <v>5223090</v>
      </c>
      <c r="I45" s="251">
        <f>+I37+I44</f>
        <v>5276439</v>
      </c>
      <c r="J45" s="253">
        <f>(I45-H45)/H45</f>
        <v>1.0214068683480468E-2</v>
      </c>
      <c r="K45" s="250">
        <f>+K37+K44</f>
        <v>5223090</v>
      </c>
      <c r="L45" s="251">
        <f>+L37+L44</f>
        <v>5314594</v>
      </c>
      <c r="M45" s="253">
        <f>(L45-K45)/K45</f>
        <v>1.7519131395400039E-2</v>
      </c>
    </row>
    <row r="46" spans="1:13" x14ac:dyDescent="0.25">
      <c r="A46" s="234" t="s">
        <v>34</v>
      </c>
      <c r="B46" s="254"/>
      <c r="C46" s="255"/>
      <c r="D46" s="254"/>
      <c r="E46" s="254"/>
      <c r="F46" s="255"/>
      <c r="G46" s="254"/>
      <c r="H46" s="254"/>
      <c r="I46" s="255"/>
      <c r="J46" s="254"/>
      <c r="K46" s="254"/>
      <c r="L46" s="255"/>
      <c r="M46" s="254"/>
    </row>
    <row r="47" spans="1:13" ht="15.75" thickBot="1" x14ac:dyDescent="0.3">
      <c r="A47" s="249" t="s">
        <v>187</v>
      </c>
      <c r="B47" s="250">
        <v>7920603</v>
      </c>
      <c r="C47" s="251">
        <v>8344147</v>
      </c>
      <c r="D47" s="253">
        <f>(C47-B47)/B47</f>
        <v>5.3473706484215913E-2</v>
      </c>
      <c r="E47" s="250">
        <v>7920603</v>
      </c>
      <c r="F47" s="251">
        <v>8143026</v>
      </c>
      <c r="G47" s="253">
        <f>(F47-E47)/E47</f>
        <v>2.808157409227555E-2</v>
      </c>
      <c r="H47" s="250">
        <v>7920603</v>
      </c>
      <c r="I47" s="251">
        <v>8162045</v>
      </c>
      <c r="J47" s="253">
        <f>(I47-H47)/H47</f>
        <v>3.0482780162065945E-2</v>
      </c>
      <c r="K47" s="250">
        <v>7920603</v>
      </c>
      <c r="L47" s="251">
        <v>8346719</v>
      </c>
      <c r="M47" s="253">
        <f>(L47-K47)/K47</f>
        <v>5.3798429235753897E-2</v>
      </c>
    </row>
    <row r="48" spans="1:13" ht="15.75" thickBot="1" x14ac:dyDescent="0.3">
      <c r="A48" s="259" t="s">
        <v>188</v>
      </c>
      <c r="B48" s="247">
        <v>34359</v>
      </c>
      <c r="C48" s="248">
        <v>35209</v>
      </c>
      <c r="D48" s="252">
        <f>(C48-B48)/B48</f>
        <v>2.473878750836753E-2</v>
      </c>
      <c r="E48" s="247">
        <v>34359</v>
      </c>
      <c r="F48" s="248">
        <v>35636</v>
      </c>
      <c r="G48" s="252">
        <f>(F48-E48)/E48</f>
        <v>3.7166390174335692E-2</v>
      </c>
      <c r="H48" s="247">
        <v>34359</v>
      </c>
      <c r="I48" s="248">
        <v>36480</v>
      </c>
      <c r="J48" s="252">
        <f>(I48-H48)/H48</f>
        <v>6.1730550947350041E-2</v>
      </c>
      <c r="K48" s="247">
        <v>34359</v>
      </c>
      <c r="L48" s="248">
        <v>38241</v>
      </c>
      <c r="M48" s="252">
        <f>(L48-K48)/K48</f>
        <v>0.11298349777350912</v>
      </c>
    </row>
    <row r="49" spans="1:27" ht="15.75" thickBot="1" x14ac:dyDescent="0.3">
      <c r="A49" s="249" t="s">
        <v>189</v>
      </c>
      <c r="B49" s="250">
        <f>SUM(B47:B48)</f>
        <v>7954962</v>
      </c>
      <c r="C49" s="251">
        <f>SUM(C47:C48)</f>
        <v>8379356</v>
      </c>
      <c r="D49" s="253">
        <f>(C49-B49)/B49</f>
        <v>5.3349594881785735E-2</v>
      </c>
      <c r="E49" s="250">
        <f>SUM(E47:E48)</f>
        <v>7954962</v>
      </c>
      <c r="F49" s="251">
        <f>SUM(F47:F48)</f>
        <v>8178662</v>
      </c>
      <c r="G49" s="253">
        <f>(F49-E49)/E49</f>
        <v>2.8120813147818932E-2</v>
      </c>
      <c r="H49" s="250">
        <f>SUM(H47:H48)</f>
        <v>7954962</v>
      </c>
      <c r="I49" s="251">
        <f>SUM(I47:I48)</f>
        <v>8198525</v>
      </c>
      <c r="J49" s="253">
        <f>(I49-H49)/H49</f>
        <v>3.0617745251328668E-2</v>
      </c>
      <c r="K49" s="250">
        <f>SUM(K47:K48)</f>
        <v>7954962</v>
      </c>
      <c r="L49" s="251">
        <f>SUM(L47:L48)</f>
        <v>8384960</v>
      </c>
      <c r="M49" s="253">
        <f>(L49-K49)/K49</f>
        <v>5.4054060849065021E-2</v>
      </c>
    </row>
    <row r="50" spans="1:27" ht="15.75" thickBot="1" x14ac:dyDescent="0.3">
      <c r="A50" s="260" t="s">
        <v>190</v>
      </c>
      <c r="B50" s="261">
        <f>+B45+B49</f>
        <v>13178052</v>
      </c>
      <c r="C50" s="251">
        <f>+C45+C49</f>
        <v>13729834</v>
      </c>
      <c r="D50" s="262">
        <f>(C50-B50)/B50</f>
        <v>4.18712871978347E-2</v>
      </c>
      <c r="E50" s="261">
        <f>+E45+E49</f>
        <v>13178052</v>
      </c>
      <c r="F50" s="251">
        <f>+F45+F49</f>
        <v>13437908</v>
      </c>
      <c r="G50" s="262">
        <f>(F50-E50)/E50</f>
        <v>1.9718847671871383E-2</v>
      </c>
      <c r="H50" s="261">
        <f>+H45+H49</f>
        <v>13178052</v>
      </c>
      <c r="I50" s="251">
        <f>+I45+I49</f>
        <v>13474964</v>
      </c>
      <c r="J50" s="262">
        <f>(I50-H50)/H50</f>
        <v>2.2530795902156099E-2</v>
      </c>
      <c r="K50" s="261">
        <f>+K45+K49</f>
        <v>13178052</v>
      </c>
      <c r="L50" s="251">
        <f>+L45+L49</f>
        <v>13699554</v>
      </c>
      <c r="M50" s="262">
        <f>(L50-K50)/K50</f>
        <v>3.9573527255773462E-2</v>
      </c>
    </row>
    <row r="53" spans="1:27" ht="18.75" x14ac:dyDescent="0.3">
      <c r="A53" s="264" t="s">
        <v>191</v>
      </c>
      <c r="B53" s="362"/>
      <c r="C53" s="362"/>
      <c r="D53" s="362"/>
      <c r="E53" s="362"/>
    </row>
    <row r="54" spans="1:27" x14ac:dyDescent="0.25">
      <c r="A54" s="333" t="s">
        <v>219</v>
      </c>
      <c r="B54" s="362"/>
      <c r="C54" s="362"/>
      <c r="D54" s="362"/>
      <c r="E54" s="362"/>
    </row>
    <row r="55" spans="1:27" x14ac:dyDescent="0.25">
      <c r="A55" s="332" t="s">
        <v>88</v>
      </c>
      <c r="B55" s="362"/>
      <c r="C55" s="362"/>
      <c r="D55" s="362"/>
      <c r="E55" s="362"/>
    </row>
    <row r="56" spans="1:27" x14ac:dyDescent="0.25">
      <c r="A56" s="265" t="s">
        <v>159</v>
      </c>
      <c r="B56" s="362"/>
      <c r="C56" s="362"/>
      <c r="D56" s="362"/>
      <c r="E56" s="362"/>
    </row>
    <row r="57" spans="1:27" ht="15.75" thickBot="1" x14ac:dyDescent="0.3">
      <c r="B57" s="364"/>
      <c r="C57" s="364"/>
      <c r="D57" s="364"/>
      <c r="E57" s="364"/>
    </row>
    <row r="58" spans="1:27" s="340" customFormat="1" ht="15.75" customHeight="1" thickBot="1" x14ac:dyDescent="0.3">
      <c r="A58" s="341"/>
      <c r="B58" s="342" t="s">
        <v>146</v>
      </c>
      <c r="C58" s="342" t="s">
        <v>55</v>
      </c>
      <c r="D58" s="343" t="s">
        <v>222</v>
      </c>
      <c r="E58" s="342" t="s">
        <v>55</v>
      </c>
      <c r="F58" s="342" t="s">
        <v>46</v>
      </c>
      <c r="G58" s="344" t="s">
        <v>150</v>
      </c>
      <c r="H58" s="342" t="s">
        <v>55</v>
      </c>
      <c r="I58" s="345" t="s">
        <v>232</v>
      </c>
      <c r="J58" s="342" t="s">
        <v>55</v>
      </c>
      <c r="K58" s="342" t="s">
        <v>46</v>
      </c>
      <c r="L58" s="344" t="s">
        <v>146</v>
      </c>
      <c r="M58" s="345" t="s">
        <v>222</v>
      </c>
      <c r="N58" s="344" t="s">
        <v>148</v>
      </c>
      <c r="O58" s="345" t="s">
        <v>231</v>
      </c>
      <c r="P58" s="344" t="s">
        <v>152</v>
      </c>
      <c r="Q58" s="345" t="s">
        <v>236</v>
      </c>
      <c r="R58" s="344" t="s">
        <v>154</v>
      </c>
      <c r="S58" s="342" t="s">
        <v>55</v>
      </c>
      <c r="T58" s="345" t="s">
        <v>242</v>
      </c>
      <c r="U58" s="342" t="s">
        <v>55</v>
      </c>
      <c r="V58" s="342" t="s">
        <v>46</v>
      </c>
      <c r="W58" s="344" t="s">
        <v>155</v>
      </c>
      <c r="X58" s="342" t="s">
        <v>55</v>
      </c>
      <c r="Y58" s="345" t="s">
        <v>243</v>
      </c>
      <c r="Z58" s="342" t="s">
        <v>55</v>
      </c>
      <c r="AA58" s="342" t="s">
        <v>46</v>
      </c>
    </row>
    <row r="59" spans="1:27" ht="15.75" thickTop="1" x14ac:dyDescent="0.25">
      <c r="A59" s="266" t="s">
        <v>193</v>
      </c>
      <c r="B59" s="232"/>
      <c r="C59" s="232"/>
      <c r="D59" s="267"/>
      <c r="E59" s="232"/>
      <c r="F59" s="232"/>
      <c r="G59" s="232"/>
      <c r="H59" s="232"/>
      <c r="I59" s="267"/>
      <c r="J59" s="232"/>
      <c r="K59" s="232"/>
      <c r="L59" s="232"/>
      <c r="M59" s="267"/>
      <c r="N59" s="232"/>
      <c r="O59" s="267"/>
      <c r="P59" s="232"/>
      <c r="Q59" s="267"/>
      <c r="R59" s="232"/>
      <c r="S59" s="232"/>
      <c r="T59" s="267"/>
      <c r="U59" s="232"/>
      <c r="V59" s="232"/>
      <c r="W59" s="232"/>
      <c r="X59" s="232"/>
      <c r="Y59" s="267"/>
      <c r="Z59" s="232"/>
      <c r="AA59" s="232"/>
    </row>
    <row r="60" spans="1:27" ht="15.75" thickBot="1" x14ac:dyDescent="0.3">
      <c r="A60" s="268" t="s">
        <v>194</v>
      </c>
      <c r="B60" s="269">
        <v>1726220</v>
      </c>
      <c r="C60" s="270">
        <f t="shared" ref="C60:C81" si="12">+B60/$B$60</f>
        <v>1</v>
      </c>
      <c r="D60" s="271">
        <v>2104216</v>
      </c>
      <c r="E60" s="270">
        <f t="shared" ref="E60:E81" si="13">+D60/$D$60</f>
        <v>1</v>
      </c>
      <c r="F60" s="270">
        <f t="shared" ref="F60:F74" si="14">(D60-B60)/B60</f>
        <v>0.21897324790582892</v>
      </c>
      <c r="G60" s="269">
        <v>3583401</v>
      </c>
      <c r="H60" s="270">
        <f t="shared" ref="H60:H81" si="15">+G60/$G$60</f>
        <v>1</v>
      </c>
      <c r="I60" s="271">
        <v>4205283</v>
      </c>
      <c r="J60" s="270">
        <f t="shared" ref="J60:J81" si="16">+I60/$I$60</f>
        <v>1</v>
      </c>
      <c r="K60" s="270">
        <f t="shared" ref="K60:K81" si="17">(I60-G60)/G60</f>
        <v>0.17354518793738127</v>
      </c>
      <c r="L60" s="269">
        <v>1726220</v>
      </c>
      <c r="M60" s="271">
        <v>2104216</v>
      </c>
      <c r="N60" s="316">
        <v>1857181</v>
      </c>
      <c r="O60" s="323">
        <v>2101067</v>
      </c>
      <c r="P60" s="269">
        <v>2099200</v>
      </c>
      <c r="Q60" s="271">
        <v>2214012</v>
      </c>
      <c r="R60" s="269">
        <v>2262816</v>
      </c>
      <c r="S60" s="270">
        <f>+R60/$R$60</f>
        <v>1</v>
      </c>
      <c r="T60" s="271">
        <v>2257345</v>
      </c>
      <c r="U60" s="270">
        <f t="shared" ref="U60:U81" si="18">+T60/$T$60</f>
        <v>1</v>
      </c>
      <c r="V60" s="270">
        <f>(T60-R60)/R60</f>
        <v>-2.4177838586964206E-3</v>
      </c>
      <c r="W60" s="269">
        <f>+L60+N60+P60+R60</f>
        <v>7945417</v>
      </c>
      <c r="X60" s="270">
        <f>+W60/$W$60</f>
        <v>1</v>
      </c>
      <c r="Y60" s="271">
        <f>+M60+O60+Q60+T60</f>
        <v>8676640</v>
      </c>
      <c r="Z60" s="270">
        <f t="shared" ref="Z60:Z81" si="19">+Y60/$Y$60</f>
        <v>1</v>
      </c>
      <c r="AA60" s="270">
        <f>(Y60-W60)/W60</f>
        <v>9.2030789573410682E-2</v>
      </c>
    </row>
    <row r="61" spans="1:27" ht="15.75" thickBot="1" x14ac:dyDescent="0.3">
      <c r="A61" s="272" t="s">
        <v>195</v>
      </c>
      <c r="B61" s="274">
        <v>-972781</v>
      </c>
      <c r="C61" s="275">
        <f t="shared" si="12"/>
        <v>-0.56353245820347353</v>
      </c>
      <c r="D61" s="276">
        <v>-1196310</v>
      </c>
      <c r="E61" s="275">
        <f t="shared" si="13"/>
        <v>-0.56853003684032433</v>
      </c>
      <c r="F61" s="275">
        <f t="shared" si="14"/>
        <v>0.22978347644536642</v>
      </c>
      <c r="G61" s="274">
        <v>-2017246</v>
      </c>
      <c r="H61" s="275">
        <f t="shared" si="15"/>
        <v>-0.56294174165827382</v>
      </c>
      <c r="I61" s="276">
        <v>-2399295</v>
      </c>
      <c r="J61" s="275">
        <f t="shared" si="16"/>
        <v>-0.57054305263165406</v>
      </c>
      <c r="K61" s="275">
        <f t="shared" si="17"/>
        <v>0.18939137814624493</v>
      </c>
      <c r="L61" s="274">
        <v>-972781</v>
      </c>
      <c r="M61" s="276">
        <v>-1196310</v>
      </c>
      <c r="N61" s="317">
        <v>-1044465</v>
      </c>
      <c r="O61" s="324">
        <v>-1202985</v>
      </c>
      <c r="P61" s="274">
        <v>-1187913</v>
      </c>
      <c r="Q61" s="276">
        <v>-1279858</v>
      </c>
      <c r="R61" s="274">
        <v>-1302007</v>
      </c>
      <c r="S61" s="275">
        <f t="shared" ref="S61:S87" si="20">+R61/$R$60</f>
        <v>-0.57539234299209485</v>
      </c>
      <c r="T61" s="276">
        <v>-1286878</v>
      </c>
      <c r="U61" s="275">
        <f t="shared" si="18"/>
        <v>-0.57008476772491579</v>
      </c>
      <c r="V61" s="275">
        <f t="shared" ref="V61:V87" si="21">(T61-R61)/R61</f>
        <v>-1.1619753196411387E-2</v>
      </c>
      <c r="W61" s="274">
        <f>+L61+N61+P61+R61</f>
        <v>-4507166</v>
      </c>
      <c r="X61" s="275">
        <f>+W61/$W$60</f>
        <v>-0.56726613593723274</v>
      </c>
      <c r="Y61" s="276">
        <f t="shared" ref="Y61:Y87" si="22">+M61+O61+Q61+T61</f>
        <v>-4966031</v>
      </c>
      <c r="Z61" s="275">
        <f t="shared" si="19"/>
        <v>-0.57234493997676517</v>
      </c>
      <c r="AA61" s="275">
        <f t="shared" ref="AA61:AA66" si="23">(Y61-W61)/W61</f>
        <v>0.10180787661248776</v>
      </c>
    </row>
    <row r="62" spans="1:27" ht="15.75" thickBot="1" x14ac:dyDescent="0.3">
      <c r="A62" s="277" t="s">
        <v>196</v>
      </c>
      <c r="B62" s="278">
        <f>SUM(B60:B61)</f>
        <v>753439</v>
      </c>
      <c r="C62" s="279">
        <f t="shared" si="12"/>
        <v>0.43646754179652653</v>
      </c>
      <c r="D62" s="280">
        <f>SUM(D60:D61)</f>
        <v>907906</v>
      </c>
      <c r="E62" s="279">
        <f t="shared" si="13"/>
        <v>0.43146996315967562</v>
      </c>
      <c r="F62" s="279">
        <f t="shared" si="14"/>
        <v>0.205015933605773</v>
      </c>
      <c r="G62" s="278">
        <f>SUM(G60:G61)</f>
        <v>1566155</v>
      </c>
      <c r="H62" s="279">
        <f t="shared" si="15"/>
        <v>0.43705825834172618</v>
      </c>
      <c r="I62" s="280">
        <f>SUM(I60:I61)</f>
        <v>1805988</v>
      </c>
      <c r="J62" s="279">
        <f t="shared" si="16"/>
        <v>0.42945694736834594</v>
      </c>
      <c r="K62" s="279">
        <f t="shared" si="17"/>
        <v>0.15313490682595274</v>
      </c>
      <c r="L62" s="278">
        <f t="shared" ref="L62:R62" si="24">SUM(L60:L61)</f>
        <v>753439</v>
      </c>
      <c r="M62" s="280">
        <f t="shared" si="24"/>
        <v>907906</v>
      </c>
      <c r="N62" s="318">
        <f t="shared" si="24"/>
        <v>812716</v>
      </c>
      <c r="O62" s="325">
        <f t="shared" si="24"/>
        <v>898082</v>
      </c>
      <c r="P62" s="278">
        <f t="shared" si="24"/>
        <v>911287</v>
      </c>
      <c r="Q62" s="280">
        <f t="shared" si="24"/>
        <v>934154</v>
      </c>
      <c r="R62" s="278">
        <f t="shared" si="24"/>
        <v>960809</v>
      </c>
      <c r="S62" s="279">
        <f t="shared" si="20"/>
        <v>0.4246076570079052</v>
      </c>
      <c r="T62" s="280">
        <f>SUM(T60:T61)</f>
        <v>970467</v>
      </c>
      <c r="U62" s="279">
        <f t="shared" si="18"/>
        <v>0.42991523227508421</v>
      </c>
      <c r="V62" s="279">
        <f t="shared" si="21"/>
        <v>1.0051945808167909E-2</v>
      </c>
      <c r="W62" s="278">
        <f>+L62+N62+P62+R62</f>
        <v>3438251</v>
      </c>
      <c r="X62" s="279">
        <f t="shared" ref="X62:X81" si="25">+W62/$W$60</f>
        <v>0.43273386406276726</v>
      </c>
      <c r="Y62" s="280">
        <f t="shared" si="22"/>
        <v>3710609</v>
      </c>
      <c r="Z62" s="279">
        <f t="shared" si="19"/>
        <v>0.42765506002323478</v>
      </c>
      <c r="AA62" s="279">
        <f t="shared" si="23"/>
        <v>7.9214112058718228E-2</v>
      </c>
    </row>
    <row r="63" spans="1:27" ht="15.75" thickBot="1" x14ac:dyDescent="0.3">
      <c r="A63" s="272" t="s">
        <v>7</v>
      </c>
      <c r="B63" s="274">
        <v>-96265</v>
      </c>
      <c r="C63" s="275">
        <f t="shared" si="12"/>
        <v>-5.5766356547832838E-2</v>
      </c>
      <c r="D63" s="276">
        <v>-97009</v>
      </c>
      <c r="E63" s="275">
        <f t="shared" si="13"/>
        <v>-4.6102206237382475E-2</v>
      </c>
      <c r="F63" s="275">
        <f t="shared" si="14"/>
        <v>7.7286656624941568E-3</v>
      </c>
      <c r="G63" s="274">
        <v>-183084</v>
      </c>
      <c r="H63" s="275">
        <f t="shared" si="15"/>
        <v>-5.109224449063892E-2</v>
      </c>
      <c r="I63" s="276">
        <v>-193987</v>
      </c>
      <c r="J63" s="275">
        <f t="shared" si="16"/>
        <v>-4.6129356811420302E-2</v>
      </c>
      <c r="K63" s="275">
        <f t="shared" si="17"/>
        <v>5.9551899674466363E-2</v>
      </c>
      <c r="L63" s="274">
        <v>-96265</v>
      </c>
      <c r="M63" s="276">
        <v>-97009</v>
      </c>
      <c r="N63" s="317">
        <v>-86819</v>
      </c>
      <c r="O63" s="324">
        <v>-96978</v>
      </c>
      <c r="P63" s="274">
        <v>-95397</v>
      </c>
      <c r="Q63" s="276">
        <v>-99902</v>
      </c>
      <c r="R63" s="274">
        <v>-93329</v>
      </c>
      <c r="S63" s="275">
        <f t="shared" si="20"/>
        <v>-4.1244626164920167E-2</v>
      </c>
      <c r="T63" s="276">
        <v>-107211</v>
      </c>
      <c r="U63" s="275">
        <f t="shared" si="18"/>
        <v>-4.7494290859394557E-2</v>
      </c>
      <c r="V63" s="275">
        <f t="shared" si="21"/>
        <v>0.1487426201930804</v>
      </c>
      <c r="W63" s="274">
        <f t="shared" ref="W63:W87" si="26">+L63+N63+P63+R63</f>
        <v>-371810</v>
      </c>
      <c r="X63" s="275">
        <f t="shared" si="25"/>
        <v>-4.6795530052104253E-2</v>
      </c>
      <c r="Y63" s="276">
        <f t="shared" si="22"/>
        <v>-401100</v>
      </c>
      <c r="Z63" s="275">
        <f t="shared" si="19"/>
        <v>-4.6227571963340645E-2</v>
      </c>
      <c r="AA63" s="275">
        <f t="shared" si="23"/>
        <v>7.8776794599392158E-2</v>
      </c>
    </row>
    <row r="64" spans="1:27" ht="15.75" thickBot="1" x14ac:dyDescent="0.3">
      <c r="A64" s="272" t="s">
        <v>8</v>
      </c>
      <c r="B64" s="274">
        <v>-436316</v>
      </c>
      <c r="C64" s="275">
        <f t="shared" si="12"/>
        <v>-0.25275804937956925</v>
      </c>
      <c r="D64" s="276">
        <v>-547935</v>
      </c>
      <c r="E64" s="275">
        <f t="shared" si="13"/>
        <v>-0.26039864728716061</v>
      </c>
      <c r="F64" s="275">
        <f t="shared" si="14"/>
        <v>0.25582146884368212</v>
      </c>
      <c r="G64" s="274">
        <v>-956200</v>
      </c>
      <c r="H64" s="275">
        <f t="shared" si="15"/>
        <v>-0.26684147266800451</v>
      </c>
      <c r="I64" s="276">
        <v>-1128655</v>
      </c>
      <c r="J64" s="275">
        <f t="shared" si="16"/>
        <v>-0.26838978494431887</v>
      </c>
      <c r="K64" s="275">
        <f t="shared" si="17"/>
        <v>0.18035452834135118</v>
      </c>
      <c r="L64" s="274">
        <v>-436316</v>
      </c>
      <c r="M64" s="276">
        <v>-547935</v>
      </c>
      <c r="N64" s="317">
        <v>-519884</v>
      </c>
      <c r="O64" s="324">
        <v>-580720</v>
      </c>
      <c r="P64" s="274">
        <v>-561107</v>
      </c>
      <c r="Q64" s="276">
        <v>-596608</v>
      </c>
      <c r="R64" s="274">
        <v>-627195</v>
      </c>
      <c r="S64" s="275">
        <f t="shared" si="20"/>
        <v>-0.27717454711297779</v>
      </c>
      <c r="T64" s="276">
        <v>-659603</v>
      </c>
      <c r="U64" s="275">
        <f t="shared" si="18"/>
        <v>-0.29220300840146279</v>
      </c>
      <c r="V64" s="275">
        <f t="shared" si="21"/>
        <v>5.1671330288028443E-2</v>
      </c>
      <c r="W64" s="274">
        <f t="shared" si="26"/>
        <v>-2144502</v>
      </c>
      <c r="X64" s="275">
        <f t="shared" si="25"/>
        <v>-0.26990427311744619</v>
      </c>
      <c r="Y64" s="276">
        <f t="shared" si="22"/>
        <v>-2384866</v>
      </c>
      <c r="Z64" s="275">
        <f t="shared" si="19"/>
        <v>-0.27486054509579744</v>
      </c>
      <c r="AA64" s="275">
        <f t="shared" si="23"/>
        <v>0.11208383111790057</v>
      </c>
    </row>
    <row r="65" spans="1:27" ht="15.75" thickBot="1" x14ac:dyDescent="0.3">
      <c r="A65" s="272" t="s">
        <v>84</v>
      </c>
      <c r="B65" s="274">
        <v>-32449</v>
      </c>
      <c r="C65" s="275">
        <f t="shared" si="12"/>
        <v>-1.8797719873480785E-2</v>
      </c>
      <c r="D65" s="276">
        <v>-34692</v>
      </c>
      <c r="E65" s="275">
        <f t="shared" si="13"/>
        <v>-1.6486900584350657E-2</v>
      </c>
      <c r="F65" s="275">
        <f t="shared" si="14"/>
        <v>6.9123855896945974E-2</v>
      </c>
      <c r="G65" s="274">
        <v>-64634</v>
      </c>
      <c r="H65" s="275">
        <f t="shared" si="15"/>
        <v>-1.8037054742129056E-2</v>
      </c>
      <c r="I65" s="276">
        <v>-69304</v>
      </c>
      <c r="J65" s="275">
        <f t="shared" si="16"/>
        <v>-1.6480222615219951E-2</v>
      </c>
      <c r="K65" s="275">
        <f t="shared" si="17"/>
        <v>7.2252993780363275E-2</v>
      </c>
      <c r="L65" s="274">
        <v>-32449</v>
      </c>
      <c r="M65" s="276">
        <v>-34692</v>
      </c>
      <c r="N65" s="317">
        <v>-32185</v>
      </c>
      <c r="O65" s="324">
        <v>-34612</v>
      </c>
      <c r="P65" s="274">
        <v>-31886</v>
      </c>
      <c r="Q65" s="276">
        <v>-37705</v>
      </c>
      <c r="R65" s="274">
        <v>-40926</v>
      </c>
      <c r="S65" s="275">
        <f t="shared" si="20"/>
        <v>-1.8086313690551949E-2</v>
      </c>
      <c r="T65" s="276">
        <v>-40685</v>
      </c>
      <c r="U65" s="275">
        <f t="shared" si="18"/>
        <v>-1.802338588031515E-2</v>
      </c>
      <c r="V65" s="275">
        <f t="shared" si="21"/>
        <v>-5.8886771245662906E-3</v>
      </c>
      <c r="W65" s="274">
        <f t="shared" si="26"/>
        <v>-137446</v>
      </c>
      <c r="X65" s="275">
        <f t="shared" si="25"/>
        <v>-1.7298777395824538E-2</v>
      </c>
      <c r="Y65" s="276">
        <f t="shared" si="22"/>
        <v>-147694</v>
      </c>
      <c r="Z65" s="275">
        <f t="shared" si="19"/>
        <v>-1.7022026959744786E-2</v>
      </c>
      <c r="AA65" s="275">
        <f t="shared" si="23"/>
        <v>7.4560190911339724E-2</v>
      </c>
    </row>
    <row r="66" spans="1:27" ht="15.75" thickBot="1" x14ac:dyDescent="0.3">
      <c r="A66" s="272" t="s">
        <v>197</v>
      </c>
      <c r="B66" s="274">
        <v>8166</v>
      </c>
      <c r="C66" s="275">
        <f t="shared" si="12"/>
        <v>4.730567366847795E-3</v>
      </c>
      <c r="D66" s="276">
        <v>3848</v>
      </c>
      <c r="E66" s="275">
        <f t="shared" si="13"/>
        <v>1.8287096001551172E-3</v>
      </c>
      <c r="F66" s="275">
        <f t="shared" si="14"/>
        <v>-0.52877785941709532</v>
      </c>
      <c r="G66" s="274">
        <v>7880</v>
      </c>
      <c r="H66" s="275">
        <f t="shared" si="15"/>
        <v>2.1990282416062281E-3</v>
      </c>
      <c r="I66" s="276">
        <v>15786</v>
      </c>
      <c r="J66" s="275">
        <f t="shared" si="16"/>
        <v>3.7538496220111701E-3</v>
      </c>
      <c r="K66" s="275">
        <f t="shared" si="17"/>
        <v>1.0032994923857868</v>
      </c>
      <c r="L66" s="274">
        <v>8166</v>
      </c>
      <c r="M66" s="276">
        <v>3848</v>
      </c>
      <c r="N66" s="317">
        <v>-286</v>
      </c>
      <c r="O66" s="324">
        <v>11938</v>
      </c>
      <c r="P66" s="274">
        <v>-4707</v>
      </c>
      <c r="Q66" s="276">
        <v>1152</v>
      </c>
      <c r="R66" s="274">
        <v>-554</v>
      </c>
      <c r="S66" s="275">
        <f t="shared" si="20"/>
        <v>-2.4482768373566388E-4</v>
      </c>
      <c r="T66" s="276">
        <v>-1065</v>
      </c>
      <c r="U66" s="275">
        <f t="shared" si="18"/>
        <v>-4.7179319067311377E-4</v>
      </c>
      <c r="V66" s="275">
        <f t="shared" si="21"/>
        <v>0.92238267148014441</v>
      </c>
      <c r="W66" s="274">
        <f t="shared" si="26"/>
        <v>2619</v>
      </c>
      <c r="X66" s="275">
        <f t="shared" si="25"/>
        <v>3.2962398323461186E-4</v>
      </c>
      <c r="Y66" s="276">
        <f t="shared" si="22"/>
        <v>15873</v>
      </c>
      <c r="Z66" s="275">
        <f t="shared" si="19"/>
        <v>1.8293947887661583E-3</v>
      </c>
      <c r="AA66" s="275">
        <f t="shared" si="23"/>
        <v>5.0607101947308131</v>
      </c>
    </row>
    <row r="67" spans="1:27" ht="15.75" thickBot="1" x14ac:dyDescent="0.3">
      <c r="A67" s="272" t="s">
        <v>144</v>
      </c>
      <c r="B67" s="274">
        <v>2206</v>
      </c>
      <c r="C67" s="275">
        <f t="shared" si="12"/>
        <v>1.2779367635643198E-3</v>
      </c>
      <c r="D67" s="276">
        <v>1169</v>
      </c>
      <c r="E67" s="275">
        <f t="shared" si="13"/>
        <v>5.5555133123215493E-4</v>
      </c>
      <c r="F67" s="275">
        <f t="shared" si="14"/>
        <v>-0.4700815956482321</v>
      </c>
      <c r="G67" s="274">
        <v>2091</v>
      </c>
      <c r="H67" s="275">
        <f t="shared" si="15"/>
        <v>5.8352386461911466E-4</v>
      </c>
      <c r="I67" s="276">
        <v>8556</v>
      </c>
      <c r="J67" s="275">
        <f t="shared" si="16"/>
        <v>2.0345836415765596E-3</v>
      </c>
      <c r="K67" s="275">
        <f t="shared" si="17"/>
        <v>3.0918220946915351</v>
      </c>
      <c r="L67" s="274">
        <v>2206</v>
      </c>
      <c r="M67" s="276">
        <v>1169</v>
      </c>
      <c r="N67" s="317">
        <v>-115</v>
      </c>
      <c r="O67" s="324">
        <v>7387</v>
      </c>
      <c r="P67" s="274">
        <v>-3726</v>
      </c>
      <c r="Q67" s="276">
        <v>8885</v>
      </c>
      <c r="R67" s="274">
        <v>-2792</v>
      </c>
      <c r="S67" s="275">
        <f t="shared" si="20"/>
        <v>-1.2338608176714323E-3</v>
      </c>
      <c r="T67" s="276">
        <v>4708</v>
      </c>
      <c r="U67" s="275">
        <f t="shared" si="18"/>
        <v>2.0856360015859337E-3</v>
      </c>
      <c r="V67" s="275">
        <f t="shared" si="21"/>
        <v>-2.6862464183381087</v>
      </c>
      <c r="W67" s="274">
        <f t="shared" si="26"/>
        <v>-4427</v>
      </c>
      <c r="X67" s="275">
        <f t="shared" si="25"/>
        <v>-5.5717654592578336E-4</v>
      </c>
      <c r="Y67" s="276">
        <f t="shared" si="22"/>
        <v>22149</v>
      </c>
      <c r="Z67" s="275">
        <f t="shared" si="19"/>
        <v>2.5527162588283021E-3</v>
      </c>
      <c r="AA67" s="275" t="s">
        <v>131</v>
      </c>
    </row>
    <row r="68" spans="1:27" ht="15.75" thickBot="1" x14ac:dyDescent="0.3">
      <c r="A68" s="268" t="s">
        <v>198</v>
      </c>
      <c r="B68" s="269">
        <f>SUM(B62:B67)</f>
        <v>198781</v>
      </c>
      <c r="C68" s="270">
        <f t="shared" si="12"/>
        <v>0.11515392012605577</v>
      </c>
      <c r="D68" s="271">
        <f>SUM(D62:D67)</f>
        <v>233287</v>
      </c>
      <c r="E68" s="270">
        <f t="shared" si="13"/>
        <v>0.11086646998216913</v>
      </c>
      <c r="F68" s="270">
        <f t="shared" si="14"/>
        <v>0.17358801897565662</v>
      </c>
      <c r="G68" s="269">
        <f>SUM(G62:G67)</f>
        <v>372208</v>
      </c>
      <c r="H68" s="270">
        <f t="shared" si="15"/>
        <v>0.10387003854717906</v>
      </c>
      <c r="I68" s="271">
        <f>SUM(I62:I67)</f>
        <v>438384</v>
      </c>
      <c r="J68" s="270">
        <f t="shared" si="16"/>
        <v>0.10424601626097459</v>
      </c>
      <c r="K68" s="270">
        <f t="shared" si="17"/>
        <v>0.17779306194385935</v>
      </c>
      <c r="L68" s="269">
        <f t="shared" ref="L68:R68" si="27">SUM(L62:L67)</f>
        <v>198781</v>
      </c>
      <c r="M68" s="271">
        <f t="shared" si="27"/>
        <v>233287</v>
      </c>
      <c r="N68" s="316">
        <f t="shared" si="27"/>
        <v>173427</v>
      </c>
      <c r="O68" s="323">
        <f t="shared" si="27"/>
        <v>205097</v>
      </c>
      <c r="P68" s="269">
        <f t="shared" si="27"/>
        <v>214464</v>
      </c>
      <c r="Q68" s="271">
        <f t="shared" si="27"/>
        <v>209976</v>
      </c>
      <c r="R68" s="269">
        <f t="shared" si="27"/>
        <v>196013</v>
      </c>
      <c r="S68" s="270">
        <f t="shared" si="20"/>
        <v>8.6623481538048164E-2</v>
      </c>
      <c r="T68" s="271">
        <f>SUM(T62:T67)</f>
        <v>166611</v>
      </c>
      <c r="U68" s="270">
        <f t="shared" si="18"/>
        <v>7.3808389944824568E-2</v>
      </c>
      <c r="V68" s="270">
        <f t="shared" si="21"/>
        <v>-0.15000025508512191</v>
      </c>
      <c r="W68" s="269">
        <f t="shared" si="26"/>
        <v>782685</v>
      </c>
      <c r="X68" s="270">
        <f t="shared" si="25"/>
        <v>9.8507730934701096E-2</v>
      </c>
      <c r="Y68" s="271">
        <f t="shared" si="22"/>
        <v>814971</v>
      </c>
      <c r="Z68" s="270">
        <f t="shared" si="19"/>
        <v>9.3927027051946374E-2</v>
      </c>
      <c r="AA68" s="270">
        <f t="shared" ref="AA68:AA74" si="28">(Y68-W68)/W68</f>
        <v>4.1250311427969109E-2</v>
      </c>
    </row>
    <row r="69" spans="1:27" ht="15.75" thickBot="1" x14ac:dyDescent="0.3">
      <c r="A69" s="272" t="s">
        <v>51</v>
      </c>
      <c r="B69" s="274">
        <v>3035</v>
      </c>
      <c r="C69" s="275">
        <f t="shared" si="12"/>
        <v>1.7581768256653267E-3</v>
      </c>
      <c r="D69" s="276">
        <v>2165</v>
      </c>
      <c r="E69" s="275">
        <f t="shared" si="13"/>
        <v>1.0288867682785418E-3</v>
      </c>
      <c r="F69" s="275">
        <f t="shared" si="14"/>
        <v>-0.28665568369028005</v>
      </c>
      <c r="G69" s="274">
        <v>4956</v>
      </c>
      <c r="H69" s="275">
        <f t="shared" si="15"/>
        <v>1.3830436504315314E-3</v>
      </c>
      <c r="I69" s="276">
        <v>4647</v>
      </c>
      <c r="J69" s="275">
        <f t="shared" si="16"/>
        <v>1.1050385907440713E-3</v>
      </c>
      <c r="K69" s="275">
        <f t="shared" si="17"/>
        <v>-6.2348668280871669E-2</v>
      </c>
      <c r="L69" s="274">
        <v>3035</v>
      </c>
      <c r="M69" s="276">
        <v>2165</v>
      </c>
      <c r="N69" s="317">
        <v>1921</v>
      </c>
      <c r="O69" s="324">
        <v>2482</v>
      </c>
      <c r="P69" s="274">
        <v>2291</v>
      </c>
      <c r="Q69" s="276">
        <v>3061</v>
      </c>
      <c r="R69" s="274">
        <v>2581</v>
      </c>
      <c r="S69" s="275">
        <f t="shared" si="20"/>
        <v>1.1406141727829395E-3</v>
      </c>
      <c r="T69" s="276">
        <v>3274</v>
      </c>
      <c r="U69" s="275">
        <f t="shared" si="18"/>
        <v>1.450376437806361E-3</v>
      </c>
      <c r="V69" s="275">
        <f t="shared" si="21"/>
        <v>0.26850058117008913</v>
      </c>
      <c r="W69" s="274">
        <f t="shared" si="26"/>
        <v>9828</v>
      </c>
      <c r="X69" s="275">
        <f t="shared" si="25"/>
        <v>1.2369394834783373E-3</v>
      </c>
      <c r="Y69" s="276">
        <f t="shared" si="22"/>
        <v>10982</v>
      </c>
      <c r="Z69" s="275">
        <f t="shared" si="19"/>
        <v>1.2656973206218076E-3</v>
      </c>
      <c r="AA69" s="275">
        <f t="shared" si="28"/>
        <v>0.11741961741961741</v>
      </c>
    </row>
    <row r="70" spans="1:27" ht="15.75" thickBot="1" x14ac:dyDescent="0.3">
      <c r="A70" s="272" t="s">
        <v>11</v>
      </c>
      <c r="B70" s="274">
        <v>-50910</v>
      </c>
      <c r="C70" s="275">
        <f t="shared" si="12"/>
        <v>-2.9492185237107667E-2</v>
      </c>
      <c r="D70" s="276">
        <v>-70846</v>
      </c>
      <c r="E70" s="275">
        <f t="shared" si="13"/>
        <v>-3.3668596760028438E-2</v>
      </c>
      <c r="F70" s="275">
        <f t="shared" si="14"/>
        <v>0.39159300726772739</v>
      </c>
      <c r="G70" s="274">
        <v>-110270</v>
      </c>
      <c r="H70" s="275">
        <f t="shared" si="15"/>
        <v>-3.0772442157603906E-2</v>
      </c>
      <c r="I70" s="276">
        <v>-152953</v>
      </c>
      <c r="J70" s="275">
        <f t="shared" si="16"/>
        <v>-3.6371630636986854E-2</v>
      </c>
      <c r="K70" s="275">
        <f t="shared" si="17"/>
        <v>0.38707717420876031</v>
      </c>
      <c r="L70" s="274">
        <v>-50910</v>
      </c>
      <c r="M70" s="276">
        <v>-70846</v>
      </c>
      <c r="N70" s="317">
        <v>-59360</v>
      </c>
      <c r="O70" s="324">
        <v>-82107</v>
      </c>
      <c r="P70" s="274">
        <v>-60814</v>
      </c>
      <c r="Q70" s="276">
        <v>-85697</v>
      </c>
      <c r="R70" s="274">
        <v>-63812</v>
      </c>
      <c r="S70" s="275">
        <f t="shared" si="20"/>
        <v>-2.8200260206751235E-2</v>
      </c>
      <c r="T70" s="276">
        <v>-85987</v>
      </c>
      <c r="U70" s="275">
        <f t="shared" si="18"/>
        <v>-3.8092094916815991E-2</v>
      </c>
      <c r="V70" s="275">
        <f t="shared" si="21"/>
        <v>0.34750517144110826</v>
      </c>
      <c r="W70" s="274">
        <f t="shared" si="26"/>
        <v>-234896</v>
      </c>
      <c r="X70" s="275">
        <f t="shared" si="25"/>
        <v>-2.956370949441672E-2</v>
      </c>
      <c r="Y70" s="276">
        <f t="shared" si="22"/>
        <v>-324637</v>
      </c>
      <c r="Z70" s="275">
        <f t="shared" si="19"/>
        <v>-3.7415059285622082E-2</v>
      </c>
      <c r="AA70" s="275">
        <f t="shared" si="28"/>
        <v>0.38204567127579864</v>
      </c>
    </row>
    <row r="71" spans="1:27" ht="15.75" thickBot="1" x14ac:dyDescent="0.3">
      <c r="A71" s="272" t="s">
        <v>199</v>
      </c>
      <c r="B71" s="274">
        <v>46468</v>
      </c>
      <c r="C71" s="275">
        <f t="shared" si="12"/>
        <v>2.6918932696875255E-2</v>
      </c>
      <c r="D71" s="276">
        <v>50453</v>
      </c>
      <c r="E71" s="275">
        <f t="shared" si="13"/>
        <v>2.3977101210141925E-2</v>
      </c>
      <c r="F71" s="275">
        <f t="shared" si="14"/>
        <v>8.5757940948609793E-2</v>
      </c>
      <c r="G71" s="274">
        <v>46962</v>
      </c>
      <c r="H71" s="275">
        <f t="shared" si="15"/>
        <v>1.3105426939379656E-2</v>
      </c>
      <c r="I71" s="276">
        <v>50494</v>
      </c>
      <c r="J71" s="275">
        <f t="shared" si="16"/>
        <v>1.2007277512595466E-2</v>
      </c>
      <c r="K71" s="275">
        <f t="shared" si="17"/>
        <v>7.5209744048379545E-2</v>
      </c>
      <c r="L71" s="274">
        <v>46468</v>
      </c>
      <c r="M71" s="276">
        <v>50453</v>
      </c>
      <c r="N71" s="317">
        <v>494</v>
      </c>
      <c r="O71" s="324">
        <v>41</v>
      </c>
      <c r="P71" s="274">
        <v>0</v>
      </c>
      <c r="Q71" s="276">
        <v>0</v>
      </c>
      <c r="R71" s="274">
        <v>54</v>
      </c>
      <c r="S71" s="275">
        <f t="shared" si="20"/>
        <v>2.3864070255822834E-5</v>
      </c>
      <c r="T71" s="276">
        <v>51</v>
      </c>
      <c r="U71" s="275">
        <f t="shared" si="18"/>
        <v>2.259291335617728E-5</v>
      </c>
      <c r="V71" s="275">
        <f t="shared" si="21"/>
        <v>-5.5555555555555552E-2</v>
      </c>
      <c r="W71" s="274">
        <f t="shared" si="26"/>
        <v>47016</v>
      </c>
      <c r="X71" s="275">
        <f t="shared" si="25"/>
        <v>5.9173734997168808E-3</v>
      </c>
      <c r="Y71" s="276">
        <f t="shared" si="22"/>
        <v>50545</v>
      </c>
      <c r="Z71" s="275">
        <f t="shared" si="19"/>
        <v>5.8254116800973647E-3</v>
      </c>
      <c r="AA71" s="275">
        <f t="shared" si="28"/>
        <v>7.5059554194316827E-2</v>
      </c>
    </row>
    <row r="72" spans="1:27" ht="15.75" thickBot="1" x14ac:dyDescent="0.3">
      <c r="A72" s="272" t="s">
        <v>200</v>
      </c>
      <c r="B72" s="274">
        <v>5949</v>
      </c>
      <c r="C72" s="275">
        <f t="shared" si="12"/>
        <v>3.4462582984787571E-3</v>
      </c>
      <c r="D72" s="276">
        <v>-9738</v>
      </c>
      <c r="E72" s="275">
        <f t="shared" si="13"/>
        <v>-4.6278518935318428E-3</v>
      </c>
      <c r="F72" s="275">
        <f t="shared" si="14"/>
        <v>-2.6369137670196672</v>
      </c>
      <c r="G72" s="274">
        <v>12914</v>
      </c>
      <c r="H72" s="275">
        <f t="shared" si="15"/>
        <v>3.6038389228556893E-3</v>
      </c>
      <c r="I72" s="276">
        <v>-12353</v>
      </c>
      <c r="J72" s="275">
        <f t="shared" si="16"/>
        <v>-2.937495526460407E-3</v>
      </c>
      <c r="K72" s="275">
        <f t="shared" si="17"/>
        <v>-1.9565587734241907</v>
      </c>
      <c r="L72" s="274">
        <v>5949</v>
      </c>
      <c r="M72" s="276">
        <v>-9738</v>
      </c>
      <c r="N72" s="317">
        <v>6965</v>
      </c>
      <c r="O72" s="324">
        <v>-2615</v>
      </c>
      <c r="P72" s="274">
        <v>1857</v>
      </c>
      <c r="Q72" s="276">
        <v>3685</v>
      </c>
      <c r="R72" s="274">
        <v>12410</v>
      </c>
      <c r="S72" s="275">
        <f t="shared" si="20"/>
        <v>5.4843168865696549E-3</v>
      </c>
      <c r="T72" s="276">
        <v>26</v>
      </c>
      <c r="U72" s="275">
        <f t="shared" si="18"/>
        <v>1.1517955828639397E-5</v>
      </c>
      <c r="V72" s="275">
        <f t="shared" si="21"/>
        <v>-0.99790491539081383</v>
      </c>
      <c r="W72" s="274">
        <f t="shared" si="26"/>
        <v>27181</v>
      </c>
      <c r="X72" s="275">
        <f t="shared" si="25"/>
        <v>3.4209658221840337E-3</v>
      </c>
      <c r="Y72" s="276">
        <f t="shared" si="22"/>
        <v>-8642</v>
      </c>
      <c r="Z72" s="275">
        <f t="shared" si="19"/>
        <v>-9.9600767117225095E-4</v>
      </c>
      <c r="AA72" s="275">
        <f t="shared" si="28"/>
        <v>-1.3179426805489129</v>
      </c>
    </row>
    <row r="73" spans="1:27" ht="15.75" thickBot="1" x14ac:dyDescent="0.3">
      <c r="A73" s="272" t="s">
        <v>201</v>
      </c>
      <c r="B73" s="274">
        <v>-4194</v>
      </c>
      <c r="C73" s="275">
        <f t="shared" si="12"/>
        <v>-2.4295860319078679E-3</v>
      </c>
      <c r="D73" s="276">
        <v>-11041</v>
      </c>
      <c r="E73" s="275">
        <f t="shared" si="13"/>
        <v>-5.2470849000292741E-3</v>
      </c>
      <c r="F73" s="275">
        <f t="shared" si="14"/>
        <v>1.6325703385789223</v>
      </c>
      <c r="G73" s="274">
        <v>-7366</v>
      </c>
      <c r="H73" s="275">
        <f t="shared" si="15"/>
        <v>-2.0555890898060251E-3</v>
      </c>
      <c r="I73" s="276">
        <v>-18527</v>
      </c>
      <c r="J73" s="275">
        <f t="shared" si="16"/>
        <v>-4.4056487993792571E-3</v>
      </c>
      <c r="K73" s="275">
        <f t="shared" si="17"/>
        <v>1.5152049959272333</v>
      </c>
      <c r="L73" s="274">
        <v>-4194</v>
      </c>
      <c r="M73" s="276">
        <v>-11041</v>
      </c>
      <c r="N73" s="317">
        <v>-3172</v>
      </c>
      <c r="O73" s="324">
        <v>-7486</v>
      </c>
      <c r="P73" s="274">
        <v>-10010</v>
      </c>
      <c r="Q73" s="276">
        <v>-14419</v>
      </c>
      <c r="R73" s="274">
        <v>-14784</v>
      </c>
      <c r="S73" s="275">
        <f t="shared" si="20"/>
        <v>-6.5334521233719398E-3</v>
      </c>
      <c r="T73" s="276">
        <v>0</v>
      </c>
      <c r="U73" s="275">
        <f t="shared" si="18"/>
        <v>0</v>
      </c>
      <c r="V73" s="275">
        <f t="shared" si="21"/>
        <v>-1</v>
      </c>
      <c r="W73" s="274">
        <f t="shared" si="26"/>
        <v>-32160</v>
      </c>
      <c r="X73" s="275">
        <f t="shared" si="25"/>
        <v>-4.0476163806128741E-3</v>
      </c>
      <c r="Y73" s="276">
        <f t="shared" si="22"/>
        <v>-32946</v>
      </c>
      <c r="Z73" s="275">
        <f t="shared" si="19"/>
        <v>-3.7970919618654226E-3</v>
      </c>
      <c r="AA73" s="275">
        <f t="shared" si="28"/>
        <v>2.4440298507462686E-2</v>
      </c>
    </row>
    <row r="74" spans="1:27" ht="15.75" thickBot="1" x14ac:dyDescent="0.3">
      <c r="A74" s="272" t="s">
        <v>202</v>
      </c>
      <c r="B74" s="273">
        <v>390</v>
      </c>
      <c r="C74" s="275">
        <f t="shared" si="12"/>
        <v>2.2592717034908643E-4</v>
      </c>
      <c r="D74" s="281">
        <v>185</v>
      </c>
      <c r="E74" s="275">
        <f t="shared" si="13"/>
        <v>8.7918730776688329E-5</v>
      </c>
      <c r="F74" s="275">
        <f t="shared" si="14"/>
        <v>-0.52564102564102566</v>
      </c>
      <c r="G74" s="273">
        <v>1148</v>
      </c>
      <c r="H74" s="275">
        <f t="shared" si="15"/>
        <v>3.2036604332029824E-4</v>
      </c>
      <c r="I74" s="281">
        <v>804</v>
      </c>
      <c r="J74" s="275">
        <f t="shared" si="16"/>
        <v>1.9118808413131768E-4</v>
      </c>
      <c r="K74" s="275">
        <f t="shared" si="17"/>
        <v>-0.29965156794425085</v>
      </c>
      <c r="L74" s="273">
        <v>390</v>
      </c>
      <c r="M74" s="281">
        <v>185</v>
      </c>
      <c r="N74" s="317">
        <v>758</v>
      </c>
      <c r="O74" s="324">
        <v>619</v>
      </c>
      <c r="P74" s="273">
        <v>703</v>
      </c>
      <c r="Q74" s="324">
        <v>1350</v>
      </c>
      <c r="R74" s="273">
        <v>3077</v>
      </c>
      <c r="S74" s="275">
        <f t="shared" si="20"/>
        <v>1.3598100773549418E-3</v>
      </c>
      <c r="T74" s="324">
        <v>3949</v>
      </c>
      <c r="U74" s="275">
        <f t="shared" si="18"/>
        <v>1.7494002910498838E-3</v>
      </c>
      <c r="V74" s="275">
        <f t="shared" si="21"/>
        <v>0.28339291517712056</v>
      </c>
      <c r="W74" s="317">
        <f t="shared" si="26"/>
        <v>4928</v>
      </c>
      <c r="X74" s="275">
        <f t="shared" si="25"/>
        <v>6.2023176379540556E-4</v>
      </c>
      <c r="Y74" s="324">
        <f t="shared" si="22"/>
        <v>6103</v>
      </c>
      <c r="Z74" s="275">
        <f t="shared" si="19"/>
        <v>7.0338287632078775E-4</v>
      </c>
      <c r="AA74" s="275">
        <f t="shared" si="28"/>
        <v>0.23843344155844157</v>
      </c>
    </row>
    <row r="75" spans="1:27" ht="15.75" thickBot="1" x14ac:dyDescent="0.3">
      <c r="A75" s="272" t="s">
        <v>203</v>
      </c>
      <c r="B75" s="273">
        <v>0</v>
      </c>
      <c r="C75" s="275">
        <f t="shared" si="12"/>
        <v>0</v>
      </c>
      <c r="D75" s="281">
        <v>0</v>
      </c>
      <c r="E75" s="275">
        <f t="shared" si="13"/>
        <v>0</v>
      </c>
      <c r="F75" s="275" t="s">
        <v>131</v>
      </c>
      <c r="G75" s="273">
        <v>62</v>
      </c>
      <c r="H75" s="275">
        <f t="shared" si="15"/>
        <v>1.730199885527743E-5</v>
      </c>
      <c r="I75" s="281">
        <v>0</v>
      </c>
      <c r="J75" s="275">
        <f t="shared" si="16"/>
        <v>0</v>
      </c>
      <c r="K75" s="275">
        <f t="shared" si="17"/>
        <v>-1</v>
      </c>
      <c r="L75" s="273">
        <v>0</v>
      </c>
      <c r="M75" s="281">
        <v>0</v>
      </c>
      <c r="N75" s="317">
        <v>62</v>
      </c>
      <c r="O75" s="324">
        <v>0</v>
      </c>
      <c r="P75" s="273">
        <v>19</v>
      </c>
      <c r="Q75" s="281">
        <v>0</v>
      </c>
      <c r="R75" s="273">
        <v>-369</v>
      </c>
      <c r="S75" s="275">
        <f t="shared" si="20"/>
        <v>-1.630711467481227E-4</v>
      </c>
      <c r="T75" s="281">
        <v>28492</v>
      </c>
      <c r="U75" s="275">
        <f t="shared" si="18"/>
        <v>1.2621907594984372E-2</v>
      </c>
      <c r="V75" s="275">
        <f t="shared" si="21"/>
        <v>-78.214092140921409</v>
      </c>
      <c r="W75" s="273">
        <f t="shared" si="26"/>
        <v>-288</v>
      </c>
      <c r="X75" s="275">
        <f t="shared" si="25"/>
        <v>-3.6247310871160066E-5</v>
      </c>
      <c r="Y75" s="324">
        <f t="shared" si="22"/>
        <v>28492</v>
      </c>
      <c r="Z75" s="275">
        <f t="shared" si="19"/>
        <v>3.2837596120157114E-3</v>
      </c>
      <c r="AA75" s="275" t="s">
        <v>131</v>
      </c>
    </row>
    <row r="76" spans="1:27" ht="15.75" thickBot="1" x14ac:dyDescent="0.3">
      <c r="A76" s="277" t="s">
        <v>204</v>
      </c>
      <c r="B76" s="278">
        <f>SUM(B68:B75)</f>
        <v>199519</v>
      </c>
      <c r="C76" s="279">
        <f t="shared" si="12"/>
        <v>0.11558144384840865</v>
      </c>
      <c r="D76" s="280">
        <f>SUM(D68:D75)</f>
        <v>194465</v>
      </c>
      <c r="E76" s="279">
        <f t="shared" si="13"/>
        <v>9.2416843137776733E-2</v>
      </c>
      <c r="F76" s="279">
        <f t="shared" ref="F76:F81" si="29">(D76-B76)/B76</f>
        <v>-2.5330920864679553E-2</v>
      </c>
      <c r="G76" s="278">
        <f>SUM(G68:G75)</f>
        <v>320614</v>
      </c>
      <c r="H76" s="279">
        <f t="shared" si="15"/>
        <v>8.947198485461158E-2</v>
      </c>
      <c r="I76" s="280">
        <f>SUM(I68:I75)</f>
        <v>310496</v>
      </c>
      <c r="J76" s="279">
        <f t="shared" si="16"/>
        <v>7.3834745485618927E-2</v>
      </c>
      <c r="K76" s="279">
        <f t="shared" si="17"/>
        <v>-3.1558197708147495E-2</v>
      </c>
      <c r="L76" s="278">
        <f t="shared" ref="L76:R76" si="30">SUM(L68:L75)</f>
        <v>199519</v>
      </c>
      <c r="M76" s="280">
        <f t="shared" si="30"/>
        <v>194465</v>
      </c>
      <c r="N76" s="318">
        <f t="shared" si="30"/>
        <v>121095</v>
      </c>
      <c r="O76" s="325">
        <f t="shared" si="30"/>
        <v>116031</v>
      </c>
      <c r="P76" s="278">
        <f t="shared" si="30"/>
        <v>148510</v>
      </c>
      <c r="Q76" s="280">
        <f t="shared" si="30"/>
        <v>117956</v>
      </c>
      <c r="R76" s="278">
        <f t="shared" si="30"/>
        <v>135170</v>
      </c>
      <c r="S76" s="279">
        <f t="shared" si="20"/>
        <v>5.9735303268140229E-2</v>
      </c>
      <c r="T76" s="280">
        <f>SUM(T68:T75)</f>
        <v>116416</v>
      </c>
      <c r="U76" s="279">
        <f t="shared" si="18"/>
        <v>5.1572090221034005E-2</v>
      </c>
      <c r="V76" s="279">
        <f t="shared" si="21"/>
        <v>-0.13874380409854259</v>
      </c>
      <c r="W76" s="278">
        <f t="shared" si="26"/>
        <v>604294</v>
      </c>
      <c r="X76" s="279">
        <f t="shared" si="25"/>
        <v>7.6055668317975E-2</v>
      </c>
      <c r="Y76" s="280">
        <f t="shared" si="22"/>
        <v>544868</v>
      </c>
      <c r="Z76" s="279">
        <f t="shared" si="19"/>
        <v>6.2797119622342287E-2</v>
      </c>
      <c r="AA76" s="279">
        <f>(Y76-W76)/W76</f>
        <v>-9.8339549954161387E-2</v>
      </c>
    </row>
    <row r="77" spans="1:27" ht="15.75" thickBot="1" x14ac:dyDescent="0.3">
      <c r="A77" s="272" t="s">
        <v>205</v>
      </c>
      <c r="B77" s="274">
        <v>-51436</v>
      </c>
      <c r="C77" s="275">
        <f t="shared" si="12"/>
        <v>-2.979689726686054E-2</v>
      </c>
      <c r="D77" s="276">
        <v>-56024</v>
      </c>
      <c r="E77" s="275">
        <f t="shared" si="13"/>
        <v>-2.6624643097476686E-2</v>
      </c>
      <c r="F77" s="275">
        <f t="shared" si="29"/>
        <v>8.9198226922777818E-2</v>
      </c>
      <c r="G77" s="274">
        <v>-89863</v>
      </c>
      <c r="H77" s="275">
        <f t="shared" si="15"/>
        <v>-2.507757295373864E-2</v>
      </c>
      <c r="I77" s="276">
        <v>-98207</v>
      </c>
      <c r="J77" s="275">
        <f t="shared" si="16"/>
        <v>-2.3353244002841188E-2</v>
      </c>
      <c r="K77" s="275">
        <f t="shared" si="17"/>
        <v>9.2852453178727617E-2</v>
      </c>
      <c r="L77" s="274">
        <v>-51436</v>
      </c>
      <c r="M77" s="276">
        <v>-56024</v>
      </c>
      <c r="N77" s="317">
        <v>-38427</v>
      </c>
      <c r="O77" s="324">
        <v>-42183</v>
      </c>
      <c r="P77" s="274">
        <v>-47782</v>
      </c>
      <c r="Q77" s="276">
        <v>-37516</v>
      </c>
      <c r="R77" s="274">
        <v>-45916</v>
      </c>
      <c r="S77" s="275">
        <f t="shared" si="20"/>
        <v>-2.0291530553080764E-2</v>
      </c>
      <c r="T77" s="276">
        <v>-37143</v>
      </c>
      <c r="U77" s="275">
        <f t="shared" si="18"/>
        <v>-1.6454285897813583E-2</v>
      </c>
      <c r="V77" s="275">
        <f t="shared" si="21"/>
        <v>-0.19106629497342975</v>
      </c>
      <c r="W77" s="274">
        <f t="shared" si="26"/>
        <v>-183561</v>
      </c>
      <c r="X77" s="275">
        <f t="shared" si="25"/>
        <v>-2.3102752190350739E-2</v>
      </c>
      <c r="Y77" s="276">
        <f t="shared" si="22"/>
        <v>-172866</v>
      </c>
      <c r="Z77" s="275">
        <f t="shared" si="19"/>
        <v>-1.992314997510557E-2</v>
      </c>
      <c r="AA77" s="275">
        <f>(Y77-W77)/W77</f>
        <v>-5.826401032899145E-2</v>
      </c>
    </row>
    <row r="78" spans="1:27" ht="15.75" thickBot="1" x14ac:dyDescent="0.3">
      <c r="A78" s="282" t="s">
        <v>206</v>
      </c>
      <c r="B78" s="283">
        <v>3407</v>
      </c>
      <c r="C78" s="284">
        <f t="shared" si="12"/>
        <v>1.9736765881521474E-3</v>
      </c>
      <c r="D78" s="285">
        <v>14256</v>
      </c>
      <c r="E78" s="284">
        <f t="shared" si="13"/>
        <v>6.7749698700133448E-3</v>
      </c>
      <c r="F78" s="284">
        <f t="shared" si="29"/>
        <v>3.1843263868506018</v>
      </c>
      <c r="G78" s="283">
        <v>4815</v>
      </c>
      <c r="H78" s="284">
        <f t="shared" si="15"/>
        <v>1.3436955562606584E-3</v>
      </c>
      <c r="I78" s="285">
        <v>20959</v>
      </c>
      <c r="J78" s="284">
        <f t="shared" si="16"/>
        <v>4.9839689742640384E-3</v>
      </c>
      <c r="K78" s="284">
        <f t="shared" si="17"/>
        <v>3.3528556593977155</v>
      </c>
      <c r="L78" s="283">
        <v>3407</v>
      </c>
      <c r="M78" s="285">
        <v>14256</v>
      </c>
      <c r="N78" s="319">
        <v>1408</v>
      </c>
      <c r="O78" s="326">
        <v>6703</v>
      </c>
      <c r="P78" s="283">
        <v>-3491</v>
      </c>
      <c r="Q78" s="285">
        <v>2620</v>
      </c>
      <c r="R78" s="274">
        <v>15097</v>
      </c>
      <c r="S78" s="284">
        <f t="shared" si="20"/>
        <v>6.6717753454103206E-3</v>
      </c>
      <c r="T78" s="276">
        <v>5954</v>
      </c>
      <c r="U78" s="284">
        <f t="shared" si="18"/>
        <v>2.6376118847584221E-3</v>
      </c>
      <c r="V78" s="284">
        <f t="shared" si="21"/>
        <v>-0.6056170100019872</v>
      </c>
      <c r="W78" s="283">
        <f t="shared" si="26"/>
        <v>16421</v>
      </c>
      <c r="X78" s="284">
        <f t="shared" si="25"/>
        <v>2.066726013247637E-3</v>
      </c>
      <c r="Y78" s="285">
        <f t="shared" si="22"/>
        <v>29533</v>
      </c>
      <c r="Z78" s="284">
        <f t="shared" si="19"/>
        <v>3.4037369304246805E-3</v>
      </c>
      <c r="AA78" s="284" t="s">
        <v>131</v>
      </c>
    </row>
    <row r="79" spans="1:27" ht="15.75" thickBot="1" x14ac:dyDescent="0.3">
      <c r="A79" s="277" t="s">
        <v>207</v>
      </c>
      <c r="B79" s="278">
        <f>SUM(B76:B78)</f>
        <v>151490</v>
      </c>
      <c r="C79" s="279">
        <f t="shared" si="12"/>
        <v>8.7758223169700264E-2</v>
      </c>
      <c r="D79" s="280">
        <f>SUM(D76:D78)</f>
        <v>152697</v>
      </c>
      <c r="E79" s="279">
        <f t="shared" si="13"/>
        <v>7.2567169910313395E-2</v>
      </c>
      <c r="F79" s="279">
        <f t="shared" si="29"/>
        <v>7.9675226087530526E-3</v>
      </c>
      <c r="G79" s="278">
        <f>SUM(G76:G78)</f>
        <v>235566</v>
      </c>
      <c r="H79" s="279">
        <f t="shared" si="15"/>
        <v>6.5738107457133599E-2</v>
      </c>
      <c r="I79" s="280">
        <f>SUM(I76:I78)</f>
        <v>233248</v>
      </c>
      <c r="J79" s="279">
        <f t="shared" si="16"/>
        <v>5.5465470457041775E-2</v>
      </c>
      <c r="K79" s="279">
        <f t="shared" si="17"/>
        <v>-9.8401297300968731E-3</v>
      </c>
      <c r="L79" s="278">
        <f t="shared" ref="L79:R79" si="31">SUM(L76:L78)</f>
        <v>151490</v>
      </c>
      <c r="M79" s="280">
        <f t="shared" si="31"/>
        <v>152697</v>
      </c>
      <c r="N79" s="318">
        <f t="shared" si="31"/>
        <v>84076</v>
      </c>
      <c r="O79" s="325">
        <f t="shared" si="31"/>
        <v>80551</v>
      </c>
      <c r="P79" s="278">
        <f t="shared" si="31"/>
        <v>97237</v>
      </c>
      <c r="Q79" s="280">
        <f t="shared" si="31"/>
        <v>83060</v>
      </c>
      <c r="R79" s="278">
        <f t="shared" si="31"/>
        <v>104351</v>
      </c>
      <c r="S79" s="279">
        <f t="shared" si="20"/>
        <v>4.6115548060469788E-2</v>
      </c>
      <c r="T79" s="280">
        <f>SUM(T76:T78)</f>
        <v>85227</v>
      </c>
      <c r="U79" s="279">
        <f t="shared" si="18"/>
        <v>3.7755416207978842E-2</v>
      </c>
      <c r="V79" s="279">
        <f t="shared" si="21"/>
        <v>-0.18326609232302518</v>
      </c>
      <c r="W79" s="278">
        <f t="shared" si="26"/>
        <v>437154</v>
      </c>
      <c r="X79" s="279">
        <f t="shared" si="25"/>
        <v>5.5019642140871898E-2</v>
      </c>
      <c r="Y79" s="280">
        <f t="shared" si="22"/>
        <v>401535</v>
      </c>
      <c r="Z79" s="279">
        <f t="shared" si="19"/>
        <v>4.62777065776614E-2</v>
      </c>
      <c r="AA79" s="279">
        <f>(Y79-W79)/W79</f>
        <v>-8.1479295625797768E-2</v>
      </c>
    </row>
    <row r="80" spans="1:27" ht="15.75" thickBot="1" x14ac:dyDescent="0.3">
      <c r="A80" s="272" t="s">
        <v>208</v>
      </c>
      <c r="B80" s="273">
        <v>-304</v>
      </c>
      <c r="C80" s="275">
        <f t="shared" si="12"/>
        <v>-1.7610733278492893E-4</v>
      </c>
      <c r="D80" s="281">
        <v>-164</v>
      </c>
      <c r="E80" s="275">
        <f t="shared" si="13"/>
        <v>-7.7938766742577752E-5</v>
      </c>
      <c r="F80" s="275">
        <f t="shared" si="29"/>
        <v>-0.46052631578947367</v>
      </c>
      <c r="G80" s="273">
        <v>-4314</v>
      </c>
      <c r="H80" s="275">
        <f t="shared" si="15"/>
        <v>-1.2038842429301102E-3</v>
      </c>
      <c r="I80" s="281">
        <v>-247</v>
      </c>
      <c r="J80" s="275">
        <f t="shared" si="16"/>
        <v>-5.8735642761735654E-5</v>
      </c>
      <c r="K80" s="275">
        <f t="shared" si="17"/>
        <v>-0.94274455261937873</v>
      </c>
      <c r="L80" s="273">
        <v>-304</v>
      </c>
      <c r="M80" s="281">
        <v>-164</v>
      </c>
      <c r="N80" s="317">
        <v>-4010</v>
      </c>
      <c r="O80" s="324">
        <v>-83</v>
      </c>
      <c r="P80" s="273">
        <v>-446</v>
      </c>
      <c r="Q80" s="281">
        <v>55</v>
      </c>
      <c r="R80" s="273">
        <v>-1575</v>
      </c>
      <c r="S80" s="275">
        <f t="shared" si="20"/>
        <v>-6.9603538246149933E-4</v>
      </c>
      <c r="T80" s="281">
        <v>-1652</v>
      </c>
      <c r="U80" s="275">
        <f t="shared" si="18"/>
        <v>-7.318331934197032E-4</v>
      </c>
      <c r="V80" s="275">
        <f t="shared" si="21"/>
        <v>4.8888888888888891E-2</v>
      </c>
      <c r="W80" s="273">
        <f t="shared" si="26"/>
        <v>-6335</v>
      </c>
      <c r="X80" s="275">
        <f t="shared" si="25"/>
        <v>-7.9731498044721878E-4</v>
      </c>
      <c r="Y80" s="281">
        <f t="shared" si="22"/>
        <v>-1844</v>
      </c>
      <c r="Z80" s="275">
        <f t="shared" si="19"/>
        <v>-2.1252466392520606E-4</v>
      </c>
      <c r="AA80" s="275">
        <f>(Y80-W80)/W80</f>
        <v>-0.70891870560378845</v>
      </c>
    </row>
    <row r="81" spans="1:27" x14ac:dyDescent="0.25">
      <c r="A81" s="286" t="s">
        <v>209</v>
      </c>
      <c r="B81" s="308">
        <f>SUM(B79:B80)</f>
        <v>151186</v>
      </c>
      <c r="C81" s="288">
        <f t="shared" si="12"/>
        <v>8.7582115836915345E-2</v>
      </c>
      <c r="D81" s="287">
        <f>SUM(D79:D80)</f>
        <v>152533</v>
      </c>
      <c r="E81" s="288">
        <f t="shared" si="13"/>
        <v>7.2489231143570809E-2</v>
      </c>
      <c r="F81" s="288">
        <f t="shared" si="29"/>
        <v>8.9095551175373388E-3</v>
      </c>
      <c r="G81" s="287">
        <f>SUM(G79:G80)</f>
        <v>231252</v>
      </c>
      <c r="H81" s="288">
        <f t="shared" si="15"/>
        <v>6.453422321420349E-2</v>
      </c>
      <c r="I81" s="287">
        <f>SUM(I79:I80)</f>
        <v>233001</v>
      </c>
      <c r="J81" s="288">
        <f t="shared" si="16"/>
        <v>5.5406734814280038E-2</v>
      </c>
      <c r="K81" s="288">
        <f t="shared" si="17"/>
        <v>7.5631778319755075E-3</v>
      </c>
      <c r="L81" s="287">
        <f t="shared" ref="L81:R81" si="32">SUM(L79:L80)</f>
        <v>151186</v>
      </c>
      <c r="M81" s="287">
        <f t="shared" si="32"/>
        <v>152533</v>
      </c>
      <c r="N81" s="320">
        <f t="shared" si="32"/>
        <v>80066</v>
      </c>
      <c r="O81" s="320">
        <f t="shared" si="32"/>
        <v>80468</v>
      </c>
      <c r="P81" s="308">
        <f t="shared" si="32"/>
        <v>96791</v>
      </c>
      <c r="Q81" s="287">
        <f t="shared" si="32"/>
        <v>83115</v>
      </c>
      <c r="R81" s="308">
        <f t="shared" si="32"/>
        <v>102776</v>
      </c>
      <c r="S81" s="288">
        <f t="shared" si="20"/>
        <v>4.5419512678008284E-2</v>
      </c>
      <c r="T81" s="287">
        <f>SUM(T79:T80)</f>
        <v>83575</v>
      </c>
      <c r="U81" s="288">
        <f t="shared" si="18"/>
        <v>3.7023583014559137E-2</v>
      </c>
      <c r="V81" s="288">
        <f t="shared" si="21"/>
        <v>-0.18682377208686854</v>
      </c>
      <c r="W81" s="308">
        <f t="shared" si="26"/>
        <v>430819</v>
      </c>
      <c r="X81" s="288">
        <f t="shared" si="25"/>
        <v>5.4222327160424681E-2</v>
      </c>
      <c r="Y81" s="287">
        <f t="shared" si="22"/>
        <v>399691</v>
      </c>
      <c r="Z81" s="288">
        <f t="shared" si="19"/>
        <v>4.6065181913736195E-2</v>
      </c>
      <c r="AA81" s="288">
        <f>(Y81-W81)/W81</f>
        <v>-7.2253080760133606E-2</v>
      </c>
    </row>
    <row r="82" spans="1:27" x14ac:dyDescent="0.25">
      <c r="A82" s="289"/>
      <c r="B82" s="291"/>
      <c r="C82" s="292"/>
      <c r="D82" s="294"/>
      <c r="E82" s="292"/>
      <c r="F82" s="292"/>
      <c r="G82" s="291"/>
      <c r="H82" s="292"/>
      <c r="I82" s="294"/>
      <c r="J82" s="292"/>
      <c r="K82" s="292"/>
      <c r="L82" s="291"/>
      <c r="M82" s="294"/>
      <c r="N82" s="321"/>
      <c r="O82" s="327"/>
      <c r="P82" s="291"/>
      <c r="Q82" s="294"/>
      <c r="R82" s="291"/>
      <c r="S82" s="292"/>
      <c r="T82" s="294"/>
      <c r="U82" s="292"/>
      <c r="V82" s="292"/>
      <c r="W82" s="291"/>
      <c r="X82" s="292"/>
      <c r="Y82" s="294"/>
      <c r="Z82" s="292"/>
      <c r="AA82" s="292"/>
    </row>
    <row r="83" spans="1:27" x14ac:dyDescent="0.25">
      <c r="A83" s="295" t="s">
        <v>210</v>
      </c>
      <c r="B83" s="297"/>
      <c r="C83" s="298"/>
      <c r="D83" s="300"/>
      <c r="E83" s="298"/>
      <c r="F83" s="298"/>
      <c r="G83" s="297"/>
      <c r="H83" s="298"/>
      <c r="I83" s="300"/>
      <c r="J83" s="298"/>
      <c r="K83" s="298"/>
      <c r="L83" s="297"/>
      <c r="M83" s="300"/>
      <c r="N83" s="322"/>
      <c r="O83" s="328"/>
      <c r="P83" s="297"/>
      <c r="Q83" s="300"/>
      <c r="R83" s="297"/>
      <c r="S83" s="298"/>
      <c r="T83" s="300"/>
      <c r="U83" s="298"/>
      <c r="V83" s="298"/>
      <c r="W83" s="297"/>
      <c r="X83" s="298"/>
      <c r="Y83" s="300"/>
      <c r="Z83" s="298"/>
      <c r="AA83" s="298"/>
    </row>
    <row r="84" spans="1:27" ht="15.75" thickBot="1" x14ac:dyDescent="0.3">
      <c r="A84" s="301" t="s">
        <v>211</v>
      </c>
      <c r="B84" s="274">
        <v>150991</v>
      </c>
      <c r="C84" s="275">
        <f>+B84/$B$60</f>
        <v>8.7469152251740803E-2</v>
      </c>
      <c r="D84" s="302">
        <v>151672</v>
      </c>
      <c r="E84" s="275">
        <f>+D84/$D$60</f>
        <v>7.2080052618172283E-2</v>
      </c>
      <c r="F84" s="275">
        <f>(D84-B84)/B84</f>
        <v>4.5102025948566471E-3</v>
      </c>
      <c r="G84" s="274">
        <v>230284</v>
      </c>
      <c r="H84" s="275">
        <f>+G84/$G$60</f>
        <v>6.4264088780463025E-2</v>
      </c>
      <c r="I84" s="302">
        <v>231084</v>
      </c>
      <c r="J84" s="275">
        <f>+I84/$I$60</f>
        <v>5.4950879643534095E-2</v>
      </c>
      <c r="K84" s="275">
        <f>(I84-G84)/G84</f>
        <v>3.4739712702575951E-3</v>
      </c>
      <c r="L84" s="274">
        <v>150991</v>
      </c>
      <c r="M84" s="302">
        <v>151672</v>
      </c>
      <c r="N84" s="317">
        <v>79293</v>
      </c>
      <c r="O84" s="329">
        <v>79412</v>
      </c>
      <c r="P84" s="274">
        <v>95871</v>
      </c>
      <c r="Q84" s="302">
        <v>81993</v>
      </c>
      <c r="R84" s="274">
        <v>101997</v>
      </c>
      <c r="S84" s="275">
        <f t="shared" si="20"/>
        <v>4.5075251368206698E-2</v>
      </c>
      <c r="T84" s="302">
        <v>82657</v>
      </c>
      <c r="U84" s="275">
        <f>+T84/$T$60</f>
        <v>3.6616910574147947E-2</v>
      </c>
      <c r="V84" s="275">
        <f t="shared" si="21"/>
        <v>-0.1896134200025491</v>
      </c>
      <c r="W84" s="274">
        <f t="shared" si="26"/>
        <v>428152</v>
      </c>
      <c r="X84" s="275">
        <f>+W84/$W$60</f>
        <v>5.3886661958711543E-2</v>
      </c>
      <c r="Y84" s="302">
        <f t="shared" si="22"/>
        <v>395734</v>
      </c>
      <c r="Z84" s="275">
        <f>+Y84/$Y$60</f>
        <v>4.5609129801397773E-2</v>
      </c>
      <c r="AA84" s="275">
        <f>(Y84-W84)/W84</f>
        <v>-7.5716100824006427E-2</v>
      </c>
    </row>
    <row r="85" spans="1:27" ht="15.75" thickBot="1" x14ac:dyDescent="0.3">
      <c r="A85" s="303" t="s">
        <v>188</v>
      </c>
      <c r="B85" s="304">
        <v>195</v>
      </c>
      <c r="C85" s="284">
        <f>+B85/$B$60</f>
        <v>1.1296358517454322E-4</v>
      </c>
      <c r="D85" s="305">
        <v>861</v>
      </c>
      <c r="E85" s="284">
        <f>+D85/$D$60</f>
        <v>4.0917852539853322E-4</v>
      </c>
      <c r="F85" s="284">
        <f>(D85-B85)/B85</f>
        <v>3.4153846153846152</v>
      </c>
      <c r="G85" s="304">
        <v>968</v>
      </c>
      <c r="H85" s="284">
        <f>+G85/$G$60</f>
        <v>2.7013443374046054E-4</v>
      </c>
      <c r="I85" s="305">
        <v>1917</v>
      </c>
      <c r="J85" s="284">
        <f>+I85/$I$60</f>
        <v>4.558551707459403E-4</v>
      </c>
      <c r="K85" s="284">
        <f>(I85-G85)/G85</f>
        <v>0.98037190082644632</v>
      </c>
      <c r="L85" s="304">
        <v>195</v>
      </c>
      <c r="M85" s="305">
        <v>861</v>
      </c>
      <c r="N85" s="319">
        <v>773</v>
      </c>
      <c r="O85" s="330">
        <v>1056</v>
      </c>
      <c r="P85" s="304">
        <v>920</v>
      </c>
      <c r="Q85" s="330">
        <v>1122</v>
      </c>
      <c r="R85" s="304">
        <v>779</v>
      </c>
      <c r="S85" s="284">
        <f t="shared" si="20"/>
        <v>3.4426130980159237E-4</v>
      </c>
      <c r="T85" s="330">
        <v>918</v>
      </c>
      <c r="U85" s="284">
        <f>+T85/$T$60</f>
        <v>4.0667244041119104E-4</v>
      </c>
      <c r="V85" s="284">
        <f t="shared" si="21"/>
        <v>0.17843388960205392</v>
      </c>
      <c r="W85" s="319">
        <f t="shared" si="26"/>
        <v>2667</v>
      </c>
      <c r="X85" s="284">
        <f>+W85/$W$60</f>
        <v>3.3566520171313851E-4</v>
      </c>
      <c r="Y85" s="330">
        <f t="shared" si="22"/>
        <v>3957</v>
      </c>
      <c r="Z85" s="284">
        <f>+Y85/$Y$60</f>
        <v>4.560521123384167E-4</v>
      </c>
      <c r="AA85" s="284">
        <f>(Y85-W85)/W85</f>
        <v>0.48368953880764903</v>
      </c>
    </row>
    <row r="86" spans="1:27" ht="15.75" thickBot="1" x14ac:dyDescent="0.3">
      <c r="A86" s="306" t="s">
        <v>212</v>
      </c>
      <c r="B86" s="278">
        <f>SUM(B84:B85)</f>
        <v>151186</v>
      </c>
      <c r="C86" s="279">
        <f>+B86/$B$60</f>
        <v>8.7582115836915345E-2</v>
      </c>
      <c r="D86" s="307">
        <f>SUM(D84:D85)</f>
        <v>152533</v>
      </c>
      <c r="E86" s="279">
        <f>+D86/$D$60</f>
        <v>7.2489231143570809E-2</v>
      </c>
      <c r="F86" s="279">
        <f>(D86-B86)/B86</f>
        <v>8.9095551175373388E-3</v>
      </c>
      <c r="G86" s="278">
        <f>SUM(G84:G85)</f>
        <v>231252</v>
      </c>
      <c r="H86" s="279">
        <f>+G86/$G$60</f>
        <v>6.453422321420349E-2</v>
      </c>
      <c r="I86" s="307">
        <f>SUM(I84:I85)</f>
        <v>233001</v>
      </c>
      <c r="J86" s="279">
        <f>+I86/$I$60</f>
        <v>5.5406734814280038E-2</v>
      </c>
      <c r="K86" s="279">
        <f>(I86-G86)/G86</f>
        <v>7.5631778319755075E-3</v>
      </c>
      <c r="L86" s="278">
        <f t="shared" ref="L86:R86" si="33">SUM(L84:L85)</f>
        <v>151186</v>
      </c>
      <c r="M86" s="307">
        <f t="shared" si="33"/>
        <v>152533</v>
      </c>
      <c r="N86" s="318">
        <f t="shared" si="33"/>
        <v>80066</v>
      </c>
      <c r="O86" s="331">
        <f t="shared" si="33"/>
        <v>80468</v>
      </c>
      <c r="P86" s="278">
        <f t="shared" si="33"/>
        <v>96791</v>
      </c>
      <c r="Q86" s="307">
        <f t="shared" si="33"/>
        <v>83115</v>
      </c>
      <c r="R86" s="278">
        <f t="shared" si="33"/>
        <v>102776</v>
      </c>
      <c r="S86" s="279">
        <f t="shared" si="20"/>
        <v>4.5419512678008284E-2</v>
      </c>
      <c r="T86" s="307">
        <v>83575</v>
      </c>
      <c r="U86" s="279">
        <f>+T86/$T$60</f>
        <v>3.7023583014559137E-2</v>
      </c>
      <c r="V86" s="279">
        <f t="shared" si="21"/>
        <v>-0.18682377208686854</v>
      </c>
      <c r="W86" s="278">
        <f t="shared" si="26"/>
        <v>430819</v>
      </c>
      <c r="X86" s="279">
        <f>+W86/$W$60</f>
        <v>5.4222327160424681E-2</v>
      </c>
      <c r="Y86" s="307">
        <f>+M86+O86+Q86+T86</f>
        <v>399691</v>
      </c>
      <c r="Z86" s="279">
        <f>+Y86/$Y$60</f>
        <v>4.6065181913736195E-2</v>
      </c>
      <c r="AA86" s="279">
        <f>(Y86-W86)/W86</f>
        <v>-7.2253080760133606E-2</v>
      </c>
    </row>
    <row r="87" spans="1:27" x14ac:dyDescent="0.25">
      <c r="A87" s="286" t="s">
        <v>213</v>
      </c>
      <c r="B87" s="287">
        <v>234916</v>
      </c>
      <c r="C87" s="288">
        <f>+B87/$B$60</f>
        <v>0.13608694140955382</v>
      </c>
      <c r="D87" s="287">
        <v>280995</v>
      </c>
      <c r="E87" s="288">
        <f>+D87/$D$60</f>
        <v>0.13353904732213803</v>
      </c>
      <c r="F87" s="288">
        <f>(D87-B87)/B87</f>
        <v>0.19615096460011239</v>
      </c>
      <c r="G87" s="287">
        <v>458883</v>
      </c>
      <c r="H87" s="288">
        <f>+G87/$G$60</f>
        <v>0.12805795388235924</v>
      </c>
      <c r="I87" s="287">
        <v>534203</v>
      </c>
      <c r="J87" s="288">
        <f>+I87/$I$60</f>
        <v>0.12703140311841082</v>
      </c>
      <c r="K87" s="288">
        <f>(I87-G87)/G87</f>
        <v>0.16413769958791238</v>
      </c>
      <c r="L87" s="287">
        <v>234916</v>
      </c>
      <c r="M87" s="287">
        <v>280995</v>
      </c>
      <c r="N87" s="320">
        <v>223967</v>
      </c>
      <c r="O87" s="320">
        <v>253208</v>
      </c>
      <c r="P87" s="287">
        <v>270788</v>
      </c>
      <c r="Q87" s="287">
        <v>266125</v>
      </c>
      <c r="R87" s="287">
        <v>245883</v>
      </c>
      <c r="S87" s="288">
        <f t="shared" si="20"/>
        <v>0.10866239234652751</v>
      </c>
      <c r="T87" s="287">
        <v>228625</v>
      </c>
      <c r="U87" s="288">
        <f>+T87/$T$60</f>
        <v>0.10128048658933393</v>
      </c>
      <c r="V87" s="288">
        <f t="shared" si="21"/>
        <v>-7.0187853572634143E-2</v>
      </c>
      <c r="W87" s="287">
        <f t="shared" si="26"/>
        <v>975554</v>
      </c>
      <c r="X87" s="288">
        <f>+W87/$W$60</f>
        <v>0.1227819760750128</v>
      </c>
      <c r="Y87" s="287">
        <f t="shared" si="22"/>
        <v>1028953</v>
      </c>
      <c r="Z87" s="288">
        <f>+Y87/$Y$60</f>
        <v>0.11858887772225193</v>
      </c>
      <c r="AA87" s="288">
        <f>(Y87-W87)/W87</f>
        <v>5.4737103225449335E-2</v>
      </c>
    </row>
  </sheetData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D15:K50 T62:U87 C62:G87 H62:H87 W62:Z85 W87:Z87 W86:X86 Z86" formula="1"/>
  </ignoredErrors>
  <drawing r:id="rId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6"/>
  <sheetViews>
    <sheetView topLeftCell="A67" zoomScaleNormal="100" workbookViewId="0">
      <selection activeCell="D79" sqref="D79"/>
    </sheetView>
  </sheetViews>
  <sheetFormatPr baseColWidth="10" defaultColWidth="11.42578125" defaultRowHeight="15" x14ac:dyDescent="0.25"/>
  <cols>
    <col min="1" max="1" width="50.85546875" style="229" bestFit="1" customWidth="1"/>
    <col min="2" max="6" width="11.42578125" style="229" customWidth="1"/>
    <col min="7" max="16384" width="11.42578125" style="229"/>
  </cols>
  <sheetData>
    <row r="1" spans="1:5" ht="18.75" x14ac:dyDescent="0.3">
      <c r="A1" s="228" t="s">
        <v>157</v>
      </c>
      <c r="B1" s="362"/>
      <c r="C1" s="362"/>
      <c r="D1" s="362"/>
      <c r="E1" s="362"/>
    </row>
    <row r="2" spans="1:5" x14ac:dyDescent="0.25">
      <c r="A2" s="332" t="s">
        <v>244</v>
      </c>
      <c r="B2" s="362"/>
      <c r="C2" s="362"/>
      <c r="D2" s="362"/>
      <c r="E2" s="362"/>
    </row>
    <row r="3" spans="1:5" x14ac:dyDescent="0.25">
      <c r="A3" s="332" t="s">
        <v>88</v>
      </c>
      <c r="B3" s="362"/>
      <c r="C3" s="362"/>
      <c r="D3" s="362"/>
      <c r="E3" s="362"/>
    </row>
    <row r="4" spans="1:5" x14ac:dyDescent="0.25">
      <c r="A4" s="231" t="s">
        <v>159</v>
      </c>
      <c r="B4" s="362"/>
      <c r="C4" s="362"/>
      <c r="D4" s="362"/>
      <c r="E4" s="362"/>
    </row>
    <row r="5" spans="1:5" ht="15.75" thickBot="1" x14ac:dyDescent="0.3"/>
    <row r="6" spans="1:5" ht="23.25" thickBot="1" x14ac:dyDescent="0.3">
      <c r="A6" s="337"/>
      <c r="B6" s="338" t="s">
        <v>240</v>
      </c>
      <c r="C6" s="410" t="s">
        <v>246</v>
      </c>
      <c r="D6" s="420" t="s">
        <v>140</v>
      </c>
    </row>
    <row r="7" spans="1:5" ht="15.75" thickTop="1" x14ac:dyDescent="0.25">
      <c r="A7" s="376" t="s">
        <v>20</v>
      </c>
      <c r="B7" s="377"/>
      <c r="C7" s="411"/>
      <c r="D7" s="411"/>
    </row>
    <row r="8" spans="1:5" x14ac:dyDescent="0.25">
      <c r="A8" s="378" t="s">
        <v>160</v>
      </c>
      <c r="B8" s="379"/>
      <c r="C8" s="412"/>
      <c r="D8" s="421"/>
    </row>
    <row r="9" spans="1:5" ht="15.75" thickBot="1" x14ac:dyDescent="0.3">
      <c r="A9" s="240" t="s">
        <v>161</v>
      </c>
      <c r="B9" s="242">
        <v>219322</v>
      </c>
      <c r="C9" s="413">
        <v>268250</v>
      </c>
      <c r="D9" s="422">
        <f t="shared" ref="D9:D15" si="0">(C9-B9)/B9</f>
        <v>0.22308751516035782</v>
      </c>
    </row>
    <row r="10" spans="1:5" ht="15.75" thickBot="1" x14ac:dyDescent="0.3">
      <c r="A10" s="240" t="s">
        <v>162</v>
      </c>
      <c r="B10" s="242">
        <v>889197</v>
      </c>
      <c r="C10" s="413">
        <v>923153</v>
      </c>
      <c r="D10" s="422">
        <f t="shared" si="0"/>
        <v>3.8187263339844825E-2</v>
      </c>
    </row>
    <row r="11" spans="1:5" ht="15.75" thickBot="1" x14ac:dyDescent="0.3">
      <c r="A11" s="240" t="s">
        <v>36</v>
      </c>
      <c r="B11" s="242">
        <v>1028417</v>
      </c>
      <c r="C11" s="413">
        <v>1051962</v>
      </c>
      <c r="D11" s="422">
        <f t="shared" si="0"/>
        <v>2.2894409563435844E-2</v>
      </c>
    </row>
    <row r="12" spans="1:5" ht="15.75" thickBot="1" x14ac:dyDescent="0.3">
      <c r="A12" s="240" t="s">
        <v>163</v>
      </c>
      <c r="B12" s="242">
        <v>75677</v>
      </c>
      <c r="C12" s="413">
        <v>80216</v>
      </c>
      <c r="D12" s="422">
        <f t="shared" si="0"/>
        <v>5.9978593231761301E-2</v>
      </c>
    </row>
    <row r="13" spans="1:5" ht="15.75" thickBot="1" x14ac:dyDescent="0.3">
      <c r="A13" s="240" t="s">
        <v>164</v>
      </c>
      <c r="B13" s="242">
        <v>246832</v>
      </c>
      <c r="C13" s="413">
        <v>269943</v>
      </c>
      <c r="D13" s="422">
        <f t="shared" si="0"/>
        <v>9.3630485512413306E-2</v>
      </c>
    </row>
    <row r="14" spans="1:5" ht="15.75" thickBot="1" x14ac:dyDescent="0.3">
      <c r="A14" s="245" t="s">
        <v>165</v>
      </c>
      <c r="B14" s="247">
        <v>100330</v>
      </c>
      <c r="C14" s="414">
        <v>80239</v>
      </c>
      <c r="D14" s="422">
        <f t="shared" si="0"/>
        <v>-0.20024917771354531</v>
      </c>
    </row>
    <row r="15" spans="1:5" ht="15.75" thickBot="1" x14ac:dyDescent="0.3">
      <c r="A15" s="249" t="s">
        <v>166</v>
      </c>
      <c r="B15" s="250">
        <f>SUM(B9:B14)</f>
        <v>2559775</v>
      </c>
      <c r="C15" s="415">
        <f>SUM(C9:C14)</f>
        <v>2673763</v>
      </c>
      <c r="D15" s="422">
        <f t="shared" si="0"/>
        <v>4.4530476311394555E-2</v>
      </c>
    </row>
    <row r="16" spans="1:5" x14ac:dyDescent="0.25">
      <c r="A16" s="378" t="s">
        <v>167</v>
      </c>
      <c r="B16" s="379"/>
      <c r="C16" s="412"/>
      <c r="D16" s="421"/>
    </row>
    <row r="17" spans="1:4" ht="15.75" thickBot="1" x14ac:dyDescent="0.3">
      <c r="A17" s="240" t="s">
        <v>162</v>
      </c>
      <c r="B17" s="242">
        <v>23495</v>
      </c>
      <c r="C17" s="413">
        <v>21943</v>
      </c>
      <c r="D17" s="422">
        <f t="shared" ref="D17:D28" si="1">(C17-B17)/B17</f>
        <v>-6.6056607788891247E-2</v>
      </c>
    </row>
    <row r="18" spans="1:4" ht="15.75" thickBot="1" x14ac:dyDescent="0.3">
      <c r="A18" s="240" t="s">
        <v>168</v>
      </c>
      <c r="B18" s="242">
        <v>7433</v>
      </c>
      <c r="C18" s="413">
        <v>8040</v>
      </c>
      <c r="D18" s="422">
        <f t="shared" si="1"/>
        <v>8.1662854836539761E-2</v>
      </c>
    </row>
    <row r="19" spans="1:4" ht="15.75" thickBot="1" x14ac:dyDescent="0.3">
      <c r="A19" s="240" t="s">
        <v>169</v>
      </c>
      <c r="B19" s="242">
        <v>164510</v>
      </c>
      <c r="C19" s="413">
        <v>162693</v>
      </c>
      <c r="D19" s="422">
        <f t="shared" si="1"/>
        <v>-1.104492128138107E-2</v>
      </c>
    </row>
    <row r="20" spans="1:4" ht="15.75" thickBot="1" x14ac:dyDescent="0.3">
      <c r="A20" s="240" t="s">
        <v>170</v>
      </c>
      <c r="B20" s="242">
        <v>3885206</v>
      </c>
      <c r="C20" s="413">
        <v>4010528</v>
      </c>
      <c r="D20" s="422">
        <f t="shared" si="1"/>
        <v>3.2256204690304713E-2</v>
      </c>
    </row>
    <row r="21" spans="1:4" ht="15.75" thickBot="1" x14ac:dyDescent="0.3">
      <c r="A21" s="240" t="s">
        <v>171</v>
      </c>
      <c r="B21" s="242">
        <v>3383513</v>
      </c>
      <c r="C21" s="413">
        <v>3334995</v>
      </c>
      <c r="D21" s="422">
        <f t="shared" si="1"/>
        <v>-1.4339534087795732E-2</v>
      </c>
    </row>
    <row r="22" spans="1:4" ht="15.75" thickBot="1" x14ac:dyDescent="0.3">
      <c r="A22" s="240" t="s">
        <v>141</v>
      </c>
      <c r="B22" s="242">
        <v>71842</v>
      </c>
      <c r="C22" s="413">
        <v>71797</v>
      </c>
      <c r="D22" s="422">
        <f t="shared" si="1"/>
        <v>-6.2637454413852619E-4</v>
      </c>
    </row>
    <row r="23" spans="1:4" ht="15.75" thickBot="1" x14ac:dyDescent="0.3">
      <c r="A23" s="240" t="s">
        <v>247</v>
      </c>
      <c r="B23" s="242">
        <v>2034454</v>
      </c>
      <c r="C23" s="413">
        <v>2003664</v>
      </c>
      <c r="D23" s="422">
        <f t="shared" si="1"/>
        <v>-1.5134281728660368E-2</v>
      </c>
    </row>
    <row r="24" spans="1:4" ht="15.75" thickBot="1" x14ac:dyDescent="0.3">
      <c r="A24" s="240" t="s">
        <v>173</v>
      </c>
      <c r="B24" s="242">
        <v>1163671</v>
      </c>
      <c r="C24" s="413">
        <v>1143667</v>
      </c>
      <c r="D24" s="422">
        <f t="shared" si="1"/>
        <v>-1.7190425816231564E-2</v>
      </c>
    </row>
    <row r="25" spans="1:4" ht="15.75" thickBot="1" x14ac:dyDescent="0.3">
      <c r="A25" s="240" t="s">
        <v>174</v>
      </c>
      <c r="B25" s="242">
        <v>356994</v>
      </c>
      <c r="C25" s="413">
        <v>355573</v>
      </c>
      <c r="D25" s="422">
        <f t="shared" si="1"/>
        <v>-3.9804590553342636E-3</v>
      </c>
    </row>
    <row r="26" spans="1:4" ht="15.75" thickBot="1" x14ac:dyDescent="0.3">
      <c r="A26" s="245" t="s">
        <v>25</v>
      </c>
      <c r="B26" s="247">
        <v>48661</v>
      </c>
      <c r="C26" s="414">
        <v>49430</v>
      </c>
      <c r="D26" s="423">
        <f t="shared" si="1"/>
        <v>1.5803209962803887E-2</v>
      </c>
    </row>
    <row r="27" spans="1:4" ht="15.75" thickBot="1" x14ac:dyDescent="0.3">
      <c r="A27" s="249" t="s">
        <v>175</v>
      </c>
      <c r="B27" s="250">
        <f>SUM(B17:B26)</f>
        <v>11139779</v>
      </c>
      <c r="C27" s="415">
        <v>11162330</v>
      </c>
      <c r="D27" s="424">
        <f t="shared" si="1"/>
        <v>2.0243669106900595E-3</v>
      </c>
    </row>
    <row r="28" spans="1:4" ht="15.75" thickBot="1" x14ac:dyDescent="0.3">
      <c r="A28" s="382" t="s">
        <v>176</v>
      </c>
      <c r="B28" s="383">
        <f>+B15+B27</f>
        <v>13699554</v>
      </c>
      <c r="C28" s="416">
        <f>+C15+C27</f>
        <v>13836093</v>
      </c>
      <c r="D28" s="425">
        <f t="shared" si="1"/>
        <v>9.9666748275162829E-3</v>
      </c>
    </row>
    <row r="29" spans="1:4" x14ac:dyDescent="0.25">
      <c r="A29" s="376" t="s">
        <v>142</v>
      </c>
      <c r="B29" s="377"/>
      <c r="C29" s="411"/>
      <c r="D29" s="411"/>
    </row>
    <row r="30" spans="1:4" x14ac:dyDescent="0.25">
      <c r="A30" s="378" t="s">
        <v>177</v>
      </c>
      <c r="B30" s="379"/>
      <c r="C30" s="412"/>
      <c r="D30" s="421"/>
    </row>
    <row r="31" spans="1:4" ht="15.75" thickBot="1" x14ac:dyDescent="0.3">
      <c r="A31" s="240" t="s">
        <v>28</v>
      </c>
      <c r="B31" s="242">
        <v>847689</v>
      </c>
      <c r="C31" s="413">
        <v>766418</v>
      </c>
      <c r="D31" s="422">
        <f t="shared" ref="D31:D37" si="2">(C31-B31)/B31</f>
        <v>-9.5873604588475256E-2</v>
      </c>
    </row>
    <row r="32" spans="1:4" ht="15.75" thickBot="1" x14ac:dyDescent="0.3">
      <c r="A32" s="240" t="s">
        <v>178</v>
      </c>
      <c r="B32" s="242">
        <v>888840</v>
      </c>
      <c r="C32" s="413">
        <v>950671</v>
      </c>
      <c r="D32" s="422">
        <f t="shared" si="2"/>
        <v>6.9563701003555189E-2</v>
      </c>
    </row>
    <row r="33" spans="1:4" ht="15.75" thickBot="1" x14ac:dyDescent="0.3">
      <c r="A33" s="240" t="s">
        <v>30</v>
      </c>
      <c r="B33" s="242">
        <v>163362</v>
      </c>
      <c r="C33" s="413">
        <v>156179</v>
      </c>
      <c r="D33" s="422">
        <f t="shared" si="2"/>
        <v>-4.3969833865892927E-2</v>
      </c>
    </row>
    <row r="34" spans="1:4" ht="15.75" thickBot="1" x14ac:dyDescent="0.3">
      <c r="A34" s="240" t="s">
        <v>179</v>
      </c>
      <c r="B34" s="242">
        <v>161592</v>
      </c>
      <c r="C34" s="413">
        <v>153375</v>
      </c>
      <c r="D34" s="422">
        <f t="shared" si="2"/>
        <v>-5.0850289618297934E-2</v>
      </c>
    </row>
    <row r="35" spans="1:4" ht="15.75" thickBot="1" x14ac:dyDescent="0.3">
      <c r="A35" s="240" t="s">
        <v>180</v>
      </c>
      <c r="B35" s="242">
        <v>2734</v>
      </c>
      <c r="C35" s="413">
        <v>1360</v>
      </c>
      <c r="D35" s="422">
        <f t="shared" si="2"/>
        <v>-0.50256035113386976</v>
      </c>
    </row>
    <row r="36" spans="1:4" ht="15.75" thickBot="1" x14ac:dyDescent="0.3">
      <c r="A36" s="245" t="s">
        <v>143</v>
      </c>
      <c r="B36" s="247">
        <v>49746</v>
      </c>
      <c r="C36" s="414">
        <v>49399</v>
      </c>
      <c r="D36" s="423">
        <f t="shared" si="2"/>
        <v>-6.9754352108712262E-3</v>
      </c>
    </row>
    <row r="37" spans="1:4" ht="15.75" thickBot="1" x14ac:dyDescent="0.3">
      <c r="A37" s="249" t="s">
        <v>181</v>
      </c>
      <c r="B37" s="250">
        <f>SUM(B31:B36)</f>
        <v>2113963</v>
      </c>
      <c r="C37" s="415">
        <f>SUM(C31:C36)</f>
        <v>2077402</v>
      </c>
      <c r="D37" s="424">
        <f t="shared" si="2"/>
        <v>-1.7295004690242925E-2</v>
      </c>
    </row>
    <row r="38" spans="1:4" x14ac:dyDescent="0.25">
      <c r="A38" s="378" t="s">
        <v>182</v>
      </c>
      <c r="B38" s="379"/>
      <c r="C38" s="412"/>
      <c r="D38" s="421"/>
    </row>
    <row r="39" spans="1:4" ht="15.75" thickBot="1" x14ac:dyDescent="0.3">
      <c r="A39" s="240" t="s">
        <v>28</v>
      </c>
      <c r="B39" s="242">
        <v>2277429</v>
      </c>
      <c r="C39" s="413">
        <v>2521441</v>
      </c>
      <c r="D39" s="422">
        <f t="shared" ref="D39:D45" si="3">(C39-B39)/B39</f>
        <v>0.10714362555320056</v>
      </c>
    </row>
    <row r="40" spans="1:4" ht="15.75" thickBot="1" x14ac:dyDescent="0.3">
      <c r="A40" s="240" t="s">
        <v>178</v>
      </c>
      <c r="B40" s="241">
        <v>158</v>
      </c>
      <c r="C40" s="417">
        <v>158</v>
      </c>
      <c r="D40" s="422">
        <f t="shared" si="3"/>
        <v>0</v>
      </c>
    </row>
    <row r="41" spans="1:4" ht="15.75" thickBot="1" x14ac:dyDescent="0.3">
      <c r="A41" s="240" t="s">
        <v>179</v>
      </c>
      <c r="B41" s="242">
        <v>216744</v>
      </c>
      <c r="C41" s="413">
        <v>221537</v>
      </c>
      <c r="D41" s="422">
        <f t="shared" si="3"/>
        <v>2.2113645591112095E-2</v>
      </c>
    </row>
    <row r="42" spans="1:4" ht="15.75" thickBot="1" x14ac:dyDescent="0.3">
      <c r="A42" s="240" t="s">
        <v>183</v>
      </c>
      <c r="B42" s="242">
        <v>705700</v>
      </c>
      <c r="C42" s="413">
        <v>700242</v>
      </c>
      <c r="D42" s="422">
        <f t="shared" si="3"/>
        <v>-7.7341646592036274E-3</v>
      </c>
    </row>
    <row r="43" spans="1:4" ht="15.75" thickBot="1" x14ac:dyDescent="0.3">
      <c r="A43" s="245" t="s">
        <v>143</v>
      </c>
      <c r="B43" s="246">
        <v>600</v>
      </c>
      <c r="C43" s="418">
        <v>618</v>
      </c>
      <c r="D43" s="422">
        <f t="shared" si="3"/>
        <v>0.03</v>
      </c>
    </row>
    <row r="44" spans="1:4" ht="15.75" thickBot="1" x14ac:dyDescent="0.3">
      <c r="A44" s="249" t="s">
        <v>185</v>
      </c>
      <c r="B44" s="250">
        <f>SUM(B39:B43)</f>
        <v>3200631</v>
      </c>
      <c r="C44" s="415">
        <f>SUM(C39:C43)</f>
        <v>3443996</v>
      </c>
      <c r="D44" s="424">
        <f t="shared" si="3"/>
        <v>7.6036569039042615E-2</v>
      </c>
    </row>
    <row r="45" spans="1:4" ht="15.75" thickBot="1" x14ac:dyDescent="0.3">
      <c r="A45" s="382" t="s">
        <v>186</v>
      </c>
      <c r="B45" s="383">
        <f>+B37+B44</f>
        <v>5314594</v>
      </c>
      <c r="C45" s="416">
        <f>+C37+C44</f>
        <v>5521398</v>
      </c>
      <c r="D45" s="425">
        <f t="shared" si="3"/>
        <v>3.8912473840899228E-2</v>
      </c>
    </row>
    <row r="46" spans="1:4" x14ac:dyDescent="0.25">
      <c r="A46" s="376" t="s">
        <v>34</v>
      </c>
      <c r="B46" s="377"/>
      <c r="C46" s="411"/>
      <c r="D46" s="411"/>
    </row>
    <row r="47" spans="1:4" ht="15.75" thickBot="1" x14ac:dyDescent="0.3">
      <c r="A47" s="249" t="s">
        <v>187</v>
      </c>
      <c r="B47" s="250">
        <v>8346719</v>
      </c>
      <c r="C47" s="415">
        <v>8274696</v>
      </c>
      <c r="D47" s="424">
        <f>(C47-B47)/B47</f>
        <v>-8.628899571196778E-3</v>
      </c>
    </row>
    <row r="48" spans="1:4" ht="15.75" thickBot="1" x14ac:dyDescent="0.3">
      <c r="A48" s="259" t="s">
        <v>188</v>
      </c>
      <c r="B48" s="247">
        <v>38241</v>
      </c>
      <c r="C48" s="414">
        <v>39999</v>
      </c>
      <c r="D48" s="423">
        <f>(C48-B48)/B48</f>
        <v>4.5971601161057501E-2</v>
      </c>
    </row>
    <row r="49" spans="1:20" ht="15.75" thickBot="1" x14ac:dyDescent="0.3">
      <c r="A49" s="382" t="s">
        <v>189</v>
      </c>
      <c r="B49" s="383">
        <f>SUM(B47:B48)</f>
        <v>8384960</v>
      </c>
      <c r="C49" s="416">
        <f>SUM(C47:C48)</f>
        <v>8314695</v>
      </c>
      <c r="D49" s="425">
        <f>(C49-B49)/B49</f>
        <v>-8.3798849368392925E-3</v>
      </c>
    </row>
    <row r="50" spans="1:20" ht="15.75" thickBot="1" x14ac:dyDescent="0.3">
      <c r="A50" s="380" t="s">
        <v>190</v>
      </c>
      <c r="B50" s="381">
        <f>+B45+B49</f>
        <v>13699554</v>
      </c>
      <c r="C50" s="419">
        <f>+C45+C49</f>
        <v>13836093</v>
      </c>
      <c r="D50" s="426">
        <f>(C50-B50)/B50</f>
        <v>9.9666748275162829E-3</v>
      </c>
    </row>
    <row r="52" spans="1:20" x14ac:dyDescent="0.25">
      <c r="C52" s="263"/>
      <c r="E52" s="263"/>
      <c r="H52" s="263"/>
      <c r="J52" s="263"/>
      <c r="M52" s="263"/>
      <c r="O52" s="263"/>
      <c r="R52" s="263"/>
      <c r="T52" s="263"/>
    </row>
    <row r="53" spans="1:20" ht="18.75" x14ac:dyDescent="0.3">
      <c r="A53" s="264" t="s">
        <v>191</v>
      </c>
      <c r="B53" s="362"/>
      <c r="C53" s="362"/>
      <c r="D53" s="362"/>
      <c r="E53" s="362"/>
    </row>
    <row r="54" spans="1:20" x14ac:dyDescent="0.25">
      <c r="A54" s="332" t="s">
        <v>192</v>
      </c>
      <c r="B54" s="362"/>
      <c r="C54" s="362"/>
      <c r="D54" s="362"/>
      <c r="E54" s="362"/>
    </row>
    <row r="55" spans="1:20" x14ac:dyDescent="0.25">
      <c r="A55" s="332" t="s">
        <v>88</v>
      </c>
      <c r="B55" s="362"/>
      <c r="C55" s="362"/>
      <c r="D55" s="362"/>
      <c r="E55" s="362"/>
    </row>
    <row r="56" spans="1:20" x14ac:dyDescent="0.25">
      <c r="A56" s="265" t="s">
        <v>159</v>
      </c>
      <c r="B56" s="362"/>
      <c r="C56" s="362"/>
      <c r="D56" s="362"/>
      <c r="E56" s="362"/>
    </row>
    <row r="57" spans="1:20" ht="15.75" thickBot="1" x14ac:dyDescent="0.3">
      <c r="B57" s="364"/>
      <c r="C57" s="364"/>
      <c r="D57" s="364"/>
      <c r="E57" s="364"/>
    </row>
    <row r="58" spans="1:20" ht="15.75" customHeight="1" thickBot="1" x14ac:dyDescent="0.3">
      <c r="A58" s="353"/>
      <c r="B58" s="388" t="s">
        <v>222</v>
      </c>
      <c r="C58" s="388" t="s">
        <v>55</v>
      </c>
      <c r="D58" s="400" t="s">
        <v>245</v>
      </c>
      <c r="E58" s="400" t="s">
        <v>55</v>
      </c>
      <c r="F58" s="388" t="s">
        <v>46</v>
      </c>
    </row>
    <row r="59" spans="1:20" ht="15.75" thickTop="1" x14ac:dyDescent="0.25">
      <c r="A59" s="390" t="s">
        <v>193</v>
      </c>
      <c r="B59" s="389"/>
      <c r="C59" s="389"/>
      <c r="D59" s="401"/>
      <c r="E59" s="406"/>
      <c r="F59" s="389"/>
    </row>
    <row r="60" spans="1:20" ht="15.75" thickBot="1" x14ac:dyDescent="0.3">
      <c r="A60" s="391" t="s">
        <v>194</v>
      </c>
      <c r="B60" s="395">
        <v>2104216</v>
      </c>
      <c r="C60" s="387">
        <f t="shared" ref="C60:C80" si="4">+B60/$B$60</f>
        <v>1</v>
      </c>
      <c r="D60" s="395">
        <v>2041823</v>
      </c>
      <c r="E60" s="387">
        <f t="shared" ref="E60:E80" si="5">+D60/$D$60</f>
        <v>1</v>
      </c>
      <c r="F60" s="387">
        <f t="shared" ref="F60:F80" si="6">(D60-B60)/B60</f>
        <v>-2.9651423618107648E-2</v>
      </c>
    </row>
    <row r="61" spans="1:20" ht="15.75" thickBot="1" x14ac:dyDescent="0.3">
      <c r="A61" s="392" t="s">
        <v>195</v>
      </c>
      <c r="B61" s="396">
        <v>-1196310</v>
      </c>
      <c r="C61" s="384">
        <f t="shared" si="4"/>
        <v>-0.56853003684032433</v>
      </c>
      <c r="D61" s="402">
        <v>-1150561</v>
      </c>
      <c r="E61" s="407">
        <f t="shared" si="5"/>
        <v>-0.56349693386743116</v>
      </c>
      <c r="F61" s="384">
        <f t="shared" si="6"/>
        <v>-3.8241760078909316E-2</v>
      </c>
    </row>
    <row r="62" spans="1:20" ht="15.75" thickBot="1" x14ac:dyDescent="0.3">
      <c r="A62" s="393" t="s">
        <v>196</v>
      </c>
      <c r="B62" s="397">
        <f>SUM(B60:B61)</f>
        <v>907906</v>
      </c>
      <c r="C62" s="386">
        <f t="shared" si="4"/>
        <v>0.43146996315967562</v>
      </c>
      <c r="D62" s="403">
        <f>SUM(D60:D61)</f>
        <v>891262</v>
      </c>
      <c r="E62" s="408">
        <f t="shared" si="5"/>
        <v>0.43650306613256878</v>
      </c>
      <c r="F62" s="386">
        <f t="shared" si="6"/>
        <v>-1.833229431240679E-2</v>
      </c>
    </row>
    <row r="63" spans="1:20" ht="15.75" thickBot="1" x14ac:dyDescent="0.3">
      <c r="A63" s="392" t="s">
        <v>7</v>
      </c>
      <c r="B63" s="396">
        <v>-97009</v>
      </c>
      <c r="C63" s="384">
        <f t="shared" si="4"/>
        <v>-4.6102206237382475E-2</v>
      </c>
      <c r="D63" s="402">
        <v>-100251</v>
      </c>
      <c r="E63" s="407">
        <f t="shared" si="5"/>
        <v>-4.9098771049204556E-2</v>
      </c>
      <c r="F63" s="384">
        <f t="shared" si="6"/>
        <v>3.3419579626632577E-2</v>
      </c>
    </row>
    <row r="64" spans="1:20" ht="15.75" thickBot="1" x14ac:dyDescent="0.3">
      <c r="A64" s="392" t="s">
        <v>8</v>
      </c>
      <c r="B64" s="396">
        <v>-547935</v>
      </c>
      <c r="C64" s="384">
        <f t="shared" si="4"/>
        <v>-0.26039864728716061</v>
      </c>
      <c r="D64" s="402">
        <v>-563544</v>
      </c>
      <c r="E64" s="407">
        <f t="shared" si="5"/>
        <v>-0.27600041727417118</v>
      </c>
      <c r="F64" s="384">
        <f t="shared" si="6"/>
        <v>2.8486955569547483E-2</v>
      </c>
    </row>
    <row r="65" spans="1:6" ht="15.75" thickBot="1" x14ac:dyDescent="0.3">
      <c r="A65" s="392" t="s">
        <v>84</v>
      </c>
      <c r="B65" s="396">
        <v>-34692</v>
      </c>
      <c r="C65" s="384">
        <f t="shared" si="4"/>
        <v>-1.6486900584350657E-2</v>
      </c>
      <c r="D65" s="402">
        <v>-32942</v>
      </c>
      <c r="E65" s="407">
        <f t="shared" si="5"/>
        <v>-1.6133621768390307E-2</v>
      </c>
      <c r="F65" s="384">
        <f t="shared" si="6"/>
        <v>-5.0443906376109765E-2</v>
      </c>
    </row>
    <row r="66" spans="1:6" ht="15.75" thickBot="1" x14ac:dyDescent="0.3">
      <c r="A66" s="392" t="s">
        <v>197</v>
      </c>
      <c r="B66" s="396">
        <v>3848</v>
      </c>
      <c r="C66" s="384">
        <f t="shared" si="4"/>
        <v>1.8287096001551172E-3</v>
      </c>
      <c r="D66" s="402">
        <v>2176</v>
      </c>
      <c r="E66" s="407">
        <f t="shared" si="5"/>
        <v>1.0657143150997908E-3</v>
      </c>
      <c r="F66" s="384">
        <f t="shared" si="6"/>
        <v>-0.43451143451143454</v>
      </c>
    </row>
    <row r="67" spans="1:6" ht="15.75" thickBot="1" x14ac:dyDescent="0.3">
      <c r="A67" s="392" t="s">
        <v>144</v>
      </c>
      <c r="B67" s="396">
        <v>1169</v>
      </c>
      <c r="C67" s="384">
        <f t="shared" si="4"/>
        <v>5.5555133123215493E-4</v>
      </c>
      <c r="D67" s="402">
        <v>7084</v>
      </c>
      <c r="E67" s="407">
        <f t="shared" si="5"/>
        <v>3.4694486250767083E-3</v>
      </c>
      <c r="F67" s="384" t="s">
        <v>131</v>
      </c>
    </row>
    <row r="68" spans="1:6" ht="15.75" thickBot="1" x14ac:dyDescent="0.3">
      <c r="A68" s="391" t="s">
        <v>198</v>
      </c>
      <c r="B68" s="395">
        <f>SUM(B62:B67)</f>
        <v>233287</v>
      </c>
      <c r="C68" s="387">
        <f t="shared" si="4"/>
        <v>0.11086646998216913</v>
      </c>
      <c r="D68" s="395">
        <f>SUM(D62:D67)</f>
        <v>203785</v>
      </c>
      <c r="E68" s="387">
        <f t="shared" si="5"/>
        <v>9.9805418980979249E-2</v>
      </c>
      <c r="F68" s="387">
        <f t="shared" si="6"/>
        <v>-0.12646225464770861</v>
      </c>
    </row>
    <row r="69" spans="1:6" ht="15.75" thickBot="1" x14ac:dyDescent="0.3">
      <c r="A69" s="392" t="s">
        <v>51</v>
      </c>
      <c r="B69" s="396">
        <v>2165</v>
      </c>
      <c r="C69" s="384">
        <f t="shared" si="4"/>
        <v>1.0288867682785418E-3</v>
      </c>
      <c r="D69" s="402">
        <v>2452</v>
      </c>
      <c r="E69" s="407">
        <f t="shared" si="5"/>
        <v>1.2008876381547275E-3</v>
      </c>
      <c r="F69" s="384">
        <f t="shared" si="6"/>
        <v>0.13256351039260969</v>
      </c>
    </row>
    <row r="70" spans="1:6" ht="15.75" thickBot="1" x14ac:dyDescent="0.3">
      <c r="A70" s="392" t="s">
        <v>11</v>
      </c>
      <c r="B70" s="396">
        <v>-70846</v>
      </c>
      <c r="C70" s="384">
        <f t="shared" si="4"/>
        <v>-3.3668596760028438E-2</v>
      </c>
      <c r="D70" s="402">
        <v>-82389</v>
      </c>
      <c r="E70" s="407">
        <f t="shared" si="5"/>
        <v>-4.0350706207149201E-2</v>
      </c>
      <c r="F70" s="384">
        <f t="shared" si="6"/>
        <v>0.16293086412782656</v>
      </c>
    </row>
    <row r="71" spans="1:6" ht="15.75" thickBot="1" x14ac:dyDescent="0.3">
      <c r="A71" s="392" t="s">
        <v>199</v>
      </c>
      <c r="B71" s="396">
        <v>50453</v>
      </c>
      <c r="C71" s="384">
        <f t="shared" si="4"/>
        <v>2.3977101210141925E-2</v>
      </c>
      <c r="D71" s="402">
        <v>54235</v>
      </c>
      <c r="E71" s="407">
        <f t="shared" si="5"/>
        <v>2.6562047738711927E-2</v>
      </c>
      <c r="F71" s="384">
        <f t="shared" si="6"/>
        <v>7.4960854656809309E-2</v>
      </c>
    </row>
    <row r="72" spans="1:6" ht="15.75" thickBot="1" x14ac:dyDescent="0.3">
      <c r="A72" s="392" t="s">
        <v>200</v>
      </c>
      <c r="B72" s="396">
        <v>-9738</v>
      </c>
      <c r="C72" s="384">
        <f t="shared" si="4"/>
        <v>-4.6278518935318428E-3</v>
      </c>
      <c r="D72" s="402">
        <v>-3118</v>
      </c>
      <c r="E72" s="407">
        <f t="shared" si="5"/>
        <v>-1.5270667437872921E-3</v>
      </c>
      <c r="F72" s="384">
        <f t="shared" si="6"/>
        <v>-0.67981104949681659</v>
      </c>
    </row>
    <row r="73" spans="1:6" ht="15.75" thickBot="1" x14ac:dyDescent="0.3">
      <c r="A73" s="392" t="s">
        <v>201</v>
      </c>
      <c r="B73" s="396">
        <v>-11041</v>
      </c>
      <c r="C73" s="384">
        <f t="shared" si="4"/>
        <v>-5.2470849000292741E-3</v>
      </c>
      <c r="D73" s="402">
        <v>0</v>
      </c>
      <c r="E73" s="407">
        <f t="shared" si="5"/>
        <v>0</v>
      </c>
      <c r="F73" s="384">
        <f t="shared" si="6"/>
        <v>-1</v>
      </c>
    </row>
    <row r="74" spans="1:6" ht="15.75" thickBot="1" x14ac:dyDescent="0.3">
      <c r="A74" s="392" t="s">
        <v>202</v>
      </c>
      <c r="B74" s="398">
        <v>185</v>
      </c>
      <c r="C74" s="384">
        <f t="shared" si="4"/>
        <v>8.7918730776688329E-5</v>
      </c>
      <c r="D74" s="404">
        <v>-1600</v>
      </c>
      <c r="E74" s="407">
        <f t="shared" si="5"/>
        <v>-7.8361346698514029E-4</v>
      </c>
      <c r="F74" s="384" t="s">
        <v>131</v>
      </c>
    </row>
    <row r="75" spans="1:6" ht="15.75" thickBot="1" x14ac:dyDescent="0.3">
      <c r="A75" s="393" t="s">
        <v>204</v>
      </c>
      <c r="B75" s="397">
        <f>SUM(B68:B74)</f>
        <v>194465</v>
      </c>
      <c r="C75" s="386">
        <f t="shared" si="4"/>
        <v>9.2416843137776733E-2</v>
      </c>
      <c r="D75" s="403">
        <f>SUM(D68:D74)</f>
        <v>173365</v>
      </c>
      <c r="E75" s="408">
        <f t="shared" si="5"/>
        <v>8.4906967939924277E-2</v>
      </c>
      <c r="F75" s="386">
        <f t="shared" si="6"/>
        <v>-0.10850281541665595</v>
      </c>
    </row>
    <row r="76" spans="1:6" ht="15.75" thickBot="1" x14ac:dyDescent="0.3">
      <c r="A76" s="392" t="s">
        <v>205</v>
      </c>
      <c r="B76" s="396">
        <v>-56024</v>
      </c>
      <c r="C76" s="384">
        <f t="shared" si="4"/>
        <v>-2.6624643097476686E-2</v>
      </c>
      <c r="D76" s="402">
        <v>-40723</v>
      </c>
      <c r="E76" s="407">
        <f t="shared" si="5"/>
        <v>-1.9944432010022415E-2</v>
      </c>
      <c r="F76" s="384">
        <f t="shared" si="6"/>
        <v>-0.27311509353134372</v>
      </c>
    </row>
    <row r="77" spans="1:6" ht="15.75" thickBot="1" x14ac:dyDescent="0.3">
      <c r="A77" s="394" t="s">
        <v>206</v>
      </c>
      <c r="B77" s="399">
        <v>14256</v>
      </c>
      <c r="C77" s="385">
        <f t="shared" si="4"/>
        <v>6.7749698700133448E-3</v>
      </c>
      <c r="D77" s="405">
        <v>8078</v>
      </c>
      <c r="E77" s="409">
        <f t="shared" si="5"/>
        <v>3.9562684914412269E-3</v>
      </c>
      <c r="F77" s="385">
        <f t="shared" si="6"/>
        <v>-0.43336139169472504</v>
      </c>
    </row>
    <row r="78" spans="1:6" ht="15.75" thickBot="1" x14ac:dyDescent="0.3">
      <c r="A78" s="393" t="s">
        <v>207</v>
      </c>
      <c r="B78" s="397">
        <f>SUM(B75:B77)</f>
        <v>152697</v>
      </c>
      <c r="C78" s="386">
        <f t="shared" si="4"/>
        <v>7.2567169910313395E-2</v>
      </c>
      <c r="D78" s="403">
        <f>SUM(D75:D77)</f>
        <v>140720</v>
      </c>
      <c r="E78" s="408">
        <f t="shared" si="5"/>
        <v>6.8918804421343086E-2</v>
      </c>
      <c r="F78" s="386">
        <f t="shared" si="6"/>
        <v>-7.8436380544476977E-2</v>
      </c>
    </row>
    <row r="79" spans="1:6" ht="15.75" thickBot="1" x14ac:dyDescent="0.3">
      <c r="A79" s="392" t="s">
        <v>208</v>
      </c>
      <c r="B79" s="398">
        <v>-164</v>
      </c>
      <c r="C79" s="384">
        <f t="shared" si="4"/>
        <v>-7.7938766742577752E-5</v>
      </c>
      <c r="D79" s="404">
        <v>-892</v>
      </c>
      <c r="E79" s="407">
        <f t="shared" si="5"/>
        <v>-4.3686450784421571E-4</v>
      </c>
      <c r="F79" s="384" t="s">
        <v>131</v>
      </c>
    </row>
    <row r="80" spans="1:6" ht="15.75" thickBot="1" x14ac:dyDescent="0.3">
      <c r="A80" s="391" t="s">
        <v>209</v>
      </c>
      <c r="B80" s="395">
        <f>SUM(B78:B79)</f>
        <v>152533</v>
      </c>
      <c r="C80" s="387">
        <f t="shared" si="4"/>
        <v>7.2489231143570809E-2</v>
      </c>
      <c r="D80" s="395">
        <f>SUM(D78:D79)</f>
        <v>139828</v>
      </c>
      <c r="E80" s="387">
        <f t="shared" si="5"/>
        <v>6.8481939913498865E-2</v>
      </c>
      <c r="F80" s="387">
        <f t="shared" si="6"/>
        <v>-8.3293451253171447E-2</v>
      </c>
    </row>
    <row r="81" spans="1:6" x14ac:dyDescent="0.25">
      <c r="A81" s="289"/>
      <c r="B81" s="291"/>
      <c r="C81" s="292"/>
      <c r="D81" s="294"/>
      <c r="E81" s="292"/>
      <c r="F81" s="292"/>
    </row>
    <row r="82" spans="1:6" x14ac:dyDescent="0.25">
      <c r="A82" s="295" t="s">
        <v>210</v>
      </c>
      <c r="B82" s="297"/>
      <c r="C82" s="298"/>
      <c r="D82" s="300"/>
      <c r="E82" s="298"/>
      <c r="F82" s="298"/>
    </row>
    <row r="83" spans="1:6" ht="15.75" thickBot="1" x14ac:dyDescent="0.3">
      <c r="A83" s="301" t="s">
        <v>211</v>
      </c>
      <c r="B83" s="274">
        <v>151672</v>
      </c>
      <c r="C83" s="384">
        <f>+B83/$B$60</f>
        <v>7.2080052618172283E-2</v>
      </c>
      <c r="D83" s="373">
        <v>139150</v>
      </c>
      <c r="E83" s="366">
        <f>+D83/$D$60</f>
        <v>6.8149883706863909E-2</v>
      </c>
      <c r="F83" s="384">
        <f>(D83-B83)/B83</f>
        <v>-8.2559734163194259E-2</v>
      </c>
    </row>
    <row r="84" spans="1:6" ht="15.75" thickBot="1" x14ac:dyDescent="0.3">
      <c r="A84" s="303" t="s">
        <v>188</v>
      </c>
      <c r="B84" s="304">
        <v>861</v>
      </c>
      <c r="C84" s="385">
        <f>+B84/$B$60</f>
        <v>4.0917852539853322E-4</v>
      </c>
      <c r="D84" s="374">
        <v>678</v>
      </c>
      <c r="E84" s="368">
        <f>+D84/$D$60</f>
        <v>3.3205620663495319E-4</v>
      </c>
      <c r="F84" s="385">
        <f>(D84-B84)/B84</f>
        <v>-0.21254355400696864</v>
      </c>
    </row>
    <row r="85" spans="1:6" ht="15.75" thickBot="1" x14ac:dyDescent="0.3">
      <c r="A85" s="306" t="s">
        <v>212</v>
      </c>
      <c r="B85" s="278">
        <f>SUM(B83:B84)</f>
        <v>152533</v>
      </c>
      <c r="C85" s="386">
        <f>+B85/$B$60</f>
        <v>7.2489231143570809E-2</v>
      </c>
      <c r="D85" s="375">
        <f>SUM(D83:D84)</f>
        <v>139828</v>
      </c>
      <c r="E85" s="367">
        <f>+D85/$D$60</f>
        <v>6.8481939913498865E-2</v>
      </c>
      <c r="F85" s="386">
        <f>(D85-B85)/B85</f>
        <v>-8.3293451253171447E-2</v>
      </c>
    </row>
    <row r="86" spans="1:6" ht="15.75" thickBot="1" x14ac:dyDescent="0.3">
      <c r="A86" s="369" t="s">
        <v>213</v>
      </c>
      <c r="B86" s="370">
        <v>280995</v>
      </c>
      <c r="C86" s="387">
        <f>+B86/$B$60</f>
        <v>0.13353904732213803</v>
      </c>
      <c r="D86" s="372">
        <v>264549</v>
      </c>
      <c r="E86" s="371">
        <f>+D86/$D$60</f>
        <v>0.12956509942340741</v>
      </c>
      <c r="F86" s="387">
        <f>(D86-B86)/B86</f>
        <v>-5.8527731810174559E-2</v>
      </c>
    </row>
  </sheetData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C75:C80 C62 C68 C85" formula="1"/>
  </ignoredErrors>
  <drawing r:id="rId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7"/>
  <sheetViews>
    <sheetView topLeftCell="C71" zoomScale="112" zoomScaleNormal="112" workbookViewId="0">
      <selection activeCell="D86" sqref="D86"/>
    </sheetView>
  </sheetViews>
  <sheetFormatPr baseColWidth="10" defaultColWidth="11.42578125" defaultRowHeight="15" x14ac:dyDescent="0.25"/>
  <cols>
    <col min="1" max="1" width="50.85546875" style="229" bestFit="1" customWidth="1"/>
    <col min="2" max="6" width="11.42578125" style="229" customWidth="1"/>
    <col min="7" max="16384" width="11.42578125" style="229"/>
  </cols>
  <sheetData>
    <row r="1" spans="1:7" ht="18.75" x14ac:dyDescent="0.3">
      <c r="A1" s="228" t="s">
        <v>157</v>
      </c>
      <c r="B1" s="362"/>
      <c r="C1" s="362"/>
      <c r="D1" s="362"/>
      <c r="E1" s="362"/>
    </row>
    <row r="2" spans="1:7" x14ac:dyDescent="0.25">
      <c r="A2" s="332" t="s">
        <v>249</v>
      </c>
      <c r="B2" s="362"/>
      <c r="C2" s="362"/>
      <c r="D2" s="362"/>
      <c r="E2" s="362"/>
    </row>
    <row r="3" spans="1:7" x14ac:dyDescent="0.25">
      <c r="A3" s="332" t="s">
        <v>88</v>
      </c>
      <c r="B3" s="362"/>
      <c r="C3" s="362"/>
      <c r="D3" s="362"/>
      <c r="E3" s="362"/>
    </row>
    <row r="4" spans="1:7" x14ac:dyDescent="0.25">
      <c r="A4" s="231" t="s">
        <v>159</v>
      </c>
      <c r="B4" s="362"/>
      <c r="C4" s="362"/>
      <c r="D4" s="362"/>
      <c r="E4" s="362"/>
    </row>
    <row r="5" spans="1:7" ht="15.75" thickBot="1" x14ac:dyDescent="0.3"/>
    <row r="6" spans="1:7" ht="23.25" thickBot="1" x14ac:dyDescent="0.3">
      <c r="A6" s="337"/>
      <c r="B6" s="338" t="s">
        <v>240</v>
      </c>
      <c r="C6" s="410" t="s">
        <v>246</v>
      </c>
      <c r="D6" s="420" t="s">
        <v>140</v>
      </c>
      <c r="E6" s="338" t="s">
        <v>240</v>
      </c>
      <c r="F6" s="410" t="s">
        <v>248</v>
      </c>
      <c r="G6" s="420" t="s">
        <v>140</v>
      </c>
    </row>
    <row r="7" spans="1:7" ht="15.75" thickTop="1" x14ac:dyDescent="0.25">
      <c r="A7" s="376" t="s">
        <v>20</v>
      </c>
      <c r="B7" s="377"/>
      <c r="C7" s="411"/>
      <c r="D7" s="411"/>
      <c r="E7" s="377"/>
      <c r="F7" s="411"/>
      <c r="G7" s="411"/>
    </row>
    <row r="8" spans="1:7" x14ac:dyDescent="0.25">
      <c r="A8" s="378" t="s">
        <v>160</v>
      </c>
      <c r="B8" s="379"/>
      <c r="C8" s="412"/>
      <c r="D8" s="421"/>
      <c r="E8" s="379"/>
      <c r="F8" s="412"/>
      <c r="G8" s="421"/>
    </row>
    <row r="9" spans="1:7" ht="15.75" thickBot="1" x14ac:dyDescent="0.3">
      <c r="A9" s="240" t="s">
        <v>161</v>
      </c>
      <c r="B9" s="242">
        <v>219322</v>
      </c>
      <c r="C9" s="413">
        <v>268250</v>
      </c>
      <c r="D9" s="422">
        <f t="shared" ref="D9:D15" si="0">(C9-B9)/B9</f>
        <v>0.22308751516035782</v>
      </c>
      <c r="E9" s="242">
        <v>219322</v>
      </c>
      <c r="F9" s="413">
        <v>277418</v>
      </c>
      <c r="G9" s="422">
        <f>(F9-E9)/E9</f>
        <v>0.26488906721623912</v>
      </c>
    </row>
    <row r="10" spans="1:7" ht="15.75" thickBot="1" x14ac:dyDescent="0.3">
      <c r="A10" s="240" t="s">
        <v>162</v>
      </c>
      <c r="B10" s="242">
        <v>889197</v>
      </c>
      <c r="C10" s="413">
        <v>923153</v>
      </c>
      <c r="D10" s="422">
        <f t="shared" si="0"/>
        <v>3.8187263339844825E-2</v>
      </c>
      <c r="E10" s="242">
        <v>889197</v>
      </c>
      <c r="F10" s="413">
        <v>934808</v>
      </c>
      <c r="G10" s="422">
        <f t="shared" ref="G10:G15" si="1">(F10-E10)/E10</f>
        <v>5.1294595011004314E-2</v>
      </c>
    </row>
    <row r="11" spans="1:7" ht="15.75" thickBot="1" x14ac:dyDescent="0.3">
      <c r="A11" s="240" t="s">
        <v>36</v>
      </c>
      <c r="B11" s="242">
        <v>1028417</v>
      </c>
      <c r="C11" s="413">
        <v>1051962</v>
      </c>
      <c r="D11" s="422">
        <f t="shared" si="0"/>
        <v>2.2894409563435844E-2</v>
      </c>
      <c r="E11" s="242">
        <v>1028417</v>
      </c>
      <c r="F11" s="413">
        <v>1050504</v>
      </c>
      <c r="G11" s="422">
        <f t="shared" si="1"/>
        <v>2.1476696709603206E-2</v>
      </c>
    </row>
    <row r="12" spans="1:7" ht="15.75" thickBot="1" x14ac:dyDescent="0.3">
      <c r="A12" s="240" t="s">
        <v>163</v>
      </c>
      <c r="B12" s="242">
        <v>75677</v>
      </c>
      <c r="C12" s="413">
        <v>80216</v>
      </c>
      <c r="D12" s="422">
        <f t="shared" si="0"/>
        <v>5.9978593231761301E-2</v>
      </c>
      <c r="E12" s="242">
        <v>75677</v>
      </c>
      <c r="F12" s="413">
        <v>85304</v>
      </c>
      <c r="G12" s="422">
        <f t="shared" si="1"/>
        <v>0.12721170236663715</v>
      </c>
    </row>
    <row r="13" spans="1:7" ht="15.75" thickBot="1" x14ac:dyDescent="0.3">
      <c r="A13" s="240" t="s">
        <v>164</v>
      </c>
      <c r="B13" s="242">
        <v>246832</v>
      </c>
      <c r="C13" s="413">
        <v>269943</v>
      </c>
      <c r="D13" s="422">
        <f t="shared" si="0"/>
        <v>9.3630485512413306E-2</v>
      </c>
      <c r="E13" s="242">
        <v>246832</v>
      </c>
      <c r="F13" s="413">
        <v>258291</v>
      </c>
      <c r="G13" s="422">
        <f t="shared" si="1"/>
        <v>4.6424288584948466E-2</v>
      </c>
    </row>
    <row r="14" spans="1:7" ht="15.75" thickBot="1" x14ac:dyDescent="0.3">
      <c r="A14" s="245" t="s">
        <v>165</v>
      </c>
      <c r="B14" s="247">
        <v>100330</v>
      </c>
      <c r="C14" s="414">
        <v>80239</v>
      </c>
      <c r="D14" s="422">
        <f t="shared" si="0"/>
        <v>-0.20024917771354531</v>
      </c>
      <c r="E14" s="247">
        <v>100330</v>
      </c>
      <c r="F14" s="414">
        <v>35803</v>
      </c>
      <c r="G14" s="422">
        <f t="shared" si="1"/>
        <v>-0.64314761287750422</v>
      </c>
    </row>
    <row r="15" spans="1:7" ht="15.75" thickBot="1" x14ac:dyDescent="0.3">
      <c r="A15" s="249" t="s">
        <v>166</v>
      </c>
      <c r="B15" s="250">
        <f>SUM(B9:B14)</f>
        <v>2559775</v>
      </c>
      <c r="C15" s="415">
        <f>SUM(C9:C14)</f>
        <v>2673763</v>
      </c>
      <c r="D15" s="422">
        <f t="shared" si="0"/>
        <v>4.4530476311394555E-2</v>
      </c>
      <c r="E15" s="250">
        <f>SUM(E9:E14)</f>
        <v>2559775</v>
      </c>
      <c r="F15" s="415">
        <f>SUM(F9:F14)</f>
        <v>2642128</v>
      </c>
      <c r="G15" s="422">
        <f t="shared" si="1"/>
        <v>3.217196823939604E-2</v>
      </c>
    </row>
    <row r="16" spans="1:7" x14ac:dyDescent="0.25">
      <c r="A16" s="378" t="s">
        <v>167</v>
      </c>
      <c r="B16" s="379"/>
      <c r="C16" s="412"/>
      <c r="D16" s="421"/>
      <c r="E16" s="379"/>
      <c r="F16" s="412"/>
      <c r="G16" s="421"/>
    </row>
    <row r="17" spans="1:7" ht="15.75" thickBot="1" x14ac:dyDescent="0.3">
      <c r="A17" s="240" t="s">
        <v>162</v>
      </c>
      <c r="B17" s="242">
        <v>23495</v>
      </c>
      <c r="C17" s="413">
        <v>21943</v>
      </c>
      <c r="D17" s="422">
        <f t="shared" ref="D17:D28" si="2">(C17-B17)/B17</f>
        <v>-6.6056607788891247E-2</v>
      </c>
      <c r="E17" s="242">
        <v>23495</v>
      </c>
      <c r="F17" s="413">
        <v>23944</v>
      </c>
      <c r="G17" s="422">
        <f t="shared" ref="G17:G28" si="3">(F17-E17)/E17</f>
        <v>1.9110449031708873E-2</v>
      </c>
    </row>
    <row r="18" spans="1:7" ht="15.75" thickBot="1" x14ac:dyDescent="0.3">
      <c r="A18" s="240" t="s">
        <v>168</v>
      </c>
      <c r="B18" s="242">
        <v>7433</v>
      </c>
      <c r="C18" s="413">
        <v>8040</v>
      </c>
      <c r="D18" s="422">
        <f t="shared" si="2"/>
        <v>8.1662854836539761E-2</v>
      </c>
      <c r="E18" s="242">
        <v>7433</v>
      </c>
      <c r="F18" s="413">
        <v>8563</v>
      </c>
      <c r="G18" s="422">
        <f t="shared" si="3"/>
        <v>0.15202475447329478</v>
      </c>
    </row>
    <row r="19" spans="1:7" ht="15.75" thickBot="1" x14ac:dyDescent="0.3">
      <c r="A19" s="240" t="s">
        <v>169</v>
      </c>
      <c r="B19" s="242">
        <v>164510</v>
      </c>
      <c r="C19" s="413">
        <v>162693</v>
      </c>
      <c r="D19" s="422">
        <f t="shared" si="2"/>
        <v>-1.104492128138107E-2</v>
      </c>
      <c r="E19" s="242">
        <v>164510</v>
      </c>
      <c r="F19" s="413">
        <v>175634</v>
      </c>
      <c r="G19" s="422">
        <f t="shared" si="3"/>
        <v>6.7618989727068257E-2</v>
      </c>
    </row>
    <row r="20" spans="1:7" ht="15.75" thickBot="1" x14ac:dyDescent="0.3">
      <c r="A20" s="240" t="s">
        <v>170</v>
      </c>
      <c r="B20" s="242">
        <v>3885206</v>
      </c>
      <c r="C20" s="413">
        <v>4010528</v>
      </c>
      <c r="D20" s="422">
        <f t="shared" si="2"/>
        <v>3.2256204690304713E-2</v>
      </c>
      <c r="E20" s="242">
        <v>3885206</v>
      </c>
      <c r="F20" s="413">
        <v>4081768</v>
      </c>
      <c r="G20" s="422">
        <f t="shared" si="3"/>
        <v>5.0592426759353298E-2</v>
      </c>
    </row>
    <row r="21" spans="1:7" ht="15.75" thickBot="1" x14ac:dyDescent="0.3">
      <c r="A21" s="240" t="s">
        <v>171</v>
      </c>
      <c r="B21" s="242">
        <v>3383513</v>
      </c>
      <c r="C21" s="413">
        <v>3334995</v>
      </c>
      <c r="D21" s="422">
        <f t="shared" si="2"/>
        <v>-1.4339534087795732E-2</v>
      </c>
      <c r="E21" s="242">
        <v>3383513</v>
      </c>
      <c r="F21" s="413">
        <v>3377048</v>
      </c>
      <c r="G21" s="422">
        <f t="shared" si="3"/>
        <v>-1.9107359717548003E-3</v>
      </c>
    </row>
    <row r="22" spans="1:7" ht="15.75" thickBot="1" x14ac:dyDescent="0.3">
      <c r="A22" s="240" t="s">
        <v>141</v>
      </c>
      <c r="B22" s="242">
        <v>71842</v>
      </c>
      <c r="C22" s="413">
        <v>71797</v>
      </c>
      <c r="D22" s="422">
        <f t="shared" si="2"/>
        <v>-6.2637454413852619E-4</v>
      </c>
      <c r="E22" s="242">
        <v>71842</v>
      </c>
      <c r="F22" s="413">
        <v>71751</v>
      </c>
      <c r="G22" s="422">
        <f t="shared" si="3"/>
        <v>-1.2666685225912419E-3</v>
      </c>
    </row>
    <row r="23" spans="1:7" ht="15.75" thickBot="1" x14ac:dyDescent="0.3">
      <c r="A23" s="240" t="s">
        <v>247</v>
      </c>
      <c r="B23" s="242">
        <v>2034454</v>
      </c>
      <c r="C23" s="413">
        <v>2003664</v>
      </c>
      <c r="D23" s="422">
        <f t="shared" si="2"/>
        <v>-1.5134281728660368E-2</v>
      </c>
      <c r="E23" s="242">
        <v>2034454</v>
      </c>
      <c r="F23" s="413">
        <v>2059277</v>
      </c>
      <c r="G23" s="422">
        <f t="shared" si="3"/>
        <v>1.2201308065947915E-2</v>
      </c>
    </row>
    <row r="24" spans="1:7" ht="15.75" thickBot="1" x14ac:dyDescent="0.3">
      <c r="A24" s="240" t="s">
        <v>173</v>
      </c>
      <c r="B24" s="242">
        <v>1163671</v>
      </c>
      <c r="C24" s="413">
        <v>1143667</v>
      </c>
      <c r="D24" s="422">
        <f t="shared" si="2"/>
        <v>-1.7190425816231564E-2</v>
      </c>
      <c r="E24" s="242">
        <v>1163671</v>
      </c>
      <c r="F24" s="413">
        <v>1162725</v>
      </c>
      <c r="G24" s="422">
        <f t="shared" si="3"/>
        <v>-8.129445521973135E-4</v>
      </c>
    </row>
    <row r="25" spans="1:7" ht="15.75" thickBot="1" x14ac:dyDescent="0.3">
      <c r="A25" s="240" t="s">
        <v>174</v>
      </c>
      <c r="B25" s="242">
        <v>356994</v>
      </c>
      <c r="C25" s="413">
        <v>355573</v>
      </c>
      <c r="D25" s="422">
        <f t="shared" si="2"/>
        <v>-3.9804590553342636E-3</v>
      </c>
      <c r="E25" s="242">
        <v>356994</v>
      </c>
      <c r="F25" s="413">
        <v>374942</v>
      </c>
      <c r="G25" s="422">
        <f t="shared" si="3"/>
        <v>5.027535476786725E-2</v>
      </c>
    </row>
    <row r="26" spans="1:7" ht="15.75" thickBot="1" x14ac:dyDescent="0.3">
      <c r="A26" s="245" t="s">
        <v>25</v>
      </c>
      <c r="B26" s="247">
        <v>48661</v>
      </c>
      <c r="C26" s="414">
        <v>49430</v>
      </c>
      <c r="D26" s="423">
        <f t="shared" si="2"/>
        <v>1.5803209962803887E-2</v>
      </c>
      <c r="E26" s="247">
        <v>48661</v>
      </c>
      <c r="F26" s="414">
        <v>95978</v>
      </c>
      <c r="G26" s="423">
        <f t="shared" si="3"/>
        <v>0.97238034565668607</v>
      </c>
    </row>
    <row r="27" spans="1:7" ht="15.75" thickBot="1" x14ac:dyDescent="0.3">
      <c r="A27" s="249" t="s">
        <v>175</v>
      </c>
      <c r="B27" s="250">
        <f>SUM(B17:B26)</f>
        <v>11139779</v>
      </c>
      <c r="C27" s="415">
        <v>11162330</v>
      </c>
      <c r="D27" s="424">
        <f t="shared" si="2"/>
        <v>2.0243669106900595E-3</v>
      </c>
      <c r="E27" s="250">
        <f>SUM(E17:E26)</f>
        <v>11139779</v>
      </c>
      <c r="F27" s="415">
        <f>SUM(F17:F26)</f>
        <v>11431630</v>
      </c>
      <c r="G27" s="424">
        <f t="shared" si="3"/>
        <v>2.6198993714327726E-2</v>
      </c>
    </row>
    <row r="28" spans="1:7" ht="15.75" thickBot="1" x14ac:dyDescent="0.3">
      <c r="A28" s="382" t="s">
        <v>176</v>
      </c>
      <c r="B28" s="383">
        <f>+B15+B27</f>
        <v>13699554</v>
      </c>
      <c r="C28" s="416">
        <f>+C15+C27</f>
        <v>13836093</v>
      </c>
      <c r="D28" s="425">
        <f t="shared" si="2"/>
        <v>9.9666748275162829E-3</v>
      </c>
      <c r="E28" s="383">
        <f>+E15+E27</f>
        <v>13699554</v>
      </c>
      <c r="F28" s="416">
        <f>+F15+F27</f>
        <v>14073758</v>
      </c>
      <c r="G28" s="425">
        <f t="shared" si="3"/>
        <v>2.7315049818410146E-2</v>
      </c>
    </row>
    <row r="29" spans="1:7" x14ac:dyDescent="0.25">
      <c r="A29" s="376" t="s">
        <v>142</v>
      </c>
      <c r="B29" s="377"/>
      <c r="C29" s="411"/>
      <c r="D29" s="411"/>
      <c r="E29" s="377"/>
      <c r="F29" s="411"/>
      <c r="G29" s="411"/>
    </row>
    <row r="30" spans="1:7" x14ac:dyDescent="0.25">
      <c r="A30" s="378" t="s">
        <v>177</v>
      </c>
      <c r="B30" s="379"/>
      <c r="C30" s="412"/>
      <c r="D30" s="421"/>
      <c r="E30" s="379"/>
      <c r="F30" s="412"/>
      <c r="G30" s="421"/>
    </row>
    <row r="31" spans="1:7" ht="15.75" thickBot="1" x14ac:dyDescent="0.3">
      <c r="A31" s="240" t="s">
        <v>28</v>
      </c>
      <c r="B31" s="242">
        <v>847689</v>
      </c>
      <c r="C31" s="413">
        <v>766418</v>
      </c>
      <c r="D31" s="422">
        <f t="shared" ref="D31:D37" si="4">(C31-B31)/B31</f>
        <v>-9.5873604588475256E-2</v>
      </c>
      <c r="E31" s="242">
        <v>847689</v>
      </c>
      <c r="F31" s="413">
        <v>656202</v>
      </c>
      <c r="G31" s="422">
        <f t="shared" ref="G31:G37" si="5">(F31-E31)/E31</f>
        <v>-0.22589298669677205</v>
      </c>
    </row>
    <row r="32" spans="1:7" ht="15.75" thickBot="1" x14ac:dyDescent="0.3">
      <c r="A32" s="240" t="s">
        <v>178</v>
      </c>
      <c r="B32" s="242">
        <v>888840</v>
      </c>
      <c r="C32" s="413">
        <v>950671</v>
      </c>
      <c r="D32" s="422">
        <f t="shared" si="4"/>
        <v>6.9563701003555189E-2</v>
      </c>
      <c r="E32" s="242">
        <v>888840</v>
      </c>
      <c r="F32" s="413">
        <v>930722</v>
      </c>
      <c r="G32" s="422">
        <f t="shared" si="5"/>
        <v>4.7119841591287522E-2</v>
      </c>
    </row>
    <row r="33" spans="1:7" ht="15.75" thickBot="1" x14ac:dyDescent="0.3">
      <c r="A33" s="240" t="s">
        <v>30</v>
      </c>
      <c r="B33" s="242">
        <v>163362</v>
      </c>
      <c r="C33" s="413">
        <v>156179</v>
      </c>
      <c r="D33" s="422">
        <f t="shared" si="4"/>
        <v>-4.3969833865892927E-2</v>
      </c>
      <c r="E33" s="242">
        <v>163362</v>
      </c>
      <c r="F33" s="413">
        <v>200054</v>
      </c>
      <c r="G33" s="422">
        <f t="shared" si="5"/>
        <v>0.22460547740600628</v>
      </c>
    </row>
    <row r="34" spans="1:7" ht="15.75" thickBot="1" x14ac:dyDescent="0.3">
      <c r="A34" s="240" t="s">
        <v>179</v>
      </c>
      <c r="B34" s="242">
        <v>161592</v>
      </c>
      <c r="C34" s="413">
        <v>153375</v>
      </c>
      <c r="D34" s="422">
        <f t="shared" si="4"/>
        <v>-5.0850289618297934E-2</v>
      </c>
      <c r="E34" s="242">
        <v>161592</v>
      </c>
      <c r="F34" s="413">
        <v>151445</v>
      </c>
      <c r="G34" s="422">
        <f t="shared" si="5"/>
        <v>-6.2793950195554241E-2</v>
      </c>
    </row>
    <row r="35" spans="1:7" ht="15.75" thickBot="1" x14ac:dyDescent="0.3">
      <c r="A35" s="240" t="s">
        <v>180</v>
      </c>
      <c r="B35" s="242">
        <v>2734</v>
      </c>
      <c r="C35" s="413">
        <v>1360</v>
      </c>
      <c r="D35" s="422">
        <f t="shared" si="4"/>
        <v>-0.50256035113386976</v>
      </c>
      <c r="E35" s="242">
        <v>2734</v>
      </c>
      <c r="F35" s="413">
        <v>1139</v>
      </c>
      <c r="G35" s="422">
        <f t="shared" si="5"/>
        <v>-0.58339429407461596</v>
      </c>
    </row>
    <row r="36" spans="1:7" ht="15.75" thickBot="1" x14ac:dyDescent="0.3">
      <c r="A36" s="245" t="s">
        <v>143</v>
      </c>
      <c r="B36" s="247">
        <v>49746</v>
      </c>
      <c r="C36" s="414">
        <v>49399</v>
      </c>
      <c r="D36" s="423">
        <f t="shared" si="4"/>
        <v>-6.9754352108712262E-3</v>
      </c>
      <c r="E36" s="247">
        <v>49746</v>
      </c>
      <c r="F36" s="414">
        <v>43019</v>
      </c>
      <c r="G36" s="423">
        <f t="shared" si="5"/>
        <v>-0.13522695292083786</v>
      </c>
    </row>
    <row r="37" spans="1:7" ht="15.75" thickBot="1" x14ac:dyDescent="0.3">
      <c r="A37" s="249" t="s">
        <v>181</v>
      </c>
      <c r="B37" s="250">
        <f>SUM(B31:B36)</f>
        <v>2113963</v>
      </c>
      <c r="C37" s="415">
        <f>SUM(C31:C36)</f>
        <v>2077402</v>
      </c>
      <c r="D37" s="424">
        <f t="shared" si="4"/>
        <v>-1.7295004690242925E-2</v>
      </c>
      <c r="E37" s="250">
        <f>SUM(E31:E36)</f>
        <v>2113963</v>
      </c>
      <c r="F37" s="415">
        <f>SUM(F31:F36)</f>
        <v>1982581</v>
      </c>
      <c r="G37" s="424">
        <f t="shared" si="5"/>
        <v>-6.2149621350988643E-2</v>
      </c>
    </row>
    <row r="38" spans="1:7" x14ac:dyDescent="0.25">
      <c r="A38" s="378" t="s">
        <v>182</v>
      </c>
      <c r="B38" s="379"/>
      <c r="C38" s="412"/>
      <c r="D38" s="421"/>
      <c r="E38" s="379"/>
      <c r="F38" s="412"/>
      <c r="G38" s="421"/>
    </row>
    <row r="39" spans="1:7" ht="15.75" thickBot="1" x14ac:dyDescent="0.3">
      <c r="A39" s="240" t="s">
        <v>28</v>
      </c>
      <c r="B39" s="242">
        <v>2277429</v>
      </c>
      <c r="C39" s="413">
        <v>2521441</v>
      </c>
      <c r="D39" s="422">
        <f t="shared" ref="D39:D45" si="6">(C39-B39)/B39</f>
        <v>0.10714362555320056</v>
      </c>
      <c r="E39" s="242">
        <v>2277429</v>
      </c>
      <c r="F39" s="413">
        <v>2514525</v>
      </c>
      <c r="G39" s="422">
        <f t="shared" ref="G39:G45" si="7">(F39-E39)/E39</f>
        <v>0.10410686787601282</v>
      </c>
    </row>
    <row r="40" spans="1:7" ht="15.75" thickBot="1" x14ac:dyDescent="0.3">
      <c r="A40" s="240" t="s">
        <v>178</v>
      </c>
      <c r="B40" s="241">
        <v>158</v>
      </c>
      <c r="C40" s="417">
        <v>158</v>
      </c>
      <c r="D40" s="422">
        <f t="shared" si="6"/>
        <v>0</v>
      </c>
      <c r="E40" s="241">
        <v>158</v>
      </c>
      <c r="F40" s="417">
        <v>158</v>
      </c>
      <c r="G40" s="422">
        <f t="shared" si="7"/>
        <v>0</v>
      </c>
    </row>
    <row r="41" spans="1:7" ht="15.75" thickBot="1" x14ac:dyDescent="0.3">
      <c r="A41" s="240" t="s">
        <v>179</v>
      </c>
      <c r="B41" s="242">
        <v>216744</v>
      </c>
      <c r="C41" s="413">
        <v>221537</v>
      </c>
      <c r="D41" s="422">
        <f t="shared" si="6"/>
        <v>2.2113645591112095E-2</v>
      </c>
      <c r="E41" s="242">
        <v>216744</v>
      </c>
      <c r="F41" s="413">
        <v>229319</v>
      </c>
      <c r="G41" s="422">
        <f t="shared" si="7"/>
        <v>5.8017753663307865E-2</v>
      </c>
    </row>
    <row r="42" spans="1:7" ht="15.75" thickBot="1" x14ac:dyDescent="0.3">
      <c r="A42" s="240" t="s">
        <v>183</v>
      </c>
      <c r="B42" s="242">
        <v>705700</v>
      </c>
      <c r="C42" s="413">
        <v>700242</v>
      </c>
      <c r="D42" s="422">
        <f t="shared" si="6"/>
        <v>-7.7341646592036274E-3</v>
      </c>
      <c r="E42" s="242">
        <v>705700</v>
      </c>
      <c r="F42" s="413">
        <v>701487</v>
      </c>
      <c r="G42" s="422">
        <f t="shared" si="7"/>
        <v>-5.9699589060507301E-3</v>
      </c>
    </row>
    <row r="43" spans="1:7" ht="15.75" thickBot="1" x14ac:dyDescent="0.3">
      <c r="A43" s="245" t="s">
        <v>143</v>
      </c>
      <c r="B43" s="246">
        <v>600</v>
      </c>
      <c r="C43" s="418">
        <v>618</v>
      </c>
      <c r="D43" s="422">
        <f t="shared" si="6"/>
        <v>0.03</v>
      </c>
      <c r="E43" s="246">
        <v>600</v>
      </c>
      <c r="F43" s="418">
        <v>657</v>
      </c>
      <c r="G43" s="422">
        <f t="shared" si="7"/>
        <v>9.5000000000000001E-2</v>
      </c>
    </row>
    <row r="44" spans="1:7" ht="15.75" thickBot="1" x14ac:dyDescent="0.3">
      <c r="A44" s="249" t="s">
        <v>185</v>
      </c>
      <c r="B44" s="250">
        <f>SUM(B39:B43)</f>
        <v>3200631</v>
      </c>
      <c r="C44" s="415">
        <f>SUM(C39:C43)</f>
        <v>3443996</v>
      </c>
      <c r="D44" s="424">
        <f t="shared" si="6"/>
        <v>7.6036569039042615E-2</v>
      </c>
      <c r="E44" s="250">
        <f>SUM(E39:E43)</f>
        <v>3200631</v>
      </c>
      <c r="F44" s="415">
        <f>SUM(F39:F43)</f>
        <v>3446146</v>
      </c>
      <c r="G44" s="424">
        <f t="shared" si="7"/>
        <v>7.6708311579810354E-2</v>
      </c>
    </row>
    <row r="45" spans="1:7" ht="15.75" thickBot="1" x14ac:dyDescent="0.3">
      <c r="A45" s="382" t="s">
        <v>186</v>
      </c>
      <c r="B45" s="383">
        <f>+B37+B44</f>
        <v>5314594</v>
      </c>
      <c r="C45" s="416">
        <f>+C37+C44</f>
        <v>5521398</v>
      </c>
      <c r="D45" s="425">
        <f t="shared" si="6"/>
        <v>3.8912473840899228E-2</v>
      </c>
      <c r="E45" s="383">
        <f>+E37+E44</f>
        <v>5314594</v>
      </c>
      <c r="F45" s="416">
        <f>+F37+F44</f>
        <v>5428727</v>
      </c>
      <c r="G45" s="425">
        <f t="shared" si="7"/>
        <v>2.1475393981177114E-2</v>
      </c>
    </row>
    <row r="46" spans="1:7" x14ac:dyDescent="0.25">
      <c r="A46" s="376" t="s">
        <v>34</v>
      </c>
      <c r="B46" s="377"/>
      <c r="C46" s="411"/>
      <c r="D46" s="411"/>
      <c r="E46" s="377"/>
      <c r="F46" s="411"/>
      <c r="G46" s="411"/>
    </row>
    <row r="47" spans="1:7" ht="15.75" thickBot="1" x14ac:dyDescent="0.3">
      <c r="A47" s="249" t="s">
        <v>187</v>
      </c>
      <c r="B47" s="250">
        <v>8346719</v>
      </c>
      <c r="C47" s="415">
        <v>8274696</v>
      </c>
      <c r="D47" s="424">
        <f>(C47-B47)/B47</f>
        <v>-8.628899571196778E-3</v>
      </c>
      <c r="E47" s="250">
        <v>8346719</v>
      </c>
      <c r="F47" s="415">
        <v>8606275</v>
      </c>
      <c r="G47" s="424">
        <f>(F47-E47)/E47</f>
        <v>3.109676988047639E-2</v>
      </c>
    </row>
    <row r="48" spans="1:7" ht="15.75" thickBot="1" x14ac:dyDescent="0.3">
      <c r="A48" s="259" t="s">
        <v>188</v>
      </c>
      <c r="B48" s="247">
        <v>38241</v>
      </c>
      <c r="C48" s="414">
        <v>39999</v>
      </c>
      <c r="D48" s="423">
        <f>(C48-B48)/B48</f>
        <v>4.5971601161057501E-2</v>
      </c>
      <c r="E48" s="247">
        <v>38241</v>
      </c>
      <c r="F48" s="414">
        <v>38756</v>
      </c>
      <c r="G48" s="423">
        <f>(F48-E48)/E48</f>
        <v>1.3467221045474752E-2</v>
      </c>
    </row>
    <row r="49" spans="1:20" ht="15.75" thickBot="1" x14ac:dyDescent="0.3">
      <c r="A49" s="382" t="s">
        <v>189</v>
      </c>
      <c r="B49" s="383">
        <f>SUM(B47:B48)</f>
        <v>8384960</v>
      </c>
      <c r="C49" s="416">
        <f>SUM(C47:C48)</f>
        <v>8314695</v>
      </c>
      <c r="D49" s="425">
        <f>(C49-B49)/B49</f>
        <v>-8.3798849368392925E-3</v>
      </c>
      <c r="E49" s="383">
        <f>SUM(E47:E48)</f>
        <v>8384960</v>
      </c>
      <c r="F49" s="416">
        <f>SUM(F47:F48)</f>
        <v>8645031</v>
      </c>
      <c r="G49" s="425">
        <f>(F49-E49)/E49</f>
        <v>3.1016367400679312E-2</v>
      </c>
    </row>
    <row r="50" spans="1:20" ht="15.75" thickBot="1" x14ac:dyDescent="0.3">
      <c r="A50" s="380" t="s">
        <v>190</v>
      </c>
      <c r="B50" s="381">
        <f>+B45+B49</f>
        <v>13699554</v>
      </c>
      <c r="C50" s="419">
        <f>+C45+C49</f>
        <v>13836093</v>
      </c>
      <c r="D50" s="426">
        <f>(C50-B50)/B50</f>
        <v>9.9666748275162829E-3</v>
      </c>
      <c r="E50" s="381">
        <f>+E45+E49</f>
        <v>13699554</v>
      </c>
      <c r="F50" s="419">
        <f>+F45+F49</f>
        <v>14073758</v>
      </c>
      <c r="G50" s="426">
        <f>(F50-E50)/E50</f>
        <v>2.7315049818410146E-2</v>
      </c>
    </row>
    <row r="52" spans="1:20" x14ac:dyDescent="0.25">
      <c r="C52" s="263"/>
      <c r="E52" s="263"/>
      <c r="H52" s="263"/>
      <c r="J52" s="263"/>
      <c r="M52" s="263"/>
      <c r="O52" s="263"/>
      <c r="R52" s="263"/>
      <c r="T52" s="263"/>
    </row>
    <row r="53" spans="1:20" ht="18.75" x14ac:dyDescent="0.3">
      <c r="A53" s="264" t="s">
        <v>191</v>
      </c>
      <c r="B53" s="362"/>
      <c r="C53" s="362"/>
      <c r="D53" s="362"/>
      <c r="E53" s="362"/>
    </row>
    <row r="54" spans="1:20" x14ac:dyDescent="0.25">
      <c r="A54" s="332" t="s">
        <v>215</v>
      </c>
      <c r="B54" s="362"/>
      <c r="C54" s="362"/>
      <c r="D54" s="362"/>
      <c r="E54" s="362"/>
    </row>
    <row r="55" spans="1:20" x14ac:dyDescent="0.25">
      <c r="A55" s="332" t="s">
        <v>88</v>
      </c>
      <c r="B55" s="362"/>
      <c r="C55" s="362"/>
      <c r="D55" s="362"/>
      <c r="E55" s="362"/>
    </row>
    <row r="56" spans="1:20" x14ac:dyDescent="0.25">
      <c r="A56" s="265" t="s">
        <v>159</v>
      </c>
      <c r="B56" s="362"/>
      <c r="C56" s="362"/>
      <c r="D56" s="362"/>
      <c r="E56" s="362"/>
    </row>
    <row r="57" spans="1:20" ht="15.75" thickBot="1" x14ac:dyDescent="0.3">
      <c r="B57" s="364"/>
      <c r="C57" s="364"/>
      <c r="D57" s="364"/>
      <c r="E57" s="364"/>
    </row>
    <row r="58" spans="1:20" ht="15.75" customHeight="1" thickBot="1" x14ac:dyDescent="0.3">
      <c r="A58" s="353"/>
      <c r="B58" s="388" t="s">
        <v>222</v>
      </c>
      <c r="C58" s="388" t="s">
        <v>55</v>
      </c>
      <c r="D58" s="400" t="s">
        <v>245</v>
      </c>
      <c r="E58" s="400" t="s">
        <v>55</v>
      </c>
      <c r="F58" s="388" t="s">
        <v>46</v>
      </c>
      <c r="G58" s="388" t="s">
        <v>222</v>
      </c>
      <c r="H58" s="400" t="s">
        <v>245</v>
      </c>
      <c r="I58" s="388" t="s">
        <v>231</v>
      </c>
      <c r="J58" s="388" t="s">
        <v>55</v>
      </c>
      <c r="K58" s="400" t="s">
        <v>250</v>
      </c>
      <c r="L58" s="400" t="s">
        <v>55</v>
      </c>
      <c r="M58" s="388" t="s">
        <v>46</v>
      </c>
      <c r="N58" s="388" t="s">
        <v>232</v>
      </c>
      <c r="O58" s="388" t="s">
        <v>55</v>
      </c>
      <c r="P58" s="400" t="s">
        <v>251</v>
      </c>
      <c r="Q58" s="400" t="s">
        <v>55</v>
      </c>
      <c r="R58" s="388" t="s">
        <v>46</v>
      </c>
    </row>
    <row r="59" spans="1:20" ht="15.75" thickTop="1" x14ac:dyDescent="0.25">
      <c r="A59" s="390" t="s">
        <v>193</v>
      </c>
      <c r="B59" s="389"/>
      <c r="C59" s="389"/>
      <c r="D59" s="401"/>
      <c r="E59" s="406"/>
      <c r="F59" s="389"/>
      <c r="G59" s="389"/>
      <c r="H59" s="401"/>
      <c r="I59" s="389"/>
      <c r="J59" s="389"/>
      <c r="K59" s="401"/>
      <c r="L59" s="406"/>
      <c r="M59" s="389"/>
      <c r="N59" s="389"/>
      <c r="O59" s="389"/>
      <c r="P59" s="401"/>
      <c r="Q59" s="406"/>
      <c r="R59" s="389"/>
    </row>
    <row r="60" spans="1:20" ht="15.75" thickBot="1" x14ac:dyDescent="0.3">
      <c r="A60" s="391" t="s">
        <v>194</v>
      </c>
      <c r="B60" s="395">
        <v>2104216</v>
      </c>
      <c r="C60" s="387">
        <f t="shared" ref="C60:C81" si="8">+B60/$B$60</f>
        <v>1</v>
      </c>
      <c r="D60" s="395">
        <v>2041823</v>
      </c>
      <c r="E60" s="387">
        <f t="shared" ref="E60:E81" si="9">+D60/$D$60</f>
        <v>1</v>
      </c>
      <c r="F60" s="387">
        <f t="shared" ref="F60:F81" si="10">(D60-B60)/B60</f>
        <v>-2.9651423618107648E-2</v>
      </c>
      <c r="G60" s="395">
        <v>2104216</v>
      </c>
      <c r="H60" s="395">
        <v>2041823</v>
      </c>
      <c r="I60" s="395">
        <v>2101067</v>
      </c>
      <c r="J60" s="387">
        <f t="shared" ref="J60:J81" si="11">+I60/$I$60</f>
        <v>1</v>
      </c>
      <c r="K60" s="395">
        <v>2117243</v>
      </c>
      <c r="L60" s="387">
        <f t="shared" ref="L60:L81" si="12">+K60/$K$60</f>
        <v>1</v>
      </c>
      <c r="M60" s="387">
        <f>(K60-I60)/I60</f>
        <v>7.6989453453887953E-3</v>
      </c>
      <c r="N60" s="395">
        <f>+G60+I60</f>
        <v>4205283</v>
      </c>
      <c r="O60" s="387">
        <f t="shared" ref="O60:O81" si="13">+N60/$N$60</f>
        <v>1</v>
      </c>
      <c r="P60" s="395">
        <f>+H60+K60</f>
        <v>4159066</v>
      </c>
      <c r="Q60" s="387">
        <f t="shared" ref="Q60:Q81" si="14">+P60/$P$60</f>
        <v>1</v>
      </c>
      <c r="R60" s="387">
        <f>(P60-N60)/N60</f>
        <v>-1.0990223487931728E-2</v>
      </c>
    </row>
    <row r="61" spans="1:20" ht="15.75" thickBot="1" x14ac:dyDescent="0.3">
      <c r="A61" s="392" t="s">
        <v>195</v>
      </c>
      <c r="B61" s="396">
        <v>-1196310</v>
      </c>
      <c r="C61" s="384">
        <f t="shared" si="8"/>
        <v>-0.56853003684032433</v>
      </c>
      <c r="D61" s="402">
        <v>-1150561</v>
      </c>
      <c r="E61" s="407">
        <f t="shared" si="9"/>
        <v>-0.56349693386743116</v>
      </c>
      <c r="F61" s="384">
        <f t="shared" si="10"/>
        <v>-3.8241760078909316E-2</v>
      </c>
      <c r="G61" s="396">
        <v>-1196310</v>
      </c>
      <c r="H61" s="402">
        <v>-1150561</v>
      </c>
      <c r="I61" s="396">
        <v>-1202985</v>
      </c>
      <c r="J61" s="384">
        <f t="shared" si="11"/>
        <v>-0.57255908545515211</v>
      </c>
      <c r="K61" s="402">
        <v>-1182469</v>
      </c>
      <c r="L61" s="407">
        <f t="shared" si="12"/>
        <v>-0.55849470278092783</v>
      </c>
      <c r="M61" s="384">
        <f t="shared" ref="M61:M81" si="15">(K61-I61)/I61</f>
        <v>-1.7054244234134257E-2</v>
      </c>
      <c r="N61" s="396">
        <f t="shared" ref="N61:N87" si="16">+G61+I61</f>
        <v>-2399295</v>
      </c>
      <c r="O61" s="384">
        <f t="shared" si="13"/>
        <v>-0.57054305263165406</v>
      </c>
      <c r="P61" s="402">
        <f t="shared" ref="P61:P87" si="17">+H61+K61</f>
        <v>-2333030</v>
      </c>
      <c r="Q61" s="407">
        <f t="shared" si="14"/>
        <v>-0.56095046339731081</v>
      </c>
      <c r="R61" s="384">
        <f t="shared" ref="R61:R81" si="18">(P61-N61)/N61</f>
        <v>-2.7618529609739529E-2</v>
      </c>
    </row>
    <row r="62" spans="1:20" ht="15.75" thickBot="1" x14ac:dyDescent="0.3">
      <c r="A62" s="393" t="s">
        <v>196</v>
      </c>
      <c r="B62" s="397">
        <f>SUM(B60:B61)</f>
        <v>907906</v>
      </c>
      <c r="C62" s="386">
        <f t="shared" si="8"/>
        <v>0.43146996315967562</v>
      </c>
      <c r="D62" s="403">
        <f>SUM(D60:D61)</f>
        <v>891262</v>
      </c>
      <c r="E62" s="408">
        <f t="shared" si="9"/>
        <v>0.43650306613256878</v>
      </c>
      <c r="F62" s="386">
        <f t="shared" si="10"/>
        <v>-1.833229431240679E-2</v>
      </c>
      <c r="G62" s="397">
        <f>SUM(G60:G61)</f>
        <v>907906</v>
      </c>
      <c r="H62" s="403">
        <f>SUM(H60:H61)</f>
        <v>891262</v>
      </c>
      <c r="I62" s="397">
        <f>SUM(I60:I61)</f>
        <v>898082</v>
      </c>
      <c r="J62" s="386">
        <f t="shared" si="11"/>
        <v>0.42744091454484795</v>
      </c>
      <c r="K62" s="403">
        <f>SUM(K60:K61)</f>
        <v>934774</v>
      </c>
      <c r="L62" s="408">
        <f t="shared" si="12"/>
        <v>0.44150529721907217</v>
      </c>
      <c r="M62" s="386">
        <f t="shared" si="15"/>
        <v>4.0855957473816422E-2</v>
      </c>
      <c r="N62" s="397">
        <f t="shared" si="16"/>
        <v>1805988</v>
      </c>
      <c r="O62" s="386">
        <f t="shared" si="13"/>
        <v>0.42945694736834594</v>
      </c>
      <c r="P62" s="403">
        <f t="shared" si="17"/>
        <v>1826036</v>
      </c>
      <c r="Q62" s="408">
        <f t="shared" si="14"/>
        <v>0.43904953660268914</v>
      </c>
      <c r="R62" s="386">
        <f t="shared" si="18"/>
        <v>1.1100848953592162E-2</v>
      </c>
    </row>
    <row r="63" spans="1:20" ht="15.75" thickBot="1" x14ac:dyDescent="0.3">
      <c r="A63" s="392" t="s">
        <v>7</v>
      </c>
      <c r="B63" s="396">
        <v>-97009</v>
      </c>
      <c r="C63" s="384">
        <f t="shared" si="8"/>
        <v>-4.6102206237382475E-2</v>
      </c>
      <c r="D63" s="402">
        <v>-100251</v>
      </c>
      <c r="E63" s="407">
        <f t="shared" si="9"/>
        <v>-4.9098771049204556E-2</v>
      </c>
      <c r="F63" s="384">
        <f t="shared" si="10"/>
        <v>3.3419579626632577E-2</v>
      </c>
      <c r="G63" s="396">
        <v>-97009</v>
      </c>
      <c r="H63" s="402">
        <v>-100251</v>
      </c>
      <c r="I63" s="396">
        <v>-96978</v>
      </c>
      <c r="J63" s="384">
        <f t="shared" si="11"/>
        <v>-4.6156548077714799E-2</v>
      </c>
      <c r="K63" s="402">
        <v>-95340</v>
      </c>
      <c r="L63" s="407">
        <f t="shared" si="12"/>
        <v>-4.5030258690192858E-2</v>
      </c>
      <c r="M63" s="384">
        <f t="shared" si="15"/>
        <v>-1.6890428757037678E-2</v>
      </c>
      <c r="N63" s="396">
        <f t="shared" si="16"/>
        <v>-193987</v>
      </c>
      <c r="O63" s="384">
        <f t="shared" si="13"/>
        <v>-4.6129356811420302E-2</v>
      </c>
      <c r="P63" s="402">
        <f t="shared" si="17"/>
        <v>-195591</v>
      </c>
      <c r="Q63" s="407">
        <f t="shared" si="14"/>
        <v>-4.7027625914087441E-2</v>
      </c>
      <c r="R63" s="384">
        <f t="shared" si="18"/>
        <v>8.2685953182429755E-3</v>
      </c>
    </row>
    <row r="64" spans="1:20" ht="15.75" thickBot="1" x14ac:dyDescent="0.3">
      <c r="A64" s="392" t="s">
        <v>8</v>
      </c>
      <c r="B64" s="396">
        <v>-547935</v>
      </c>
      <c r="C64" s="384">
        <f t="shared" si="8"/>
        <v>-0.26039864728716061</v>
      </c>
      <c r="D64" s="402">
        <v>-563544</v>
      </c>
      <c r="E64" s="407">
        <f t="shared" si="9"/>
        <v>-0.27600041727417118</v>
      </c>
      <c r="F64" s="384">
        <f t="shared" si="10"/>
        <v>2.8486955569547483E-2</v>
      </c>
      <c r="G64" s="396">
        <v>-547935</v>
      </c>
      <c r="H64" s="402">
        <v>-563544</v>
      </c>
      <c r="I64" s="396">
        <v>-580720</v>
      </c>
      <c r="J64" s="384">
        <f t="shared" si="11"/>
        <v>-0.27639289941729606</v>
      </c>
      <c r="K64" s="402">
        <v>-624951</v>
      </c>
      <c r="L64" s="407">
        <f t="shared" si="12"/>
        <v>-0.29517207047089067</v>
      </c>
      <c r="M64" s="384">
        <f t="shared" si="15"/>
        <v>7.6165794186527067E-2</v>
      </c>
      <c r="N64" s="396">
        <f t="shared" si="16"/>
        <v>-1128655</v>
      </c>
      <c r="O64" s="384">
        <f t="shared" si="13"/>
        <v>-0.26838978494431887</v>
      </c>
      <c r="P64" s="402">
        <f t="shared" si="17"/>
        <v>-1188495</v>
      </c>
      <c r="Q64" s="407">
        <f t="shared" si="14"/>
        <v>-0.28576007209310939</v>
      </c>
      <c r="R64" s="384">
        <f t="shared" si="18"/>
        <v>5.3018858730081379E-2</v>
      </c>
    </row>
    <row r="65" spans="1:18" ht="15.75" thickBot="1" x14ac:dyDescent="0.3">
      <c r="A65" s="392" t="s">
        <v>84</v>
      </c>
      <c r="B65" s="396">
        <v>-34692</v>
      </c>
      <c r="C65" s="384">
        <f t="shared" si="8"/>
        <v>-1.6486900584350657E-2</v>
      </c>
      <c r="D65" s="402">
        <v>-32942</v>
      </c>
      <c r="E65" s="407">
        <f t="shared" si="9"/>
        <v>-1.6133621768390307E-2</v>
      </c>
      <c r="F65" s="384">
        <f t="shared" si="10"/>
        <v>-5.0443906376109765E-2</v>
      </c>
      <c r="G65" s="396">
        <v>-34692</v>
      </c>
      <c r="H65" s="402">
        <v>-32942</v>
      </c>
      <c r="I65" s="396">
        <v>-34612</v>
      </c>
      <c r="J65" s="384">
        <f t="shared" si="11"/>
        <v>-1.6473534637400901E-2</v>
      </c>
      <c r="K65" s="402">
        <v>-33440</v>
      </c>
      <c r="L65" s="407">
        <f t="shared" si="12"/>
        <v>-1.5794124717852416E-2</v>
      </c>
      <c r="M65" s="384">
        <f t="shared" si="15"/>
        <v>-3.386108863977811E-2</v>
      </c>
      <c r="N65" s="396">
        <f t="shared" si="16"/>
        <v>-69304</v>
      </c>
      <c r="O65" s="384">
        <f t="shared" si="13"/>
        <v>-1.6480222615219951E-2</v>
      </c>
      <c r="P65" s="402">
        <f t="shared" si="17"/>
        <v>-66382</v>
      </c>
      <c r="Q65" s="407">
        <f t="shared" si="14"/>
        <v>-1.5960795043887258E-2</v>
      </c>
      <c r="R65" s="384">
        <f t="shared" si="18"/>
        <v>-4.2162068567470852E-2</v>
      </c>
    </row>
    <row r="66" spans="1:18" ht="15.75" thickBot="1" x14ac:dyDescent="0.3">
      <c r="A66" s="392" t="s">
        <v>197</v>
      </c>
      <c r="B66" s="396">
        <v>3848</v>
      </c>
      <c r="C66" s="384">
        <f t="shared" si="8"/>
        <v>1.8287096001551172E-3</v>
      </c>
      <c r="D66" s="402">
        <v>2176</v>
      </c>
      <c r="E66" s="407">
        <f t="shared" si="9"/>
        <v>1.0657143150997908E-3</v>
      </c>
      <c r="F66" s="384">
        <f t="shared" si="10"/>
        <v>-0.43451143451143454</v>
      </c>
      <c r="G66" s="396">
        <v>3848</v>
      </c>
      <c r="H66" s="402">
        <v>2176</v>
      </c>
      <c r="I66" s="396">
        <v>11938</v>
      </c>
      <c r="J66" s="384">
        <f t="shared" si="11"/>
        <v>5.6818749711456135E-3</v>
      </c>
      <c r="K66" s="402">
        <v>-1953</v>
      </c>
      <c r="L66" s="407">
        <f t="shared" si="12"/>
        <v>-9.2242600400615333E-4</v>
      </c>
      <c r="M66" s="384">
        <f t="shared" si="15"/>
        <v>-1.1635952420841011</v>
      </c>
      <c r="N66" s="396">
        <f t="shared" si="16"/>
        <v>15786</v>
      </c>
      <c r="O66" s="384">
        <f t="shared" si="13"/>
        <v>3.7538496220111701E-3</v>
      </c>
      <c r="P66" s="402">
        <f t="shared" si="17"/>
        <v>223</v>
      </c>
      <c r="Q66" s="407">
        <f t="shared" si="14"/>
        <v>5.3617807459655608E-5</v>
      </c>
      <c r="R66" s="384">
        <f t="shared" si="18"/>
        <v>-0.98587355884961358</v>
      </c>
    </row>
    <row r="67" spans="1:18" ht="15.75" thickBot="1" x14ac:dyDescent="0.3">
      <c r="A67" s="392" t="s">
        <v>144</v>
      </c>
      <c r="B67" s="396">
        <v>1169</v>
      </c>
      <c r="C67" s="384">
        <f t="shared" si="8"/>
        <v>5.5555133123215493E-4</v>
      </c>
      <c r="D67" s="402">
        <v>7084</v>
      </c>
      <c r="E67" s="407">
        <f t="shared" si="9"/>
        <v>3.4694486250767083E-3</v>
      </c>
      <c r="F67" s="384" t="s">
        <v>131</v>
      </c>
      <c r="G67" s="396">
        <v>1169</v>
      </c>
      <c r="H67" s="402">
        <v>7084</v>
      </c>
      <c r="I67" s="396">
        <v>7387</v>
      </c>
      <c r="J67" s="384">
        <f t="shared" si="11"/>
        <v>3.5158326697815917E-3</v>
      </c>
      <c r="K67" s="402">
        <v>14508</v>
      </c>
      <c r="L67" s="407">
        <f t="shared" si="12"/>
        <v>6.8523074583314242E-3</v>
      </c>
      <c r="M67" s="384">
        <f t="shared" si="15"/>
        <v>0.9639907946392311</v>
      </c>
      <c r="N67" s="396">
        <f t="shared" si="16"/>
        <v>8556</v>
      </c>
      <c r="O67" s="384">
        <f t="shared" si="13"/>
        <v>2.0345836415765596E-3</v>
      </c>
      <c r="P67" s="402">
        <f t="shared" si="17"/>
        <v>21592</v>
      </c>
      <c r="Q67" s="407">
        <f t="shared" si="14"/>
        <v>5.1915502182461161E-3</v>
      </c>
      <c r="R67" s="384">
        <f t="shared" si="18"/>
        <v>1.5236091631603552</v>
      </c>
    </row>
    <row r="68" spans="1:18" ht="15.75" thickBot="1" x14ac:dyDescent="0.3">
      <c r="A68" s="391" t="s">
        <v>198</v>
      </c>
      <c r="B68" s="395">
        <f>SUM(B62:B67)</f>
        <v>233287</v>
      </c>
      <c r="C68" s="387">
        <f t="shared" si="8"/>
        <v>0.11086646998216913</v>
      </c>
      <c r="D68" s="395">
        <f>SUM(D62:D67)</f>
        <v>203785</v>
      </c>
      <c r="E68" s="387">
        <f t="shared" si="9"/>
        <v>9.9805418980979249E-2</v>
      </c>
      <c r="F68" s="387">
        <f t="shared" si="10"/>
        <v>-0.12646225464770861</v>
      </c>
      <c r="G68" s="395">
        <f>SUM(G62:G67)</f>
        <v>233287</v>
      </c>
      <c r="H68" s="395">
        <f>SUM(H62:H67)</f>
        <v>203785</v>
      </c>
      <c r="I68" s="395">
        <f>SUM(I62:I67)</f>
        <v>205097</v>
      </c>
      <c r="J68" s="387">
        <f t="shared" si="11"/>
        <v>9.7615640053363359E-2</v>
      </c>
      <c r="K68" s="395">
        <f>SUM(K62:K67)</f>
        <v>193598</v>
      </c>
      <c r="L68" s="387">
        <f t="shared" si="12"/>
        <v>9.1438724794461482E-2</v>
      </c>
      <c r="M68" s="387">
        <f t="shared" si="15"/>
        <v>-5.6066154063686938E-2</v>
      </c>
      <c r="N68" s="395">
        <f t="shared" si="16"/>
        <v>438384</v>
      </c>
      <c r="O68" s="387">
        <f t="shared" si="13"/>
        <v>0.10424601626097459</v>
      </c>
      <c r="P68" s="395">
        <f t="shared" si="17"/>
        <v>397383</v>
      </c>
      <c r="Q68" s="387">
        <f t="shared" si="14"/>
        <v>9.5546211577310872E-2</v>
      </c>
      <c r="R68" s="387">
        <f t="shared" si="18"/>
        <v>-9.3527592247892255E-2</v>
      </c>
    </row>
    <row r="69" spans="1:18" ht="15.75" thickBot="1" x14ac:dyDescent="0.3">
      <c r="A69" s="392" t="s">
        <v>51</v>
      </c>
      <c r="B69" s="396">
        <v>2165</v>
      </c>
      <c r="C69" s="384">
        <f t="shared" si="8"/>
        <v>1.0288867682785418E-3</v>
      </c>
      <c r="D69" s="402">
        <v>2452</v>
      </c>
      <c r="E69" s="407">
        <f t="shared" si="9"/>
        <v>1.2008876381547275E-3</v>
      </c>
      <c r="F69" s="384">
        <f t="shared" si="10"/>
        <v>0.13256351039260969</v>
      </c>
      <c r="G69" s="396">
        <v>2165</v>
      </c>
      <c r="H69" s="402">
        <v>2452</v>
      </c>
      <c r="I69" s="396">
        <v>2482</v>
      </c>
      <c r="J69" s="384">
        <f t="shared" si="11"/>
        <v>1.1813045466898485E-3</v>
      </c>
      <c r="K69" s="402">
        <v>4392</v>
      </c>
      <c r="L69" s="407">
        <f t="shared" si="12"/>
        <v>2.0743958062442525E-3</v>
      </c>
      <c r="M69" s="384">
        <f t="shared" si="15"/>
        <v>0.76954069298952454</v>
      </c>
      <c r="N69" s="396">
        <f t="shared" si="16"/>
        <v>4647</v>
      </c>
      <c r="O69" s="384">
        <f t="shared" si="13"/>
        <v>1.1050385907440713E-3</v>
      </c>
      <c r="P69" s="402">
        <f t="shared" si="17"/>
        <v>6844</v>
      </c>
      <c r="Q69" s="407">
        <f t="shared" si="14"/>
        <v>1.6455617679546322E-3</v>
      </c>
      <c r="R69" s="384">
        <f t="shared" si="18"/>
        <v>0.47277813643210675</v>
      </c>
    </row>
    <row r="70" spans="1:18" ht="15.75" thickBot="1" x14ac:dyDescent="0.3">
      <c r="A70" s="392" t="s">
        <v>11</v>
      </c>
      <c r="B70" s="396">
        <v>-70846</v>
      </c>
      <c r="C70" s="384">
        <f t="shared" si="8"/>
        <v>-3.3668596760028438E-2</v>
      </c>
      <c r="D70" s="402">
        <v>-82389</v>
      </c>
      <c r="E70" s="407">
        <f t="shared" si="9"/>
        <v>-4.0350706207149201E-2</v>
      </c>
      <c r="F70" s="384">
        <f t="shared" si="10"/>
        <v>0.16293086412782656</v>
      </c>
      <c r="G70" s="396">
        <v>-70846</v>
      </c>
      <c r="H70" s="402">
        <v>-82389</v>
      </c>
      <c r="I70" s="396">
        <v>-82107</v>
      </c>
      <c r="J70" s="384">
        <f t="shared" si="11"/>
        <v>-3.907871571920362E-2</v>
      </c>
      <c r="K70" s="402">
        <v>-85584</v>
      </c>
      <c r="L70" s="407">
        <f t="shared" si="12"/>
        <v>-4.0422379481240465E-2</v>
      </c>
      <c r="M70" s="384">
        <f t="shared" si="15"/>
        <v>4.2347181117322517E-2</v>
      </c>
      <c r="N70" s="396">
        <f t="shared" si="16"/>
        <v>-152953</v>
      </c>
      <c r="O70" s="384">
        <f t="shared" si="13"/>
        <v>-3.6371630636986854E-2</v>
      </c>
      <c r="P70" s="402">
        <f t="shared" si="17"/>
        <v>-167973</v>
      </c>
      <c r="Q70" s="407">
        <f t="shared" si="14"/>
        <v>-4.0387192701438257E-2</v>
      </c>
      <c r="R70" s="384">
        <f t="shared" si="18"/>
        <v>9.8200100684524005E-2</v>
      </c>
    </row>
    <row r="71" spans="1:18" ht="15.75" thickBot="1" x14ac:dyDescent="0.3">
      <c r="A71" s="392" t="s">
        <v>199</v>
      </c>
      <c r="B71" s="396">
        <v>50453</v>
      </c>
      <c r="C71" s="384">
        <f t="shared" si="8"/>
        <v>2.3977101210141925E-2</v>
      </c>
      <c r="D71" s="402">
        <v>54235</v>
      </c>
      <c r="E71" s="407">
        <f t="shared" si="9"/>
        <v>2.6562047738711927E-2</v>
      </c>
      <c r="F71" s="384">
        <f t="shared" si="10"/>
        <v>7.4960854656809309E-2</v>
      </c>
      <c r="G71" s="396">
        <v>50453</v>
      </c>
      <c r="H71" s="402">
        <v>54235</v>
      </c>
      <c r="I71" s="396">
        <v>41</v>
      </c>
      <c r="J71" s="384">
        <f t="shared" si="11"/>
        <v>1.9513894606883074E-5</v>
      </c>
      <c r="K71" s="402">
        <v>86</v>
      </c>
      <c r="L71" s="407">
        <f t="shared" si="12"/>
        <v>4.0618861415529534E-5</v>
      </c>
      <c r="M71" s="384">
        <f t="shared" si="15"/>
        <v>1.0975609756097562</v>
      </c>
      <c r="N71" s="396">
        <f t="shared" si="16"/>
        <v>50494</v>
      </c>
      <c r="O71" s="384">
        <f t="shared" si="13"/>
        <v>1.2007277512595466E-2</v>
      </c>
      <c r="P71" s="402">
        <f t="shared" si="17"/>
        <v>54321</v>
      </c>
      <c r="Q71" s="407">
        <f t="shared" si="14"/>
        <v>1.3060865107694853E-2</v>
      </c>
      <c r="R71" s="384">
        <f t="shared" si="18"/>
        <v>7.5791183110864663E-2</v>
      </c>
    </row>
    <row r="72" spans="1:18" ht="15.75" thickBot="1" x14ac:dyDescent="0.3">
      <c r="A72" s="392" t="s">
        <v>200</v>
      </c>
      <c r="B72" s="396">
        <v>-9738</v>
      </c>
      <c r="C72" s="384">
        <f t="shared" si="8"/>
        <v>-4.6278518935318428E-3</v>
      </c>
      <c r="D72" s="402">
        <v>-3118</v>
      </c>
      <c r="E72" s="407">
        <f t="shared" si="9"/>
        <v>-1.5270667437872921E-3</v>
      </c>
      <c r="F72" s="384">
        <f t="shared" si="10"/>
        <v>-0.67981104949681659</v>
      </c>
      <c r="G72" s="396">
        <v>-9738</v>
      </c>
      <c r="H72" s="402">
        <v>-3118</v>
      </c>
      <c r="I72" s="396">
        <v>-2615</v>
      </c>
      <c r="J72" s="384">
        <f t="shared" si="11"/>
        <v>-1.2446057169999815E-3</v>
      </c>
      <c r="K72" s="402">
        <v>-1691</v>
      </c>
      <c r="L72" s="407">
        <f t="shared" si="12"/>
        <v>-7.986801703914005E-4</v>
      </c>
      <c r="M72" s="384">
        <f t="shared" si="15"/>
        <v>-0.35334608030592735</v>
      </c>
      <c r="N72" s="396">
        <f t="shared" si="16"/>
        <v>-12353</v>
      </c>
      <c r="O72" s="384">
        <f t="shared" si="13"/>
        <v>-2.937495526460407E-3</v>
      </c>
      <c r="P72" s="402">
        <f t="shared" si="17"/>
        <v>-4809</v>
      </c>
      <c r="Q72" s="407">
        <f t="shared" si="14"/>
        <v>-1.1562692200604654E-3</v>
      </c>
      <c r="R72" s="384">
        <f t="shared" si="18"/>
        <v>-0.61070185380069619</v>
      </c>
    </row>
    <row r="73" spans="1:18" ht="16.5" customHeight="1" thickBot="1" x14ac:dyDescent="0.3">
      <c r="A73" s="392" t="s">
        <v>201</v>
      </c>
      <c r="B73" s="396">
        <v>-11041</v>
      </c>
      <c r="C73" s="384">
        <f t="shared" si="8"/>
        <v>-5.2470849000292741E-3</v>
      </c>
      <c r="D73" s="402">
        <v>0</v>
      </c>
      <c r="E73" s="407">
        <f t="shared" si="9"/>
        <v>0</v>
      </c>
      <c r="F73" s="384">
        <f t="shared" si="10"/>
        <v>-1</v>
      </c>
      <c r="G73" s="396">
        <v>-11041</v>
      </c>
      <c r="H73" s="402">
        <v>0</v>
      </c>
      <c r="I73" s="396">
        <v>-7486</v>
      </c>
      <c r="J73" s="384">
        <f t="shared" si="11"/>
        <v>-3.5629515860274804E-3</v>
      </c>
      <c r="K73" s="402">
        <v>0</v>
      </c>
      <c r="L73" s="407">
        <f t="shared" si="12"/>
        <v>0</v>
      </c>
      <c r="M73" s="384">
        <f t="shared" si="15"/>
        <v>-1</v>
      </c>
      <c r="N73" s="396">
        <f t="shared" si="16"/>
        <v>-18527</v>
      </c>
      <c r="O73" s="384">
        <f t="shared" si="13"/>
        <v>-4.4056487993792571E-3</v>
      </c>
      <c r="P73" s="402">
        <f t="shared" si="17"/>
        <v>0</v>
      </c>
      <c r="Q73" s="407">
        <f t="shared" si="14"/>
        <v>0</v>
      </c>
      <c r="R73" s="384">
        <f t="shared" si="18"/>
        <v>-1</v>
      </c>
    </row>
    <row r="74" spans="1:18" ht="15.75" thickBot="1" x14ac:dyDescent="0.3">
      <c r="A74" s="392" t="s">
        <v>202</v>
      </c>
      <c r="B74" s="398">
        <v>185</v>
      </c>
      <c r="C74" s="384">
        <f t="shared" si="8"/>
        <v>8.7918730776688329E-5</v>
      </c>
      <c r="D74" s="404">
        <v>-1600</v>
      </c>
      <c r="E74" s="407">
        <f t="shared" si="9"/>
        <v>-7.8361346698514029E-4</v>
      </c>
      <c r="F74" s="384" t="s">
        <v>131</v>
      </c>
      <c r="G74" s="398">
        <v>185</v>
      </c>
      <c r="H74" s="404">
        <v>-1600</v>
      </c>
      <c r="I74" s="398">
        <v>619</v>
      </c>
      <c r="J74" s="384">
        <f t="shared" si="11"/>
        <v>2.9461221369903956E-4</v>
      </c>
      <c r="K74" s="404">
        <v>2816</v>
      </c>
      <c r="L74" s="407">
        <f t="shared" si="12"/>
        <v>1.3300315551875717E-3</v>
      </c>
      <c r="M74" s="384">
        <f t="shared" si="15"/>
        <v>3.5492730210016155</v>
      </c>
      <c r="N74" s="398">
        <f t="shared" si="16"/>
        <v>804</v>
      </c>
      <c r="O74" s="384">
        <f t="shared" si="13"/>
        <v>1.9118808413131768E-4</v>
      </c>
      <c r="P74" s="404">
        <f t="shared" si="17"/>
        <v>1216</v>
      </c>
      <c r="Q74" s="407">
        <f t="shared" si="14"/>
        <v>2.9237333574413102E-4</v>
      </c>
      <c r="R74" s="384">
        <f t="shared" si="18"/>
        <v>0.51243781094527363</v>
      </c>
    </row>
    <row r="75" spans="1:18" ht="15.75" thickBot="1" x14ac:dyDescent="0.3">
      <c r="A75" s="392" t="s">
        <v>252</v>
      </c>
      <c r="B75" s="398">
        <v>0</v>
      </c>
      <c r="C75" s="384">
        <f t="shared" si="8"/>
        <v>0</v>
      </c>
      <c r="D75" s="404">
        <v>0</v>
      </c>
      <c r="E75" s="407">
        <f t="shared" si="9"/>
        <v>0</v>
      </c>
      <c r="F75" s="384" t="s">
        <v>131</v>
      </c>
      <c r="G75" s="398">
        <v>0</v>
      </c>
      <c r="H75" s="404">
        <v>0</v>
      </c>
      <c r="I75" s="398">
        <v>0</v>
      </c>
      <c r="J75" s="384">
        <f t="shared" si="11"/>
        <v>0</v>
      </c>
      <c r="K75" s="404">
        <v>3313</v>
      </c>
      <c r="L75" s="407">
        <f t="shared" si="12"/>
        <v>1.5647707891819692E-3</v>
      </c>
      <c r="M75" s="384" t="s">
        <v>131</v>
      </c>
      <c r="N75" s="398">
        <f t="shared" si="16"/>
        <v>0</v>
      </c>
      <c r="O75" s="384">
        <f t="shared" si="13"/>
        <v>0</v>
      </c>
      <c r="P75" s="404">
        <f t="shared" si="17"/>
        <v>3313</v>
      </c>
      <c r="Q75" s="407">
        <f t="shared" si="14"/>
        <v>7.9657307674367269E-4</v>
      </c>
      <c r="R75" s="384" t="s">
        <v>131</v>
      </c>
    </row>
    <row r="76" spans="1:18" ht="15.75" thickBot="1" x14ac:dyDescent="0.3">
      <c r="A76" s="393" t="s">
        <v>204</v>
      </c>
      <c r="B76" s="397">
        <f>SUM(B68:B75)</f>
        <v>194465</v>
      </c>
      <c r="C76" s="386">
        <f t="shared" si="8"/>
        <v>9.2416843137776733E-2</v>
      </c>
      <c r="D76" s="403">
        <f>SUM(D68:D75)</f>
        <v>173365</v>
      </c>
      <c r="E76" s="408">
        <f t="shared" si="9"/>
        <v>8.4906967939924277E-2</v>
      </c>
      <c r="F76" s="386">
        <f t="shared" si="10"/>
        <v>-0.10850281541665595</v>
      </c>
      <c r="G76" s="397">
        <f>SUM(G68:G75)</f>
        <v>194465</v>
      </c>
      <c r="H76" s="403">
        <f>SUM(H68:H75)</f>
        <v>173365</v>
      </c>
      <c r="I76" s="397">
        <f>SUM(I68:I75)</f>
        <v>116031</v>
      </c>
      <c r="J76" s="386">
        <f t="shared" si="11"/>
        <v>5.5224797686128049E-2</v>
      </c>
      <c r="K76" s="403">
        <f>SUM(K68:K75)</f>
        <v>116930</v>
      </c>
      <c r="L76" s="408">
        <f t="shared" si="12"/>
        <v>5.522748215485894E-2</v>
      </c>
      <c r="M76" s="386">
        <f t="shared" si="15"/>
        <v>7.7479294326516191E-3</v>
      </c>
      <c r="N76" s="397">
        <f t="shared" si="16"/>
        <v>310496</v>
      </c>
      <c r="O76" s="386">
        <f t="shared" si="13"/>
        <v>7.3834745485618927E-2</v>
      </c>
      <c r="P76" s="403">
        <f t="shared" si="17"/>
        <v>290295</v>
      </c>
      <c r="Q76" s="408">
        <f t="shared" si="14"/>
        <v>6.9798122943949437E-2</v>
      </c>
      <c r="R76" s="386">
        <f t="shared" si="18"/>
        <v>-6.5060419457899615E-2</v>
      </c>
    </row>
    <row r="77" spans="1:18" ht="15.75" thickBot="1" x14ac:dyDescent="0.3">
      <c r="A77" s="392" t="s">
        <v>205</v>
      </c>
      <c r="B77" s="396">
        <v>-56024</v>
      </c>
      <c r="C77" s="384">
        <f t="shared" si="8"/>
        <v>-2.6624643097476686E-2</v>
      </c>
      <c r="D77" s="402">
        <v>-40723</v>
      </c>
      <c r="E77" s="407">
        <f t="shared" si="9"/>
        <v>-1.9944432010022415E-2</v>
      </c>
      <c r="F77" s="384">
        <f t="shared" si="10"/>
        <v>-0.27311509353134372</v>
      </c>
      <c r="G77" s="396">
        <v>-56024</v>
      </c>
      <c r="H77" s="402">
        <v>-40723</v>
      </c>
      <c r="I77" s="396">
        <v>-42183</v>
      </c>
      <c r="J77" s="384">
        <f t="shared" si="11"/>
        <v>-2.0076941858588992E-2</v>
      </c>
      <c r="K77" s="402">
        <v>-29714</v>
      </c>
      <c r="L77" s="407">
        <f t="shared" si="12"/>
        <v>-1.4034288931407495E-2</v>
      </c>
      <c r="M77" s="384">
        <f t="shared" si="15"/>
        <v>-0.29559301140269778</v>
      </c>
      <c r="N77" s="396">
        <f t="shared" si="16"/>
        <v>-98207</v>
      </c>
      <c r="O77" s="384">
        <f t="shared" si="13"/>
        <v>-2.3353244002841188E-2</v>
      </c>
      <c r="P77" s="402">
        <f t="shared" si="17"/>
        <v>-70437</v>
      </c>
      <c r="Q77" s="407">
        <f t="shared" si="14"/>
        <v>-1.6935773560698485E-2</v>
      </c>
      <c r="R77" s="384">
        <f t="shared" si="18"/>
        <v>-0.28277006730681115</v>
      </c>
    </row>
    <row r="78" spans="1:18" ht="15.75" thickBot="1" x14ac:dyDescent="0.3">
      <c r="A78" s="394" t="s">
        <v>206</v>
      </c>
      <c r="B78" s="399">
        <v>14256</v>
      </c>
      <c r="C78" s="385">
        <f t="shared" si="8"/>
        <v>6.7749698700133448E-3</v>
      </c>
      <c r="D78" s="405">
        <v>8078</v>
      </c>
      <c r="E78" s="409">
        <f t="shared" si="9"/>
        <v>3.9562684914412269E-3</v>
      </c>
      <c r="F78" s="385">
        <f t="shared" si="10"/>
        <v>-0.43336139169472504</v>
      </c>
      <c r="G78" s="399">
        <v>14256</v>
      </c>
      <c r="H78" s="405">
        <v>8078</v>
      </c>
      <c r="I78" s="399">
        <v>6703</v>
      </c>
      <c r="J78" s="385">
        <f t="shared" si="11"/>
        <v>3.1902837939009085E-3</v>
      </c>
      <c r="K78" s="405">
        <v>10599</v>
      </c>
      <c r="L78" s="409">
        <f t="shared" si="12"/>
        <v>5.0060385132929949E-3</v>
      </c>
      <c r="M78" s="385">
        <f t="shared" si="15"/>
        <v>0.58123228405191707</v>
      </c>
      <c r="N78" s="399">
        <f t="shared" si="16"/>
        <v>20959</v>
      </c>
      <c r="O78" s="385">
        <f t="shared" si="13"/>
        <v>4.9839689742640384E-3</v>
      </c>
      <c r="P78" s="405">
        <f t="shared" si="17"/>
        <v>18677</v>
      </c>
      <c r="Q78" s="409">
        <f t="shared" si="14"/>
        <v>4.4906717036950119E-3</v>
      </c>
      <c r="R78" s="385">
        <f t="shared" si="18"/>
        <v>-0.10887924042177585</v>
      </c>
    </row>
    <row r="79" spans="1:18" ht="15.75" thickBot="1" x14ac:dyDescent="0.3">
      <c r="A79" s="393" t="s">
        <v>207</v>
      </c>
      <c r="B79" s="397">
        <f>SUM(B76:B78)</f>
        <v>152697</v>
      </c>
      <c r="C79" s="386">
        <f t="shared" si="8"/>
        <v>7.2567169910313395E-2</v>
      </c>
      <c r="D79" s="403">
        <f>SUM(D76:D78)</f>
        <v>140720</v>
      </c>
      <c r="E79" s="408">
        <f t="shared" si="9"/>
        <v>6.8918804421343086E-2</v>
      </c>
      <c r="F79" s="386">
        <f t="shared" si="10"/>
        <v>-7.8436380544476977E-2</v>
      </c>
      <c r="G79" s="397">
        <f>SUM(G76:G78)</f>
        <v>152697</v>
      </c>
      <c r="H79" s="403">
        <f>SUM(H76:H78)</f>
        <v>140720</v>
      </c>
      <c r="I79" s="397">
        <f>SUM(I76:I78)</f>
        <v>80551</v>
      </c>
      <c r="J79" s="386">
        <f t="shared" si="11"/>
        <v>3.8338139621439962E-2</v>
      </c>
      <c r="K79" s="403">
        <f>SUM(K76:K78)</f>
        <v>97815</v>
      </c>
      <c r="L79" s="408">
        <f t="shared" si="12"/>
        <v>4.6199231736744437E-2</v>
      </c>
      <c r="M79" s="386">
        <f t="shared" si="15"/>
        <v>0.21432384452086256</v>
      </c>
      <c r="N79" s="397">
        <f t="shared" si="16"/>
        <v>233248</v>
      </c>
      <c r="O79" s="386">
        <f t="shared" si="13"/>
        <v>5.5465470457041775E-2</v>
      </c>
      <c r="P79" s="403">
        <f t="shared" si="17"/>
        <v>238535</v>
      </c>
      <c r="Q79" s="408">
        <f t="shared" si="14"/>
        <v>5.7353021086945961E-2</v>
      </c>
      <c r="R79" s="386">
        <f t="shared" si="18"/>
        <v>2.2666861023460008E-2</v>
      </c>
    </row>
    <row r="80" spans="1:18" ht="15.75" thickBot="1" x14ac:dyDescent="0.3">
      <c r="A80" s="392" t="s">
        <v>208</v>
      </c>
      <c r="B80" s="398">
        <v>-164</v>
      </c>
      <c r="C80" s="384">
        <f t="shared" si="8"/>
        <v>-7.7938766742577752E-5</v>
      </c>
      <c r="D80" s="404">
        <v>-892</v>
      </c>
      <c r="E80" s="407">
        <f t="shared" si="9"/>
        <v>-4.3686450784421571E-4</v>
      </c>
      <c r="F80" s="384" t="s">
        <v>131</v>
      </c>
      <c r="G80" s="398">
        <v>-164</v>
      </c>
      <c r="H80" s="404">
        <v>-892</v>
      </c>
      <c r="I80" s="398">
        <v>-83</v>
      </c>
      <c r="J80" s="384">
        <f t="shared" si="11"/>
        <v>-3.9503737862714516E-5</v>
      </c>
      <c r="K80" s="404">
        <v>-142</v>
      </c>
      <c r="L80" s="407">
        <f t="shared" si="12"/>
        <v>-6.7068352569827841E-5</v>
      </c>
      <c r="M80" s="384">
        <f t="shared" si="15"/>
        <v>0.71084337349397586</v>
      </c>
      <c r="N80" s="398">
        <f t="shared" si="16"/>
        <v>-247</v>
      </c>
      <c r="O80" s="384">
        <f t="shared" si="13"/>
        <v>-5.8735642761735654E-5</v>
      </c>
      <c r="P80" s="404">
        <f t="shared" si="17"/>
        <v>-1034</v>
      </c>
      <c r="Q80" s="407">
        <f t="shared" si="14"/>
        <v>-2.4861351082190091E-4</v>
      </c>
      <c r="R80" s="384" t="s">
        <v>131</v>
      </c>
    </row>
    <row r="81" spans="1:18" ht="15.75" thickBot="1" x14ac:dyDescent="0.3">
      <c r="A81" s="391" t="s">
        <v>209</v>
      </c>
      <c r="B81" s="395">
        <f>SUM(B79:B80)</f>
        <v>152533</v>
      </c>
      <c r="C81" s="387">
        <f t="shared" si="8"/>
        <v>7.2489231143570809E-2</v>
      </c>
      <c r="D81" s="395">
        <f>SUM(D79:D80)</f>
        <v>139828</v>
      </c>
      <c r="E81" s="387">
        <f t="shared" si="9"/>
        <v>6.8481939913498865E-2</v>
      </c>
      <c r="F81" s="387">
        <f t="shared" si="10"/>
        <v>-8.3293451253171447E-2</v>
      </c>
      <c r="G81" s="395">
        <f>SUM(G79:G80)</f>
        <v>152533</v>
      </c>
      <c r="H81" s="395">
        <f>SUM(H79:H80)</f>
        <v>139828</v>
      </c>
      <c r="I81" s="395">
        <f>SUM(I79:I80)</f>
        <v>80468</v>
      </c>
      <c r="J81" s="387">
        <f t="shared" si="11"/>
        <v>3.8298635883577251E-2</v>
      </c>
      <c r="K81" s="395">
        <f>SUM(K79:K80)</f>
        <v>97673</v>
      </c>
      <c r="L81" s="387">
        <f t="shared" si="12"/>
        <v>4.6132163384174606E-2</v>
      </c>
      <c r="M81" s="387">
        <f t="shared" si="15"/>
        <v>0.21381170154595616</v>
      </c>
      <c r="N81" s="395">
        <f t="shared" si="16"/>
        <v>233001</v>
      </c>
      <c r="O81" s="387">
        <f t="shared" si="13"/>
        <v>5.5406734814280038E-2</v>
      </c>
      <c r="P81" s="395">
        <f t="shared" si="17"/>
        <v>237501</v>
      </c>
      <c r="Q81" s="387">
        <f t="shared" si="14"/>
        <v>5.7104407576124061E-2</v>
      </c>
      <c r="R81" s="387">
        <f t="shared" si="18"/>
        <v>1.9313221831665957E-2</v>
      </c>
    </row>
    <row r="82" spans="1:18" x14ac:dyDescent="0.25">
      <c r="A82" s="289"/>
      <c r="B82" s="291"/>
      <c r="C82" s="292"/>
      <c r="D82" s="294"/>
      <c r="E82" s="292"/>
      <c r="F82" s="292"/>
      <c r="G82" s="291"/>
      <c r="H82" s="294"/>
    </row>
    <row r="83" spans="1:18" x14ac:dyDescent="0.25">
      <c r="A83" s="295" t="s">
        <v>210</v>
      </c>
      <c r="B83" s="297"/>
      <c r="C83" s="298"/>
      <c r="D83" s="300"/>
      <c r="E83" s="298"/>
      <c r="F83" s="298"/>
      <c r="G83" s="297"/>
      <c r="H83" s="300"/>
    </row>
    <row r="84" spans="1:18" ht="15.75" thickBot="1" x14ac:dyDescent="0.3">
      <c r="A84" s="301" t="s">
        <v>211</v>
      </c>
      <c r="B84" s="274">
        <v>151672</v>
      </c>
      <c r="C84" s="384">
        <f>+B84/$B$60</f>
        <v>7.2080052618172283E-2</v>
      </c>
      <c r="D84" s="373">
        <v>139150</v>
      </c>
      <c r="E84" s="366">
        <f>+D84/$D$60</f>
        <v>6.8149883706863909E-2</v>
      </c>
      <c r="F84" s="384">
        <f>(D84-B84)/B84</f>
        <v>-8.2559734163194259E-2</v>
      </c>
      <c r="G84" s="274">
        <v>151672</v>
      </c>
      <c r="H84" s="373">
        <v>139150</v>
      </c>
      <c r="I84" s="274">
        <v>79412</v>
      </c>
      <c r="J84" s="384">
        <f>+I84/$I$60</f>
        <v>3.7796034110287771E-2</v>
      </c>
      <c r="K84" s="373">
        <v>96529</v>
      </c>
      <c r="L84" s="366">
        <f>+K84/$K$60</f>
        <v>4.559183806487966E-2</v>
      </c>
      <c r="M84" s="384">
        <f>(K84-I84)/I84</f>
        <v>0.21554676875031481</v>
      </c>
      <c r="N84" s="274">
        <f t="shared" si="16"/>
        <v>231084</v>
      </c>
      <c r="O84" s="384">
        <f>+N84/$N$60</f>
        <v>5.4950879643534095E-2</v>
      </c>
      <c r="P84" s="373">
        <f t="shared" si="17"/>
        <v>235679</v>
      </c>
      <c r="Q84" s="366">
        <f>+P84/$P$60</f>
        <v>5.6666328449704817E-2</v>
      </c>
      <c r="R84" s="384">
        <f>(P84-N84)/N84</f>
        <v>1.9884544148448185E-2</v>
      </c>
    </row>
    <row r="85" spans="1:18" ht="15.75" thickBot="1" x14ac:dyDescent="0.3">
      <c r="A85" s="303" t="s">
        <v>188</v>
      </c>
      <c r="B85" s="304">
        <v>861</v>
      </c>
      <c r="C85" s="385">
        <f>+B85/$B$60</f>
        <v>4.0917852539853322E-4</v>
      </c>
      <c r="D85" s="374">
        <v>678</v>
      </c>
      <c r="E85" s="368">
        <f>+D85/$D$60</f>
        <v>3.3205620663495319E-4</v>
      </c>
      <c r="F85" s="385">
        <f>(D85-B85)/B85</f>
        <v>-0.21254355400696864</v>
      </c>
      <c r="G85" s="304">
        <v>861</v>
      </c>
      <c r="H85" s="374">
        <v>678</v>
      </c>
      <c r="I85" s="304">
        <v>1056</v>
      </c>
      <c r="J85" s="385">
        <f>+I85/$I$60</f>
        <v>5.0260177328947627E-4</v>
      </c>
      <c r="K85" s="374">
        <v>1144</v>
      </c>
      <c r="L85" s="368">
        <f>+K85/$K$60</f>
        <v>5.4032531929495108E-4</v>
      </c>
      <c r="M85" s="385">
        <f>(K85-I85)/I85</f>
        <v>8.3333333333333329E-2</v>
      </c>
      <c r="N85" s="304">
        <f t="shared" si="16"/>
        <v>1917</v>
      </c>
      <c r="O85" s="385">
        <f>+N85/$N$60</f>
        <v>4.558551707459403E-4</v>
      </c>
      <c r="P85" s="374">
        <f t="shared" si="17"/>
        <v>1822</v>
      </c>
      <c r="Q85" s="368">
        <f>+P85/$P$60</f>
        <v>4.3807912641924895E-4</v>
      </c>
      <c r="R85" s="385">
        <f>(P85-N85)/N85</f>
        <v>-4.9556598852373498E-2</v>
      </c>
    </row>
    <row r="86" spans="1:18" ht="15.75" thickBot="1" x14ac:dyDescent="0.3">
      <c r="A86" s="306" t="s">
        <v>212</v>
      </c>
      <c r="B86" s="278">
        <f>SUM(B84:B85)</f>
        <v>152533</v>
      </c>
      <c r="C86" s="386">
        <f>+B86/$B$60</f>
        <v>7.2489231143570809E-2</v>
      </c>
      <c r="D86" s="375">
        <f>SUM(D84:D85)</f>
        <v>139828</v>
      </c>
      <c r="E86" s="367">
        <f>+D86/$D$60</f>
        <v>6.8481939913498865E-2</v>
      </c>
      <c r="F86" s="386">
        <f>(D86-B86)/B86</f>
        <v>-8.3293451253171447E-2</v>
      </c>
      <c r="G86" s="278">
        <f>SUM(G84:G85)</f>
        <v>152533</v>
      </c>
      <c r="H86" s="375">
        <f>SUM(H84:H85)</f>
        <v>139828</v>
      </c>
      <c r="I86" s="278">
        <f>SUM(I84:I85)</f>
        <v>80468</v>
      </c>
      <c r="J86" s="386">
        <f>+I86/$I$60</f>
        <v>3.8298635883577251E-2</v>
      </c>
      <c r="K86" s="375">
        <f>SUM(K84:K85)</f>
        <v>97673</v>
      </c>
      <c r="L86" s="367">
        <f>+K86/$K$60</f>
        <v>4.6132163384174606E-2</v>
      </c>
      <c r="M86" s="386">
        <f>(K86-I86)/I86</f>
        <v>0.21381170154595616</v>
      </c>
      <c r="N86" s="278">
        <f t="shared" si="16"/>
        <v>233001</v>
      </c>
      <c r="O86" s="386">
        <f>+N86/$N$60</f>
        <v>5.5406734814280038E-2</v>
      </c>
      <c r="P86" s="375">
        <f t="shared" si="17"/>
        <v>237501</v>
      </c>
      <c r="Q86" s="367">
        <f>+P86/$P$60</f>
        <v>5.7104407576124061E-2</v>
      </c>
      <c r="R86" s="386">
        <f>(P86-N86)/N86</f>
        <v>1.9313221831665957E-2</v>
      </c>
    </row>
    <row r="87" spans="1:18" ht="15.75" thickBot="1" x14ac:dyDescent="0.3">
      <c r="A87" s="369" t="s">
        <v>213</v>
      </c>
      <c r="B87" s="370">
        <v>280995</v>
      </c>
      <c r="C87" s="387">
        <f>+B87/$B$60</f>
        <v>0.13353904732213803</v>
      </c>
      <c r="D87" s="372">
        <v>264549</v>
      </c>
      <c r="E87" s="371">
        <f>+D87/$D$60</f>
        <v>0.12956509942340741</v>
      </c>
      <c r="F87" s="387">
        <f>(D87-B87)/B87</f>
        <v>-5.8527731810174559E-2</v>
      </c>
      <c r="G87" s="370">
        <v>280995</v>
      </c>
      <c r="H87" s="372">
        <v>264549</v>
      </c>
      <c r="I87" s="370">
        <v>253208</v>
      </c>
      <c r="J87" s="387">
        <f>+I87/$I$60</f>
        <v>0.12051400550291828</v>
      </c>
      <c r="K87" s="372">
        <v>262661</v>
      </c>
      <c r="L87" s="371">
        <f>+K87/$K$60</f>
        <v>0.1240580320728419</v>
      </c>
      <c r="M87" s="387">
        <f>(K87-I87)/I87</f>
        <v>3.7332943666866764E-2</v>
      </c>
      <c r="N87" s="370">
        <f t="shared" si="16"/>
        <v>534203</v>
      </c>
      <c r="O87" s="387">
        <f>+N87/$N$60</f>
        <v>0.12703140311841082</v>
      </c>
      <c r="P87" s="372">
        <f t="shared" si="17"/>
        <v>527210</v>
      </c>
      <c r="Q87" s="371">
        <f>+P87/$P$60</f>
        <v>0.12676163350136785</v>
      </c>
      <c r="R87" s="387">
        <f>(P87-N87)/N87</f>
        <v>-1.3090529255732371E-2</v>
      </c>
    </row>
  </sheetData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D15 D37 D44 D50" formula="1"/>
  </ignoredErrors>
  <drawing r:id="rId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8"/>
  <sheetViews>
    <sheetView zoomScale="112" zoomScaleNormal="112" workbookViewId="0">
      <selection activeCell="I28" sqref="I28"/>
    </sheetView>
  </sheetViews>
  <sheetFormatPr baseColWidth="10" defaultColWidth="11.42578125" defaultRowHeight="15" x14ac:dyDescent="0.25"/>
  <cols>
    <col min="1" max="1" width="50.85546875" style="229" bestFit="1" customWidth="1"/>
    <col min="2" max="8" width="11.42578125" style="229" customWidth="1"/>
    <col min="9" max="9" width="13.28515625" style="229" customWidth="1"/>
    <col min="10" max="15" width="11.42578125" style="229" customWidth="1"/>
    <col min="16" max="16384" width="11.42578125" style="229"/>
  </cols>
  <sheetData>
    <row r="1" spans="1:10" ht="18.75" x14ac:dyDescent="0.3">
      <c r="A1" s="228" t="s">
        <v>157</v>
      </c>
      <c r="B1" s="362"/>
      <c r="C1" s="362"/>
      <c r="D1" s="362"/>
      <c r="E1" s="362"/>
    </row>
    <row r="2" spans="1:10" x14ac:dyDescent="0.25">
      <c r="A2" s="332" t="s">
        <v>254</v>
      </c>
      <c r="B2" s="362"/>
      <c r="C2" s="362"/>
      <c r="D2" s="362"/>
      <c r="E2" s="362"/>
    </row>
    <row r="3" spans="1:10" x14ac:dyDescent="0.25">
      <c r="A3" s="332" t="s">
        <v>88</v>
      </c>
      <c r="B3" s="362"/>
      <c r="C3" s="362"/>
      <c r="D3" s="362"/>
      <c r="E3" s="362"/>
    </row>
    <row r="4" spans="1:10" x14ac:dyDescent="0.25">
      <c r="A4" s="231" t="s">
        <v>159</v>
      </c>
      <c r="B4" s="362"/>
      <c r="C4" s="362"/>
      <c r="D4" s="362"/>
      <c r="E4" s="362"/>
    </row>
    <row r="5" spans="1:10" ht="15.75" thickBot="1" x14ac:dyDescent="0.3"/>
    <row r="6" spans="1:10" ht="23.25" thickBot="1" x14ac:dyDescent="0.3">
      <c r="A6" s="337"/>
      <c r="B6" s="338" t="s">
        <v>240</v>
      </c>
      <c r="C6" s="410" t="s">
        <v>246</v>
      </c>
      <c r="D6" s="420" t="s">
        <v>140</v>
      </c>
      <c r="E6" s="338" t="s">
        <v>240</v>
      </c>
      <c r="F6" s="410" t="s">
        <v>248</v>
      </c>
      <c r="G6" s="420" t="s">
        <v>140</v>
      </c>
      <c r="H6" s="338" t="s">
        <v>240</v>
      </c>
      <c r="I6" s="410" t="s">
        <v>253</v>
      </c>
      <c r="J6" s="420" t="s">
        <v>140</v>
      </c>
    </row>
    <row r="7" spans="1:10" ht="15.75" thickTop="1" x14ac:dyDescent="0.25">
      <c r="A7" s="376" t="s">
        <v>20</v>
      </c>
      <c r="B7" s="377"/>
      <c r="C7" s="411"/>
      <c r="D7" s="411"/>
      <c r="E7" s="377"/>
      <c r="F7" s="411"/>
      <c r="G7" s="411"/>
      <c r="H7" s="377"/>
      <c r="I7" s="411"/>
      <c r="J7" s="411"/>
    </row>
    <row r="8" spans="1:10" x14ac:dyDescent="0.25">
      <c r="A8" s="378" t="s">
        <v>160</v>
      </c>
      <c r="B8" s="379"/>
      <c r="C8" s="412"/>
      <c r="D8" s="421"/>
      <c r="E8" s="379"/>
      <c r="F8" s="412"/>
      <c r="G8" s="421"/>
      <c r="H8" s="379"/>
      <c r="I8" s="412"/>
      <c r="J8" s="421"/>
    </row>
    <row r="9" spans="1:10" ht="15.75" thickBot="1" x14ac:dyDescent="0.3">
      <c r="A9" s="240" t="s">
        <v>161</v>
      </c>
      <c r="B9" s="242">
        <v>219322</v>
      </c>
      <c r="C9" s="413">
        <v>268250</v>
      </c>
      <c r="D9" s="422">
        <f t="shared" ref="D9:D15" si="0">(C9-B9)/B9</f>
        <v>0.22308751516035782</v>
      </c>
      <c r="E9" s="242">
        <v>219322</v>
      </c>
      <c r="F9" s="413">
        <v>277418</v>
      </c>
      <c r="G9" s="422">
        <f>(F9-E9)/E9</f>
        <v>0.26488906721623912</v>
      </c>
      <c r="H9" s="242">
        <v>219322</v>
      </c>
      <c r="I9" s="413">
        <v>244514</v>
      </c>
      <c r="J9" s="422">
        <f>(I9-H9)/H9</f>
        <v>0.11486307803138764</v>
      </c>
    </row>
    <row r="10" spans="1:10" ht="15.75" thickBot="1" x14ac:dyDescent="0.3">
      <c r="A10" s="240" t="s">
        <v>162</v>
      </c>
      <c r="B10" s="242">
        <v>889197</v>
      </c>
      <c r="C10" s="413">
        <v>923153</v>
      </c>
      <c r="D10" s="422">
        <f t="shared" si="0"/>
        <v>3.8187263339844825E-2</v>
      </c>
      <c r="E10" s="242">
        <v>889197</v>
      </c>
      <c r="F10" s="413">
        <v>934808</v>
      </c>
      <c r="G10" s="422">
        <f t="shared" ref="G10:G15" si="1">(F10-E10)/E10</f>
        <v>5.1294595011004314E-2</v>
      </c>
      <c r="H10" s="242">
        <v>889197</v>
      </c>
      <c r="I10" s="413">
        <v>997236</v>
      </c>
      <c r="J10" s="422">
        <f t="shared" ref="J10:J15" si="2">(I10-H10)/H10</f>
        <v>0.12150175945262973</v>
      </c>
    </row>
    <row r="11" spans="1:10" ht="15.75" thickBot="1" x14ac:dyDescent="0.3">
      <c r="A11" s="240" t="s">
        <v>36</v>
      </c>
      <c r="B11" s="242">
        <v>1028417</v>
      </c>
      <c r="C11" s="413">
        <v>1051962</v>
      </c>
      <c r="D11" s="422">
        <f t="shared" si="0"/>
        <v>2.2894409563435844E-2</v>
      </c>
      <c r="E11" s="242">
        <v>1028417</v>
      </c>
      <c r="F11" s="413">
        <v>1050504</v>
      </c>
      <c r="G11" s="422">
        <f t="shared" si="1"/>
        <v>2.1476696709603206E-2</v>
      </c>
      <c r="H11" s="242">
        <v>1028417</v>
      </c>
      <c r="I11" s="413">
        <v>1041736</v>
      </c>
      <c r="J11" s="422">
        <f t="shared" si="2"/>
        <v>1.2950972222357273E-2</v>
      </c>
    </row>
    <row r="12" spans="1:10" ht="15.75" thickBot="1" x14ac:dyDescent="0.3">
      <c r="A12" s="240" t="s">
        <v>163</v>
      </c>
      <c r="B12" s="242">
        <v>75677</v>
      </c>
      <c r="C12" s="413">
        <v>80216</v>
      </c>
      <c r="D12" s="422">
        <f t="shared" si="0"/>
        <v>5.9978593231761301E-2</v>
      </c>
      <c r="E12" s="242">
        <v>75677</v>
      </c>
      <c r="F12" s="413">
        <v>85304</v>
      </c>
      <c r="G12" s="422">
        <f t="shared" si="1"/>
        <v>0.12721170236663715</v>
      </c>
      <c r="H12" s="242">
        <v>75677</v>
      </c>
      <c r="I12" s="413">
        <v>85823</v>
      </c>
      <c r="J12" s="422">
        <f t="shared" si="2"/>
        <v>0.13406979663570173</v>
      </c>
    </row>
    <row r="13" spans="1:10" ht="15.75" thickBot="1" x14ac:dyDescent="0.3">
      <c r="A13" s="240" t="s">
        <v>164</v>
      </c>
      <c r="B13" s="242">
        <v>246832</v>
      </c>
      <c r="C13" s="413">
        <v>269943</v>
      </c>
      <c r="D13" s="422">
        <f t="shared" si="0"/>
        <v>9.3630485512413306E-2</v>
      </c>
      <c r="E13" s="242">
        <v>246832</v>
      </c>
      <c r="F13" s="413">
        <v>258291</v>
      </c>
      <c r="G13" s="422">
        <f t="shared" si="1"/>
        <v>4.6424288584948466E-2</v>
      </c>
      <c r="H13" s="242">
        <v>246832</v>
      </c>
      <c r="I13" s="413">
        <v>295692</v>
      </c>
      <c r="J13" s="422">
        <f t="shared" si="2"/>
        <v>0.19794840215207105</v>
      </c>
    </row>
    <row r="14" spans="1:10" ht="15.75" thickBot="1" x14ac:dyDescent="0.3">
      <c r="A14" s="245" t="s">
        <v>165</v>
      </c>
      <c r="B14" s="247">
        <v>100330</v>
      </c>
      <c r="C14" s="414">
        <v>80239</v>
      </c>
      <c r="D14" s="422">
        <f t="shared" si="0"/>
        <v>-0.20024917771354531</v>
      </c>
      <c r="E14" s="247">
        <v>100330</v>
      </c>
      <c r="F14" s="414">
        <v>35803</v>
      </c>
      <c r="G14" s="422">
        <f t="shared" si="1"/>
        <v>-0.64314761287750422</v>
      </c>
      <c r="H14" s="247">
        <v>100330</v>
      </c>
      <c r="I14" s="414">
        <v>40926</v>
      </c>
      <c r="J14" s="422">
        <f t="shared" si="2"/>
        <v>-0.59208611581780124</v>
      </c>
    </row>
    <row r="15" spans="1:10" ht="15.75" thickBot="1" x14ac:dyDescent="0.3">
      <c r="A15" s="249" t="s">
        <v>166</v>
      </c>
      <c r="B15" s="250">
        <f>SUM(B9:B14)</f>
        <v>2559775</v>
      </c>
      <c r="C15" s="415">
        <f>SUM(C9:C14)</f>
        <v>2673763</v>
      </c>
      <c r="D15" s="422">
        <f t="shared" si="0"/>
        <v>4.4530476311394555E-2</v>
      </c>
      <c r="E15" s="250">
        <f>SUM(E9:E14)</f>
        <v>2559775</v>
      </c>
      <c r="F15" s="415">
        <f>SUM(F9:F14)</f>
        <v>2642128</v>
      </c>
      <c r="G15" s="422">
        <f t="shared" si="1"/>
        <v>3.217196823939604E-2</v>
      </c>
      <c r="H15" s="250">
        <f>SUM(H9:H14)</f>
        <v>2559775</v>
      </c>
      <c r="I15" s="415">
        <f>SUM(I9:I14)</f>
        <v>2705927</v>
      </c>
      <c r="J15" s="422">
        <f t="shared" si="2"/>
        <v>5.709564317176314E-2</v>
      </c>
    </row>
    <row r="16" spans="1:10" x14ac:dyDescent="0.25">
      <c r="A16" s="378" t="s">
        <v>167</v>
      </c>
      <c r="B16" s="379"/>
      <c r="C16" s="412"/>
      <c r="D16" s="421"/>
      <c r="E16" s="379"/>
      <c r="F16" s="412"/>
      <c r="G16" s="421"/>
      <c r="H16" s="379"/>
      <c r="I16" s="412"/>
      <c r="J16" s="421"/>
    </row>
    <row r="17" spans="1:10" ht="15.75" thickBot="1" x14ac:dyDescent="0.3">
      <c r="A17" s="240" t="s">
        <v>162</v>
      </c>
      <c r="B17" s="242">
        <v>23495</v>
      </c>
      <c r="C17" s="413">
        <v>21943</v>
      </c>
      <c r="D17" s="422">
        <f t="shared" ref="D17:D28" si="3">(C17-B17)/B17</f>
        <v>-6.6056607788891247E-2</v>
      </c>
      <c r="E17" s="242">
        <v>23495</v>
      </c>
      <c r="F17" s="413">
        <v>23944</v>
      </c>
      <c r="G17" s="422">
        <f t="shared" ref="G17:G28" si="4">(F17-E17)/E17</f>
        <v>1.9110449031708873E-2</v>
      </c>
      <c r="H17" s="242">
        <v>23495</v>
      </c>
      <c r="I17" s="413">
        <v>24864</v>
      </c>
      <c r="J17" s="422">
        <f t="shared" ref="J17:J28" si="5">(I17-H17)/H17</f>
        <v>5.826771653543307E-2</v>
      </c>
    </row>
    <row r="18" spans="1:10" ht="15.75" thickBot="1" x14ac:dyDescent="0.3">
      <c r="A18" s="240" t="s">
        <v>258</v>
      </c>
      <c r="B18" s="242">
        <v>7433</v>
      </c>
      <c r="C18" s="413">
        <v>8040</v>
      </c>
      <c r="D18" s="422">
        <f t="shared" si="3"/>
        <v>8.1662854836539761E-2</v>
      </c>
      <c r="E18" s="242">
        <v>7433</v>
      </c>
      <c r="F18" s="413">
        <v>8563</v>
      </c>
      <c r="G18" s="422">
        <f t="shared" si="4"/>
        <v>0.15202475447329478</v>
      </c>
      <c r="H18" s="242">
        <v>7433</v>
      </c>
      <c r="I18" s="413">
        <v>8823</v>
      </c>
      <c r="J18" s="422">
        <f t="shared" si="5"/>
        <v>0.18700390152024754</v>
      </c>
    </row>
    <row r="19" spans="1:10" ht="15.75" thickBot="1" x14ac:dyDescent="0.3">
      <c r="A19" s="240" t="s">
        <v>169</v>
      </c>
      <c r="B19" s="242">
        <v>164510</v>
      </c>
      <c r="C19" s="413">
        <v>162693</v>
      </c>
      <c r="D19" s="422">
        <f t="shared" si="3"/>
        <v>-1.104492128138107E-2</v>
      </c>
      <c r="E19" s="242">
        <v>164510</v>
      </c>
      <c r="F19" s="413">
        <v>175634</v>
      </c>
      <c r="G19" s="422">
        <f t="shared" si="4"/>
        <v>6.7618989727068257E-2</v>
      </c>
      <c r="H19" s="242">
        <v>164510</v>
      </c>
      <c r="I19" s="413">
        <v>171711</v>
      </c>
      <c r="J19" s="422">
        <f t="shared" si="5"/>
        <v>4.377241505075679E-2</v>
      </c>
    </row>
    <row r="20" spans="1:10" ht="15.75" thickBot="1" x14ac:dyDescent="0.3">
      <c r="A20" s="240" t="s">
        <v>170</v>
      </c>
      <c r="B20" s="242">
        <v>3885206</v>
      </c>
      <c r="C20" s="413">
        <v>4010528</v>
      </c>
      <c r="D20" s="422">
        <f t="shared" si="3"/>
        <v>3.2256204690304713E-2</v>
      </c>
      <c r="E20" s="242">
        <v>3885206</v>
      </c>
      <c r="F20" s="413">
        <v>4081768</v>
      </c>
      <c r="G20" s="422">
        <f t="shared" si="4"/>
        <v>5.0592426759353298E-2</v>
      </c>
      <c r="H20" s="242">
        <v>3885206</v>
      </c>
      <c r="I20" s="413">
        <v>4186276</v>
      </c>
      <c r="J20" s="422">
        <f t="shared" si="5"/>
        <v>7.7491386557109201E-2</v>
      </c>
    </row>
    <row r="21" spans="1:10" ht="15.75" thickBot="1" x14ac:dyDescent="0.3">
      <c r="A21" s="240" t="s">
        <v>171</v>
      </c>
      <c r="B21" s="242">
        <v>3383513</v>
      </c>
      <c r="C21" s="413">
        <v>3334995</v>
      </c>
      <c r="D21" s="422">
        <f t="shared" si="3"/>
        <v>-1.4339534087795732E-2</v>
      </c>
      <c r="E21" s="242">
        <v>3383513</v>
      </c>
      <c r="F21" s="413">
        <v>3377048</v>
      </c>
      <c r="G21" s="422">
        <f t="shared" si="4"/>
        <v>-1.9107359717548003E-3</v>
      </c>
      <c r="H21" s="242">
        <v>3383513</v>
      </c>
      <c r="I21" s="413">
        <v>3340223</v>
      </c>
      <c r="J21" s="422">
        <f t="shared" si="5"/>
        <v>-1.2794394465160914E-2</v>
      </c>
    </row>
    <row r="22" spans="1:10" ht="15.75" thickBot="1" x14ac:dyDescent="0.3">
      <c r="A22" s="240" t="s">
        <v>141</v>
      </c>
      <c r="B22" s="242">
        <v>71842</v>
      </c>
      <c r="C22" s="413">
        <v>71797</v>
      </c>
      <c r="D22" s="422">
        <f t="shared" si="3"/>
        <v>-6.2637454413852619E-4</v>
      </c>
      <c r="E22" s="242">
        <v>71842</v>
      </c>
      <c r="F22" s="413">
        <v>71751</v>
      </c>
      <c r="G22" s="422">
        <f t="shared" si="4"/>
        <v>-1.2666685225912419E-3</v>
      </c>
      <c r="H22" s="242">
        <v>71842</v>
      </c>
      <c r="I22" s="413">
        <v>72352</v>
      </c>
      <c r="J22" s="422">
        <f t="shared" si="5"/>
        <v>7.0989115002366302E-3</v>
      </c>
    </row>
    <row r="23" spans="1:10" ht="15.75" thickBot="1" x14ac:dyDescent="0.3">
      <c r="A23" s="240" t="s">
        <v>247</v>
      </c>
      <c r="B23" s="242">
        <v>2034454</v>
      </c>
      <c r="C23" s="413">
        <v>2003664</v>
      </c>
      <c r="D23" s="422">
        <f t="shared" si="3"/>
        <v>-1.5134281728660368E-2</v>
      </c>
      <c r="E23" s="242">
        <v>2034454</v>
      </c>
      <c r="F23" s="413">
        <v>2059277</v>
      </c>
      <c r="G23" s="422">
        <f t="shared" si="4"/>
        <v>1.2201308065947915E-2</v>
      </c>
      <c r="H23" s="242">
        <v>2034454</v>
      </c>
      <c r="I23" s="413">
        <v>2061972</v>
      </c>
      <c r="J23" s="422">
        <f t="shared" si="5"/>
        <v>1.352598780803105E-2</v>
      </c>
    </row>
    <row r="24" spans="1:10" ht="15.75" thickBot="1" x14ac:dyDescent="0.3">
      <c r="A24" s="240" t="s">
        <v>173</v>
      </c>
      <c r="B24" s="242">
        <v>1163671</v>
      </c>
      <c r="C24" s="413">
        <v>1143667</v>
      </c>
      <c r="D24" s="422">
        <f t="shared" si="3"/>
        <v>-1.7190425816231564E-2</v>
      </c>
      <c r="E24" s="242">
        <v>1163671</v>
      </c>
      <c r="F24" s="413">
        <v>1162725</v>
      </c>
      <c r="G24" s="422">
        <f t="shared" si="4"/>
        <v>-8.129445521973135E-4</v>
      </c>
      <c r="H24" s="242">
        <v>1163671</v>
      </c>
      <c r="I24" s="413">
        <v>1158978</v>
      </c>
      <c r="J24" s="422">
        <f t="shared" si="5"/>
        <v>-4.0329268324122538E-3</v>
      </c>
    </row>
    <row r="25" spans="1:10" ht="15.75" thickBot="1" x14ac:dyDescent="0.3">
      <c r="A25" s="240" t="s">
        <v>174</v>
      </c>
      <c r="B25" s="242">
        <v>356994</v>
      </c>
      <c r="C25" s="413">
        <v>355573</v>
      </c>
      <c r="D25" s="422">
        <f t="shared" si="3"/>
        <v>-3.9804590553342636E-3</v>
      </c>
      <c r="E25" s="242">
        <v>356994</v>
      </c>
      <c r="F25" s="413">
        <v>374942</v>
      </c>
      <c r="G25" s="422">
        <f t="shared" si="4"/>
        <v>5.027535476786725E-2</v>
      </c>
      <c r="H25" s="242">
        <v>356994</v>
      </c>
      <c r="I25" s="413">
        <v>380851</v>
      </c>
      <c r="J25" s="422">
        <f t="shared" si="5"/>
        <v>6.6827453682694951E-2</v>
      </c>
    </row>
    <row r="26" spans="1:10" ht="15.75" thickBot="1" x14ac:dyDescent="0.3">
      <c r="A26" s="245" t="s">
        <v>259</v>
      </c>
      <c r="B26" s="247">
        <v>48661</v>
      </c>
      <c r="C26" s="414">
        <v>49430</v>
      </c>
      <c r="D26" s="423">
        <f t="shared" si="3"/>
        <v>1.5803209962803887E-2</v>
      </c>
      <c r="E26" s="247">
        <v>48661</v>
      </c>
      <c r="F26" s="414">
        <v>95978</v>
      </c>
      <c r="G26" s="423">
        <f t="shared" si="4"/>
        <v>0.97238034565668607</v>
      </c>
      <c r="H26" s="247">
        <v>48661</v>
      </c>
      <c r="I26" s="414">
        <v>97870</v>
      </c>
      <c r="J26" s="423">
        <f t="shared" si="5"/>
        <v>1.0112615852530775</v>
      </c>
    </row>
    <row r="27" spans="1:10" ht="15.75" thickBot="1" x14ac:dyDescent="0.3">
      <c r="A27" s="249" t="s">
        <v>175</v>
      </c>
      <c r="B27" s="250">
        <f>SUM(B17:B26)</f>
        <v>11139779</v>
      </c>
      <c r="C27" s="415">
        <v>11162330</v>
      </c>
      <c r="D27" s="424">
        <f t="shared" si="3"/>
        <v>2.0243669106900595E-3</v>
      </c>
      <c r="E27" s="250">
        <f>SUM(E17:E26)</f>
        <v>11139779</v>
      </c>
      <c r="F27" s="415">
        <f>SUM(F17:F26)</f>
        <v>11431630</v>
      </c>
      <c r="G27" s="424">
        <f t="shared" si="4"/>
        <v>2.6198993714327726E-2</v>
      </c>
      <c r="H27" s="250">
        <f>SUM(H17:H26)</f>
        <v>11139779</v>
      </c>
      <c r="I27" s="415">
        <f>SUM(I17:I26)</f>
        <v>11503920</v>
      </c>
      <c r="J27" s="424">
        <f t="shared" si="5"/>
        <v>3.2688350460094405E-2</v>
      </c>
    </row>
    <row r="28" spans="1:10" ht="15.75" thickBot="1" x14ac:dyDescent="0.3">
      <c r="A28" s="382" t="s">
        <v>176</v>
      </c>
      <c r="B28" s="383">
        <f>+B15+B27</f>
        <v>13699554</v>
      </c>
      <c r="C28" s="416">
        <f>+C15+C27</f>
        <v>13836093</v>
      </c>
      <c r="D28" s="425">
        <f t="shared" si="3"/>
        <v>9.9666748275162829E-3</v>
      </c>
      <c r="E28" s="383">
        <f>+E15+E27</f>
        <v>13699554</v>
      </c>
      <c r="F28" s="416">
        <f>+F15+F27</f>
        <v>14073758</v>
      </c>
      <c r="G28" s="425">
        <f t="shared" si="4"/>
        <v>2.7315049818410146E-2</v>
      </c>
      <c r="H28" s="383">
        <f>+H15+H27</f>
        <v>13699554</v>
      </c>
      <c r="I28" s="416">
        <f>+I15+I27</f>
        <v>14209847</v>
      </c>
      <c r="J28" s="425">
        <f t="shared" si="5"/>
        <v>3.7248876861246727E-2</v>
      </c>
    </row>
    <row r="29" spans="1:10" x14ac:dyDescent="0.25">
      <c r="A29" s="376" t="s">
        <v>142</v>
      </c>
      <c r="B29" s="377"/>
      <c r="C29" s="411"/>
      <c r="D29" s="411"/>
      <c r="E29" s="377"/>
      <c r="F29" s="411"/>
      <c r="G29" s="411"/>
      <c r="H29" s="377"/>
      <c r="I29" s="411"/>
      <c r="J29" s="411"/>
    </row>
    <row r="30" spans="1:10" x14ac:dyDescent="0.25">
      <c r="A30" s="378" t="s">
        <v>177</v>
      </c>
      <c r="B30" s="379"/>
      <c r="C30" s="412"/>
      <c r="D30" s="421"/>
      <c r="E30" s="379"/>
      <c r="F30" s="412"/>
      <c r="G30" s="421"/>
      <c r="H30" s="379"/>
      <c r="I30" s="412"/>
      <c r="J30" s="421"/>
    </row>
    <row r="31" spans="1:10" ht="15.75" thickBot="1" x14ac:dyDescent="0.3">
      <c r="A31" s="240" t="s">
        <v>28</v>
      </c>
      <c r="B31" s="242">
        <v>847689</v>
      </c>
      <c r="C31" s="413">
        <v>766418</v>
      </c>
      <c r="D31" s="422">
        <f t="shared" ref="D31:D37" si="6">(C31-B31)/B31</f>
        <v>-9.5873604588475256E-2</v>
      </c>
      <c r="E31" s="242">
        <v>847689</v>
      </c>
      <c r="F31" s="413">
        <v>656202</v>
      </c>
      <c r="G31" s="422">
        <f t="shared" ref="G31:G37" si="7">(F31-E31)/E31</f>
        <v>-0.22589298669677205</v>
      </c>
      <c r="H31" s="242">
        <v>847689</v>
      </c>
      <c r="I31" s="413">
        <v>782255</v>
      </c>
      <c r="J31" s="422">
        <f t="shared" ref="J31:J37" si="8">(I31-H31)/H31</f>
        <v>-7.7191045300811972E-2</v>
      </c>
    </row>
    <row r="32" spans="1:10" ht="15.75" thickBot="1" x14ac:dyDescent="0.3">
      <c r="A32" s="240" t="s">
        <v>178</v>
      </c>
      <c r="B32" s="242">
        <v>888840</v>
      </c>
      <c r="C32" s="413">
        <v>950671</v>
      </c>
      <c r="D32" s="422">
        <f t="shared" si="6"/>
        <v>6.9563701003555189E-2</v>
      </c>
      <c r="E32" s="242">
        <v>888840</v>
      </c>
      <c r="F32" s="413">
        <v>930722</v>
      </c>
      <c r="G32" s="422">
        <f t="shared" si="7"/>
        <v>4.7119841591287522E-2</v>
      </c>
      <c r="H32" s="242">
        <v>888840</v>
      </c>
      <c r="I32" s="413">
        <v>866238</v>
      </c>
      <c r="J32" s="422">
        <f t="shared" si="8"/>
        <v>-2.5428648575671661E-2</v>
      </c>
    </row>
    <row r="33" spans="1:10" ht="15.75" thickBot="1" x14ac:dyDescent="0.3">
      <c r="A33" s="240" t="s">
        <v>257</v>
      </c>
      <c r="B33" s="242">
        <v>163362</v>
      </c>
      <c r="C33" s="413">
        <v>156179</v>
      </c>
      <c r="D33" s="422">
        <f t="shared" si="6"/>
        <v>-4.3969833865892927E-2</v>
      </c>
      <c r="E33" s="242">
        <v>163362</v>
      </c>
      <c r="F33" s="413">
        <v>200054</v>
      </c>
      <c r="G33" s="422">
        <f t="shared" si="7"/>
        <v>0.22460547740600628</v>
      </c>
      <c r="H33" s="242">
        <v>163362</v>
      </c>
      <c r="I33" s="413">
        <v>227088</v>
      </c>
      <c r="J33" s="422">
        <f t="shared" si="8"/>
        <v>0.3900907187718074</v>
      </c>
    </row>
    <row r="34" spans="1:10" ht="15.75" thickBot="1" x14ac:dyDescent="0.3">
      <c r="A34" s="240" t="s">
        <v>179</v>
      </c>
      <c r="B34" s="242">
        <v>161592</v>
      </c>
      <c r="C34" s="413">
        <v>153375</v>
      </c>
      <c r="D34" s="422">
        <f t="shared" si="6"/>
        <v>-5.0850289618297934E-2</v>
      </c>
      <c r="E34" s="242">
        <v>161592</v>
      </c>
      <c r="F34" s="413">
        <v>151445</v>
      </c>
      <c r="G34" s="422">
        <f t="shared" si="7"/>
        <v>-6.2793950195554241E-2</v>
      </c>
      <c r="H34" s="242">
        <v>161592</v>
      </c>
      <c r="I34" s="413">
        <v>200062</v>
      </c>
      <c r="J34" s="422">
        <f t="shared" si="8"/>
        <v>0.23806871627308282</v>
      </c>
    </row>
    <row r="35" spans="1:10" ht="15.75" thickBot="1" x14ac:dyDescent="0.3">
      <c r="A35" s="240" t="s">
        <v>180</v>
      </c>
      <c r="B35" s="242">
        <v>2734</v>
      </c>
      <c r="C35" s="413">
        <v>1360</v>
      </c>
      <c r="D35" s="422">
        <f t="shared" si="6"/>
        <v>-0.50256035113386976</v>
      </c>
      <c r="E35" s="242">
        <v>2734</v>
      </c>
      <c r="F35" s="413">
        <v>1139</v>
      </c>
      <c r="G35" s="422">
        <f t="shared" si="7"/>
        <v>-0.58339429407461596</v>
      </c>
      <c r="H35" s="242">
        <v>2734</v>
      </c>
      <c r="I35" s="413">
        <v>1139</v>
      </c>
      <c r="J35" s="422">
        <f t="shared" si="8"/>
        <v>-0.58339429407461596</v>
      </c>
    </row>
    <row r="36" spans="1:10" ht="15.75" thickBot="1" x14ac:dyDescent="0.3">
      <c r="A36" s="245" t="s">
        <v>260</v>
      </c>
      <c r="B36" s="247">
        <v>49746</v>
      </c>
      <c r="C36" s="414">
        <v>49399</v>
      </c>
      <c r="D36" s="423">
        <f t="shared" si="6"/>
        <v>-6.9754352108712262E-3</v>
      </c>
      <c r="E36" s="247">
        <v>49746</v>
      </c>
      <c r="F36" s="414">
        <v>43019</v>
      </c>
      <c r="G36" s="423">
        <f t="shared" si="7"/>
        <v>-0.13522695292083786</v>
      </c>
      <c r="H36" s="247">
        <v>49746</v>
      </c>
      <c r="I36" s="414">
        <v>52321</v>
      </c>
      <c r="J36" s="423">
        <f t="shared" si="8"/>
        <v>5.1762955815542959E-2</v>
      </c>
    </row>
    <row r="37" spans="1:10" ht="15.75" thickBot="1" x14ac:dyDescent="0.3">
      <c r="A37" s="249" t="s">
        <v>181</v>
      </c>
      <c r="B37" s="250">
        <f>SUM(B31:B36)</f>
        <v>2113963</v>
      </c>
      <c r="C37" s="415">
        <f>SUM(C31:C36)</f>
        <v>2077402</v>
      </c>
      <c r="D37" s="424">
        <f t="shared" si="6"/>
        <v>-1.7295004690242925E-2</v>
      </c>
      <c r="E37" s="250">
        <f>SUM(E31:E36)</f>
        <v>2113963</v>
      </c>
      <c r="F37" s="415">
        <f>SUM(F31:F36)</f>
        <v>1982581</v>
      </c>
      <c r="G37" s="424">
        <f t="shared" si="7"/>
        <v>-6.2149621350988643E-2</v>
      </c>
      <c r="H37" s="250">
        <f>SUM(H31:H36)</f>
        <v>2113963</v>
      </c>
      <c r="I37" s="415">
        <f>SUM(I31:I36)</f>
        <v>2129103</v>
      </c>
      <c r="J37" s="424">
        <f t="shared" si="8"/>
        <v>7.1619039689909429E-3</v>
      </c>
    </row>
    <row r="38" spans="1:10" x14ac:dyDescent="0.25">
      <c r="A38" s="378" t="s">
        <v>182</v>
      </c>
      <c r="B38" s="379"/>
      <c r="C38" s="412"/>
      <c r="D38" s="421"/>
      <c r="E38" s="379"/>
      <c r="F38" s="412"/>
      <c r="G38" s="421"/>
      <c r="H38" s="379"/>
      <c r="I38" s="412"/>
      <c r="J38" s="421"/>
    </row>
    <row r="39" spans="1:10" ht="15.75" thickBot="1" x14ac:dyDescent="0.3">
      <c r="A39" s="240" t="s">
        <v>28</v>
      </c>
      <c r="B39" s="242">
        <v>2277429</v>
      </c>
      <c r="C39" s="413">
        <v>2521441</v>
      </c>
      <c r="D39" s="422">
        <f t="shared" ref="D39:D45" si="9">(C39-B39)/B39</f>
        <v>0.10714362555320056</v>
      </c>
      <c r="E39" s="242">
        <v>2277429</v>
      </c>
      <c r="F39" s="413">
        <v>2514525</v>
      </c>
      <c r="G39" s="422">
        <f t="shared" ref="G39:G45" si="10">(F39-E39)/E39</f>
        <v>0.10410686787601282</v>
      </c>
      <c r="H39" s="242">
        <v>2277429</v>
      </c>
      <c r="I39" s="413">
        <v>2353842</v>
      </c>
      <c r="J39" s="422">
        <f t="shared" ref="J39:J45" si="11">(I39-H39)/H39</f>
        <v>3.3552308326626208E-2</v>
      </c>
    </row>
    <row r="40" spans="1:10" ht="15.75" thickBot="1" x14ac:dyDescent="0.3">
      <c r="A40" s="240" t="s">
        <v>178</v>
      </c>
      <c r="B40" s="241">
        <v>158</v>
      </c>
      <c r="C40" s="417">
        <v>158</v>
      </c>
      <c r="D40" s="422">
        <f t="shared" si="9"/>
        <v>0</v>
      </c>
      <c r="E40" s="241">
        <v>158</v>
      </c>
      <c r="F40" s="417">
        <v>158</v>
      </c>
      <c r="G40" s="422">
        <f t="shared" si="10"/>
        <v>0</v>
      </c>
      <c r="H40" s="241">
        <v>158</v>
      </c>
      <c r="I40" s="417">
        <v>158</v>
      </c>
      <c r="J40" s="422">
        <f t="shared" si="11"/>
        <v>0</v>
      </c>
    </row>
    <row r="41" spans="1:10" ht="15.75" thickBot="1" x14ac:dyDescent="0.3">
      <c r="A41" s="240" t="s">
        <v>179</v>
      </c>
      <c r="B41" s="242">
        <v>216744</v>
      </c>
      <c r="C41" s="413">
        <v>221537</v>
      </c>
      <c r="D41" s="422">
        <f t="shared" si="9"/>
        <v>2.2113645591112095E-2</v>
      </c>
      <c r="E41" s="242">
        <v>216744</v>
      </c>
      <c r="F41" s="413">
        <v>229319</v>
      </c>
      <c r="G41" s="422">
        <f t="shared" si="10"/>
        <v>5.8017753663307865E-2</v>
      </c>
      <c r="H41" s="242">
        <v>216744</v>
      </c>
      <c r="I41" s="413">
        <v>234802</v>
      </c>
      <c r="J41" s="422">
        <f t="shared" si="11"/>
        <v>8.331487838186985E-2</v>
      </c>
    </row>
    <row r="42" spans="1:10" ht="15.75" thickBot="1" x14ac:dyDescent="0.3">
      <c r="A42" s="240" t="s">
        <v>183</v>
      </c>
      <c r="B42" s="242">
        <v>705700</v>
      </c>
      <c r="C42" s="413">
        <v>700242</v>
      </c>
      <c r="D42" s="422">
        <f t="shared" si="9"/>
        <v>-7.7341646592036274E-3</v>
      </c>
      <c r="E42" s="242">
        <v>705700</v>
      </c>
      <c r="F42" s="413">
        <v>701487</v>
      </c>
      <c r="G42" s="422">
        <f t="shared" si="10"/>
        <v>-5.9699589060507301E-3</v>
      </c>
      <c r="H42" s="242">
        <v>705700</v>
      </c>
      <c r="I42" s="413">
        <v>690887</v>
      </c>
      <c r="J42" s="422">
        <f t="shared" si="11"/>
        <v>-2.0990505880685843E-2</v>
      </c>
    </row>
    <row r="43" spans="1:10" ht="15.75" thickBot="1" x14ac:dyDescent="0.3">
      <c r="A43" s="245" t="s">
        <v>261</v>
      </c>
      <c r="B43" s="246">
        <v>600</v>
      </c>
      <c r="C43" s="418">
        <v>618</v>
      </c>
      <c r="D43" s="422">
        <f t="shared" si="9"/>
        <v>0.03</v>
      </c>
      <c r="E43" s="246">
        <v>600</v>
      </c>
      <c r="F43" s="418">
        <v>657</v>
      </c>
      <c r="G43" s="422">
        <f t="shared" si="10"/>
        <v>9.5000000000000001E-2</v>
      </c>
      <c r="H43" s="246">
        <v>600</v>
      </c>
      <c r="I43" s="418">
        <v>613</v>
      </c>
      <c r="J43" s="422">
        <f t="shared" si="11"/>
        <v>2.1666666666666667E-2</v>
      </c>
    </row>
    <row r="44" spans="1:10" ht="15.75" thickBot="1" x14ac:dyDescent="0.3">
      <c r="A44" s="249" t="s">
        <v>185</v>
      </c>
      <c r="B44" s="250">
        <f>SUM(B39:B43)</f>
        <v>3200631</v>
      </c>
      <c r="C44" s="415">
        <f>SUM(C39:C43)</f>
        <v>3443996</v>
      </c>
      <c r="D44" s="424">
        <f t="shared" si="9"/>
        <v>7.6036569039042615E-2</v>
      </c>
      <c r="E44" s="250">
        <f>SUM(E39:E43)</f>
        <v>3200631</v>
      </c>
      <c r="F44" s="415">
        <f>SUM(F39:F43)</f>
        <v>3446146</v>
      </c>
      <c r="G44" s="424">
        <f t="shared" si="10"/>
        <v>7.6708311579810354E-2</v>
      </c>
      <c r="H44" s="250">
        <f>SUM(H39:H43)</f>
        <v>3200631</v>
      </c>
      <c r="I44" s="415">
        <f>SUM(I39:I43)</f>
        <v>3280302</v>
      </c>
      <c r="J44" s="424">
        <f t="shared" si="11"/>
        <v>2.4892279053724094E-2</v>
      </c>
    </row>
    <row r="45" spans="1:10" ht="15.75" thickBot="1" x14ac:dyDescent="0.3">
      <c r="A45" s="382" t="s">
        <v>186</v>
      </c>
      <c r="B45" s="383">
        <f>+B37+B44</f>
        <v>5314594</v>
      </c>
      <c r="C45" s="416">
        <f>+C37+C44</f>
        <v>5521398</v>
      </c>
      <c r="D45" s="425">
        <f t="shared" si="9"/>
        <v>3.8912473840899228E-2</v>
      </c>
      <c r="E45" s="383">
        <f>+E37+E44</f>
        <v>5314594</v>
      </c>
      <c r="F45" s="416">
        <f>+F37+F44</f>
        <v>5428727</v>
      </c>
      <c r="G45" s="425">
        <f t="shared" si="10"/>
        <v>2.1475393981177114E-2</v>
      </c>
      <c r="H45" s="383">
        <f>+H37+H44</f>
        <v>5314594</v>
      </c>
      <c r="I45" s="416">
        <f>+I37+I44</f>
        <v>5409405</v>
      </c>
      <c r="J45" s="425">
        <f t="shared" si="11"/>
        <v>1.7839744672876235E-2</v>
      </c>
    </row>
    <row r="46" spans="1:10" x14ac:dyDescent="0.25">
      <c r="A46" s="376" t="s">
        <v>34</v>
      </c>
      <c r="B46" s="377"/>
      <c r="C46" s="411"/>
      <c r="D46" s="411"/>
      <c r="E46" s="377"/>
      <c r="F46" s="411"/>
      <c r="G46" s="411"/>
      <c r="H46" s="377"/>
      <c r="I46" s="411"/>
      <c r="J46" s="411"/>
    </row>
    <row r="47" spans="1:10" ht="15.75" thickBot="1" x14ac:dyDescent="0.3">
      <c r="A47" s="249" t="s">
        <v>187</v>
      </c>
      <c r="B47" s="250">
        <v>8346719</v>
      </c>
      <c r="C47" s="415">
        <v>8274696</v>
      </c>
      <c r="D47" s="424">
        <f>(C47-B47)/B47</f>
        <v>-8.628899571196778E-3</v>
      </c>
      <c r="E47" s="250">
        <v>8346719</v>
      </c>
      <c r="F47" s="415">
        <v>8606275</v>
      </c>
      <c r="G47" s="424">
        <f>(F47-E47)/E47</f>
        <v>3.109676988047639E-2</v>
      </c>
      <c r="H47" s="250">
        <v>8346719</v>
      </c>
      <c r="I47" s="415">
        <v>8760740</v>
      </c>
      <c r="J47" s="424">
        <f>(I47-H47)/H47</f>
        <v>4.9602843943829904E-2</v>
      </c>
    </row>
    <row r="48" spans="1:10" ht="15.75" thickBot="1" x14ac:dyDescent="0.3">
      <c r="A48" s="259" t="s">
        <v>188</v>
      </c>
      <c r="B48" s="247">
        <v>38241</v>
      </c>
      <c r="C48" s="414">
        <v>39999</v>
      </c>
      <c r="D48" s="423">
        <f>(C48-B48)/B48</f>
        <v>4.5971601161057501E-2</v>
      </c>
      <c r="E48" s="247">
        <v>38241</v>
      </c>
      <c r="F48" s="414">
        <v>38756</v>
      </c>
      <c r="G48" s="423">
        <f>(F48-E48)/E48</f>
        <v>1.3467221045474752E-2</v>
      </c>
      <c r="H48" s="247">
        <v>38241</v>
      </c>
      <c r="I48" s="414">
        <v>39702</v>
      </c>
      <c r="J48" s="423">
        <f>(I48-H48)/H48</f>
        <v>3.8205067859104103E-2</v>
      </c>
    </row>
    <row r="49" spans="1:25" ht="15.75" thickBot="1" x14ac:dyDescent="0.3">
      <c r="A49" s="382" t="s">
        <v>189</v>
      </c>
      <c r="B49" s="383">
        <f>SUM(B47:B48)</f>
        <v>8384960</v>
      </c>
      <c r="C49" s="416">
        <f>SUM(C47:C48)</f>
        <v>8314695</v>
      </c>
      <c r="D49" s="425">
        <f>(C49-B49)/B49</f>
        <v>-8.3798849368392925E-3</v>
      </c>
      <c r="E49" s="383">
        <f>SUM(E47:E48)</f>
        <v>8384960</v>
      </c>
      <c r="F49" s="416">
        <f>SUM(F47:F48)</f>
        <v>8645031</v>
      </c>
      <c r="G49" s="425">
        <f>(F49-E49)/E49</f>
        <v>3.1016367400679312E-2</v>
      </c>
      <c r="H49" s="383">
        <f>SUM(H47:H48)</f>
        <v>8384960</v>
      </c>
      <c r="I49" s="416">
        <f>SUM(I47:I48)</f>
        <v>8800442</v>
      </c>
      <c r="J49" s="425">
        <f>(I49-H49)/H49</f>
        <v>4.9550862496660686E-2</v>
      </c>
    </row>
    <row r="50" spans="1:25" ht="15.75" thickBot="1" x14ac:dyDescent="0.3">
      <c r="A50" s="380" t="s">
        <v>190</v>
      </c>
      <c r="B50" s="381">
        <f>+B45+B49</f>
        <v>13699554</v>
      </c>
      <c r="C50" s="419">
        <f>+C45+C49</f>
        <v>13836093</v>
      </c>
      <c r="D50" s="426">
        <f>(C50-B50)/B50</f>
        <v>9.9666748275162829E-3</v>
      </c>
      <c r="E50" s="381">
        <f>+E45+E49</f>
        <v>13699554</v>
      </c>
      <c r="F50" s="419">
        <f>+F45+F49</f>
        <v>14073758</v>
      </c>
      <c r="G50" s="426">
        <f>(F50-E50)/E50</f>
        <v>2.7315049818410146E-2</v>
      </c>
      <c r="H50" s="381">
        <f>+H45+H49</f>
        <v>13699554</v>
      </c>
      <c r="I50" s="419">
        <f>+I45+I49</f>
        <v>14209847</v>
      </c>
      <c r="J50" s="426">
        <f>(I50-H50)/H50</f>
        <v>3.7248876861246727E-2</v>
      </c>
    </row>
    <row r="52" spans="1:25" x14ac:dyDescent="0.25">
      <c r="C52" s="263"/>
      <c r="E52" s="263"/>
      <c r="H52" s="263"/>
      <c r="J52" s="263"/>
      <c r="M52" s="263"/>
      <c r="O52" s="263"/>
      <c r="R52" s="263"/>
      <c r="T52" s="263"/>
    </row>
    <row r="53" spans="1:25" ht="18.75" x14ac:dyDescent="0.3">
      <c r="A53" s="264" t="s">
        <v>191</v>
      </c>
      <c r="B53" s="362"/>
      <c r="C53" s="362"/>
      <c r="D53" s="362"/>
      <c r="E53" s="362"/>
    </row>
    <row r="54" spans="1:25" x14ac:dyDescent="0.25">
      <c r="A54" s="332" t="s">
        <v>235</v>
      </c>
      <c r="B54" s="362"/>
      <c r="C54" s="362"/>
      <c r="D54" s="362"/>
      <c r="E54" s="362"/>
    </row>
    <row r="55" spans="1:25" x14ac:dyDescent="0.25">
      <c r="A55" s="332" t="s">
        <v>88</v>
      </c>
      <c r="B55" s="362"/>
      <c r="C55" s="362"/>
      <c r="D55" s="362"/>
      <c r="E55" s="362"/>
    </row>
    <row r="56" spans="1:25" x14ac:dyDescent="0.25">
      <c r="A56" s="265" t="s">
        <v>159</v>
      </c>
      <c r="B56" s="362"/>
      <c r="C56" s="362"/>
      <c r="D56" s="362"/>
      <c r="E56" s="362"/>
    </row>
    <row r="57" spans="1:25" x14ac:dyDescent="0.25">
      <c r="A57" s="265"/>
      <c r="B57" s="362"/>
      <c r="C57" s="362"/>
      <c r="D57" s="362"/>
      <c r="E57" s="362"/>
    </row>
    <row r="58" spans="1:25" ht="15.75" thickBot="1" x14ac:dyDescent="0.3">
      <c r="B58" s="364"/>
      <c r="C58" s="364"/>
      <c r="D58" s="364"/>
      <c r="E58" s="364"/>
    </row>
    <row r="59" spans="1:25" ht="15.75" customHeight="1" thickBot="1" x14ac:dyDescent="0.3">
      <c r="A59" s="353"/>
      <c r="B59" s="388" t="s">
        <v>222</v>
      </c>
      <c r="C59" s="388" t="s">
        <v>55</v>
      </c>
      <c r="D59" s="400" t="s">
        <v>245</v>
      </c>
      <c r="E59" s="400" t="s">
        <v>55</v>
      </c>
      <c r="F59" s="388" t="s">
        <v>46</v>
      </c>
      <c r="G59" s="388" t="s">
        <v>232</v>
      </c>
      <c r="H59" s="388" t="s">
        <v>55</v>
      </c>
      <c r="I59" s="400" t="s">
        <v>251</v>
      </c>
      <c r="J59" s="388" t="s">
        <v>55</v>
      </c>
      <c r="K59" s="388" t="s">
        <v>46</v>
      </c>
      <c r="L59" s="388" t="s">
        <v>222</v>
      </c>
      <c r="M59" s="400" t="s">
        <v>245</v>
      </c>
      <c r="N59" s="388" t="s">
        <v>231</v>
      </c>
      <c r="O59" s="400" t="s">
        <v>250</v>
      </c>
      <c r="P59" s="388" t="s">
        <v>236</v>
      </c>
      <c r="Q59" s="388" t="s">
        <v>55</v>
      </c>
      <c r="R59" s="400" t="s">
        <v>255</v>
      </c>
      <c r="S59" s="388" t="s">
        <v>55</v>
      </c>
      <c r="T59" s="388" t="s">
        <v>46</v>
      </c>
      <c r="U59" s="388" t="s">
        <v>237</v>
      </c>
      <c r="V59" s="388" t="s">
        <v>55</v>
      </c>
      <c r="W59" s="400" t="s">
        <v>256</v>
      </c>
      <c r="X59" s="400" t="s">
        <v>55</v>
      </c>
      <c r="Y59" s="388" t="s">
        <v>46</v>
      </c>
    </row>
    <row r="60" spans="1:25" ht="15.75" thickTop="1" x14ac:dyDescent="0.25">
      <c r="A60" s="390" t="s">
        <v>193</v>
      </c>
      <c r="B60" s="389"/>
      <c r="C60" s="389"/>
      <c r="D60" s="401"/>
      <c r="E60" s="406"/>
      <c r="F60" s="389"/>
      <c r="G60" s="389"/>
      <c r="H60" s="389"/>
      <c r="I60" s="401"/>
      <c r="J60" s="389"/>
      <c r="K60" s="389"/>
      <c r="L60" s="389"/>
      <c r="M60" s="401"/>
      <c r="N60" s="389"/>
      <c r="O60" s="401"/>
      <c r="P60" s="389"/>
      <c r="Q60" s="389"/>
      <c r="R60" s="401"/>
      <c r="S60" s="389"/>
      <c r="T60" s="389"/>
      <c r="U60" s="389"/>
      <c r="V60" s="389"/>
      <c r="W60" s="401"/>
      <c r="X60" s="406"/>
      <c r="Y60" s="389"/>
    </row>
    <row r="61" spans="1:25" ht="15.75" thickBot="1" x14ac:dyDescent="0.3">
      <c r="A61" s="391" t="s">
        <v>194</v>
      </c>
      <c r="B61" s="395">
        <v>2104216</v>
      </c>
      <c r="C61" s="387">
        <f t="shared" ref="C61:C82" si="12">+B61/$B$61</f>
        <v>1</v>
      </c>
      <c r="D61" s="395">
        <v>2041823</v>
      </c>
      <c r="E61" s="387">
        <f t="shared" ref="E61:E82" si="13">+D61/$D$61</f>
        <v>1</v>
      </c>
      <c r="F61" s="387">
        <f t="shared" ref="F61:F82" si="14">(D61-B61)/B61</f>
        <v>-2.9651423618107648E-2</v>
      </c>
      <c r="G61" s="395">
        <v>4205283</v>
      </c>
      <c r="H61" s="433">
        <f t="shared" ref="H61:H82" si="15">+G61/$G$61</f>
        <v>1</v>
      </c>
      <c r="I61" s="395">
        <v>4159066</v>
      </c>
      <c r="J61" s="387">
        <f t="shared" ref="J61:J82" si="16">+I61/$I$61</f>
        <v>1</v>
      </c>
      <c r="K61" s="387">
        <f>(I61-G61)/G61</f>
        <v>-1.0990223487931728E-2</v>
      </c>
      <c r="L61" s="395">
        <v>2104216</v>
      </c>
      <c r="M61" s="395">
        <v>2041823</v>
      </c>
      <c r="N61" s="395">
        <v>2101067</v>
      </c>
      <c r="O61" s="395">
        <v>2117243</v>
      </c>
      <c r="P61" s="395">
        <v>2214012</v>
      </c>
      <c r="Q61" s="387">
        <f t="shared" ref="Q61:Q75" si="17">+P61/$P$61</f>
        <v>1</v>
      </c>
      <c r="R61" s="395">
        <v>2232343</v>
      </c>
      <c r="S61" s="387">
        <f t="shared" ref="S61:S82" si="18">+R61/$R$61</f>
        <v>1</v>
      </c>
      <c r="T61" s="387">
        <f>(R61-P61)/P61</f>
        <v>8.2795395869579742E-3</v>
      </c>
      <c r="U61" s="395">
        <f>+L61+N61+P61</f>
        <v>6419295</v>
      </c>
      <c r="V61" s="387">
        <f t="shared" ref="V61:V82" si="19">+U61/$U$61</f>
        <v>1</v>
      </c>
      <c r="W61" s="395">
        <f>+M61+O61+R61</f>
        <v>6391409</v>
      </c>
      <c r="X61" s="387">
        <f t="shared" ref="X61:X82" si="20">+W61/$W$61</f>
        <v>1</v>
      </c>
      <c r="Y61" s="387">
        <f>(W61-U61)/U61</f>
        <v>-4.344090745167499E-3</v>
      </c>
    </row>
    <row r="62" spans="1:25" ht="15.75" thickBot="1" x14ac:dyDescent="0.3">
      <c r="A62" s="392" t="s">
        <v>262</v>
      </c>
      <c r="B62" s="396">
        <v>-1196310</v>
      </c>
      <c r="C62" s="384">
        <f t="shared" si="12"/>
        <v>-0.56853003684032433</v>
      </c>
      <c r="D62" s="402">
        <v>-1150561</v>
      </c>
      <c r="E62" s="407">
        <f t="shared" si="13"/>
        <v>-0.56349693386743116</v>
      </c>
      <c r="F62" s="384">
        <f t="shared" si="14"/>
        <v>-3.8241760078909316E-2</v>
      </c>
      <c r="G62" s="396">
        <v>-2399295</v>
      </c>
      <c r="H62" s="434">
        <f t="shared" si="15"/>
        <v>-0.57054305263165406</v>
      </c>
      <c r="I62" s="402">
        <v>-2333030</v>
      </c>
      <c r="J62" s="384">
        <f t="shared" si="16"/>
        <v>-0.56095046339731081</v>
      </c>
      <c r="K62" s="384">
        <f t="shared" ref="K62:K88" si="21">(I62-G62)/G62</f>
        <v>-2.7618529609739529E-2</v>
      </c>
      <c r="L62" s="396">
        <v>-1196310</v>
      </c>
      <c r="M62" s="402">
        <v>-1150561</v>
      </c>
      <c r="N62" s="396">
        <v>-1202985</v>
      </c>
      <c r="O62" s="402">
        <v>-1182469</v>
      </c>
      <c r="P62" s="396">
        <v>-1279858</v>
      </c>
      <c r="Q62" s="384">
        <f t="shared" si="17"/>
        <v>-0.57807184423571323</v>
      </c>
      <c r="R62" s="402">
        <v>-1236124</v>
      </c>
      <c r="S62" s="384">
        <f t="shared" si="18"/>
        <v>-0.55373390200341077</v>
      </c>
      <c r="T62" s="384">
        <f t="shared" ref="T62:T88" si="22">(R62-P62)/P62</f>
        <v>-3.4170978342909913E-2</v>
      </c>
      <c r="U62" s="396">
        <f t="shared" ref="U62:U88" si="23">+L62+N62+P62</f>
        <v>-3679153</v>
      </c>
      <c r="V62" s="384">
        <f t="shared" si="19"/>
        <v>-0.57313972951858416</v>
      </c>
      <c r="W62" s="402">
        <f t="shared" ref="W62:W88" si="24">+M62+O62+R62</f>
        <v>-3569154</v>
      </c>
      <c r="X62" s="407">
        <f t="shared" si="20"/>
        <v>-0.55842991740944758</v>
      </c>
      <c r="Y62" s="384">
        <f t="shared" ref="Y62:Y82" si="25">(W62-U62)/U62</f>
        <v>-2.9897914003576366E-2</v>
      </c>
    </row>
    <row r="63" spans="1:25" ht="15.75" thickBot="1" x14ac:dyDescent="0.3">
      <c r="A63" s="393" t="s">
        <v>196</v>
      </c>
      <c r="B63" s="397">
        <f>SUM(B61:B62)</f>
        <v>907906</v>
      </c>
      <c r="C63" s="386">
        <f t="shared" si="12"/>
        <v>0.43146996315967562</v>
      </c>
      <c r="D63" s="403">
        <f>SUM(D61:D62)</f>
        <v>891262</v>
      </c>
      <c r="E63" s="408">
        <f t="shared" si="13"/>
        <v>0.43650306613256878</v>
      </c>
      <c r="F63" s="386">
        <f t="shared" si="14"/>
        <v>-1.833229431240679E-2</v>
      </c>
      <c r="G63" s="397">
        <v>1805988</v>
      </c>
      <c r="H63" s="435">
        <f t="shared" si="15"/>
        <v>0.42945694736834594</v>
      </c>
      <c r="I63" s="403">
        <v>1826036</v>
      </c>
      <c r="J63" s="386">
        <f t="shared" si="16"/>
        <v>0.43904953660268914</v>
      </c>
      <c r="K63" s="386">
        <f t="shared" si="21"/>
        <v>1.1100848953592162E-2</v>
      </c>
      <c r="L63" s="397">
        <v>907906</v>
      </c>
      <c r="M63" s="403">
        <f>SUM(M61:M62)</f>
        <v>891262</v>
      </c>
      <c r="N63" s="397">
        <f>SUM(N61:N62)</f>
        <v>898082</v>
      </c>
      <c r="O63" s="403">
        <f>SUM(O61:O62)</f>
        <v>934774</v>
      </c>
      <c r="P63" s="397">
        <v>934154</v>
      </c>
      <c r="Q63" s="386">
        <f t="shared" si="17"/>
        <v>0.42192815576428672</v>
      </c>
      <c r="R63" s="403">
        <v>996219</v>
      </c>
      <c r="S63" s="386">
        <f t="shared" si="18"/>
        <v>0.44626609799658923</v>
      </c>
      <c r="T63" s="386">
        <f t="shared" si="22"/>
        <v>6.643979472335397E-2</v>
      </c>
      <c r="U63" s="397">
        <f t="shared" si="23"/>
        <v>2740142</v>
      </c>
      <c r="V63" s="386">
        <f t="shared" si="19"/>
        <v>0.42686027048141578</v>
      </c>
      <c r="W63" s="403">
        <f t="shared" si="24"/>
        <v>2822255</v>
      </c>
      <c r="X63" s="408">
        <f t="shared" si="20"/>
        <v>0.44157008259055242</v>
      </c>
      <c r="Y63" s="386">
        <f t="shared" si="25"/>
        <v>2.9966695156674363E-2</v>
      </c>
    </row>
    <row r="64" spans="1:25" ht="15.75" thickBot="1" x14ac:dyDescent="0.3">
      <c r="A64" s="392" t="s">
        <v>7</v>
      </c>
      <c r="B64" s="396">
        <v>-97009</v>
      </c>
      <c r="C64" s="384">
        <f t="shared" si="12"/>
        <v>-4.6102206237382475E-2</v>
      </c>
      <c r="D64" s="402">
        <v>-100251</v>
      </c>
      <c r="E64" s="407">
        <f t="shared" si="13"/>
        <v>-4.9098771049204556E-2</v>
      </c>
      <c r="F64" s="384">
        <f t="shared" si="14"/>
        <v>3.3419579626632577E-2</v>
      </c>
      <c r="G64" s="396">
        <v>-193987</v>
      </c>
      <c r="H64" s="434">
        <f t="shared" si="15"/>
        <v>-4.6129356811420302E-2</v>
      </c>
      <c r="I64" s="402">
        <v>-195591</v>
      </c>
      <c r="J64" s="384">
        <f t="shared" si="16"/>
        <v>-4.7027625914087441E-2</v>
      </c>
      <c r="K64" s="384">
        <f t="shared" si="21"/>
        <v>8.2685953182429755E-3</v>
      </c>
      <c r="L64" s="396">
        <v>-97009</v>
      </c>
      <c r="M64" s="402">
        <v>-100251</v>
      </c>
      <c r="N64" s="396">
        <v>-96978</v>
      </c>
      <c r="O64" s="402">
        <v>-95340</v>
      </c>
      <c r="P64" s="396">
        <v>-99902</v>
      </c>
      <c r="Q64" s="384">
        <f t="shared" si="17"/>
        <v>-4.5122609994887111E-2</v>
      </c>
      <c r="R64" s="402">
        <v>-97458</v>
      </c>
      <c r="S64" s="384">
        <f t="shared" si="18"/>
        <v>-4.3657269514586247E-2</v>
      </c>
      <c r="T64" s="384">
        <f t="shared" si="22"/>
        <v>-2.4463974695201299E-2</v>
      </c>
      <c r="U64" s="396">
        <f t="shared" si="23"/>
        <v>-293889</v>
      </c>
      <c r="V64" s="384">
        <f t="shared" si="19"/>
        <v>-4.5782130280661665E-2</v>
      </c>
      <c r="W64" s="402">
        <f t="shared" si="24"/>
        <v>-293049</v>
      </c>
      <c r="X64" s="407">
        <f t="shared" si="20"/>
        <v>-4.585045331944803E-2</v>
      </c>
      <c r="Y64" s="384">
        <f t="shared" si="25"/>
        <v>-2.8582219817686271E-3</v>
      </c>
    </row>
    <row r="65" spans="1:25" ht="15.75" thickBot="1" x14ac:dyDescent="0.3">
      <c r="A65" s="392" t="s">
        <v>8</v>
      </c>
      <c r="B65" s="396">
        <v>-547935</v>
      </c>
      <c r="C65" s="384">
        <f t="shared" si="12"/>
        <v>-0.26039864728716061</v>
      </c>
      <c r="D65" s="402">
        <v>-563544</v>
      </c>
      <c r="E65" s="407">
        <f t="shared" si="13"/>
        <v>-0.27600041727417118</v>
      </c>
      <c r="F65" s="384">
        <f t="shared" si="14"/>
        <v>2.8486955569547483E-2</v>
      </c>
      <c r="G65" s="396">
        <v>-1128655</v>
      </c>
      <c r="H65" s="434">
        <f t="shared" si="15"/>
        <v>-0.26838978494431887</v>
      </c>
      <c r="I65" s="402">
        <v>-1188495</v>
      </c>
      <c r="J65" s="384">
        <f t="shared" si="16"/>
        <v>-0.28576007209310939</v>
      </c>
      <c r="K65" s="384">
        <f t="shared" si="21"/>
        <v>5.3018858730081379E-2</v>
      </c>
      <c r="L65" s="396">
        <v>-547935</v>
      </c>
      <c r="M65" s="402">
        <v>-563544</v>
      </c>
      <c r="N65" s="396">
        <v>-580720</v>
      </c>
      <c r="O65" s="402">
        <v>-624951</v>
      </c>
      <c r="P65" s="396">
        <v>-596608</v>
      </c>
      <c r="Q65" s="384">
        <f t="shared" si="17"/>
        <v>-0.26946918083551491</v>
      </c>
      <c r="R65" s="402">
        <v>-656668</v>
      </c>
      <c r="S65" s="384">
        <f t="shared" si="18"/>
        <v>-0.29416088835810628</v>
      </c>
      <c r="T65" s="384">
        <f t="shared" si="22"/>
        <v>0.10066911606951298</v>
      </c>
      <c r="U65" s="396">
        <f t="shared" si="23"/>
        <v>-1725263</v>
      </c>
      <c r="V65" s="384">
        <f t="shared" si="19"/>
        <v>-0.26876206810872533</v>
      </c>
      <c r="W65" s="402">
        <f t="shared" si="24"/>
        <v>-1845163</v>
      </c>
      <c r="X65" s="407">
        <f t="shared" si="20"/>
        <v>-0.28869424566633117</v>
      </c>
      <c r="Y65" s="384">
        <f t="shared" si="25"/>
        <v>6.9496650655581207E-2</v>
      </c>
    </row>
    <row r="66" spans="1:25" ht="15.75" thickBot="1" x14ac:dyDescent="0.3">
      <c r="A66" s="392" t="s">
        <v>84</v>
      </c>
      <c r="B66" s="396">
        <v>-34692</v>
      </c>
      <c r="C66" s="384">
        <f t="shared" si="12"/>
        <v>-1.6486900584350657E-2</v>
      </c>
      <c r="D66" s="402">
        <v>-32942</v>
      </c>
      <c r="E66" s="407">
        <f t="shared" si="13"/>
        <v>-1.6133621768390307E-2</v>
      </c>
      <c r="F66" s="384">
        <f t="shared" si="14"/>
        <v>-5.0443906376109765E-2</v>
      </c>
      <c r="G66" s="396">
        <v>-69304</v>
      </c>
      <c r="H66" s="434">
        <f t="shared" si="15"/>
        <v>-1.6480222615219951E-2</v>
      </c>
      <c r="I66" s="402">
        <v>-66382</v>
      </c>
      <c r="J66" s="384">
        <f t="shared" si="16"/>
        <v>-1.5960795043887258E-2</v>
      </c>
      <c r="K66" s="384">
        <f t="shared" si="21"/>
        <v>-4.2162068567470852E-2</v>
      </c>
      <c r="L66" s="396">
        <v>-34692</v>
      </c>
      <c r="M66" s="402">
        <v>-32942</v>
      </c>
      <c r="N66" s="396">
        <v>-34612</v>
      </c>
      <c r="O66" s="402">
        <v>-33440</v>
      </c>
      <c r="P66" s="396">
        <v>-37705</v>
      </c>
      <c r="Q66" s="384">
        <f t="shared" si="17"/>
        <v>-1.703016966484373E-2</v>
      </c>
      <c r="R66" s="402">
        <v>-35038</v>
      </c>
      <c r="S66" s="384">
        <f t="shared" si="18"/>
        <v>-1.569561666822706E-2</v>
      </c>
      <c r="T66" s="384">
        <f t="shared" si="22"/>
        <v>-7.0733324492772837E-2</v>
      </c>
      <c r="U66" s="396">
        <f t="shared" si="23"/>
        <v>-107009</v>
      </c>
      <c r="V66" s="384">
        <f t="shared" si="19"/>
        <v>-1.6669899108858528E-2</v>
      </c>
      <c r="W66" s="402">
        <f t="shared" si="24"/>
        <v>-101420</v>
      </c>
      <c r="X66" s="407">
        <f t="shared" si="20"/>
        <v>-1.5868175546268435E-2</v>
      </c>
      <c r="Y66" s="384">
        <f t="shared" si="25"/>
        <v>-5.2229251745180311E-2</v>
      </c>
    </row>
    <row r="67" spans="1:25" ht="15.75" thickBot="1" x14ac:dyDescent="0.3">
      <c r="A67" s="392" t="s">
        <v>197</v>
      </c>
      <c r="B67" s="396">
        <v>3848</v>
      </c>
      <c r="C67" s="384">
        <f t="shared" si="12"/>
        <v>1.8287096001551172E-3</v>
      </c>
      <c r="D67" s="402">
        <v>2176</v>
      </c>
      <c r="E67" s="407">
        <f t="shared" si="13"/>
        <v>1.0657143150997908E-3</v>
      </c>
      <c r="F67" s="384">
        <f t="shared" si="14"/>
        <v>-0.43451143451143454</v>
      </c>
      <c r="G67" s="396">
        <v>15786</v>
      </c>
      <c r="H67" s="434">
        <f t="shared" si="15"/>
        <v>3.7538496220111701E-3</v>
      </c>
      <c r="I67" s="402">
        <v>223</v>
      </c>
      <c r="J67" s="384">
        <f t="shared" si="16"/>
        <v>5.3617807459655608E-5</v>
      </c>
      <c r="K67" s="384">
        <f t="shared" si="21"/>
        <v>-0.98587355884961358</v>
      </c>
      <c r="L67" s="396">
        <v>3848</v>
      </c>
      <c r="M67" s="402">
        <v>2176</v>
      </c>
      <c r="N67" s="396">
        <v>11938</v>
      </c>
      <c r="O67" s="402">
        <v>-1953</v>
      </c>
      <c r="P67" s="396">
        <v>1152</v>
      </c>
      <c r="Q67" s="384">
        <f t="shared" si="17"/>
        <v>5.2032238307651445E-4</v>
      </c>
      <c r="R67" s="402">
        <v>1107</v>
      </c>
      <c r="S67" s="384">
        <f t="shared" si="18"/>
        <v>4.9589153638128188E-4</v>
      </c>
      <c r="T67" s="384">
        <f t="shared" si="22"/>
        <v>-3.90625E-2</v>
      </c>
      <c r="U67" s="396">
        <f t="shared" si="23"/>
        <v>16938</v>
      </c>
      <c r="V67" s="384">
        <f t="shared" si="19"/>
        <v>2.6386075106378504E-3</v>
      </c>
      <c r="W67" s="402">
        <f t="shared" si="24"/>
        <v>1330</v>
      </c>
      <c r="X67" s="407">
        <f t="shared" si="20"/>
        <v>2.0809183076845811E-4</v>
      </c>
      <c r="Y67" s="384">
        <f t="shared" si="25"/>
        <v>-0.92147833274294488</v>
      </c>
    </row>
    <row r="68" spans="1:25" ht="15.75" thickBot="1" x14ac:dyDescent="0.3">
      <c r="A68" s="392" t="s">
        <v>144</v>
      </c>
      <c r="B68" s="396">
        <v>1169</v>
      </c>
      <c r="C68" s="384">
        <f t="shared" si="12"/>
        <v>5.5555133123215493E-4</v>
      </c>
      <c r="D68" s="402">
        <v>7084</v>
      </c>
      <c r="E68" s="407">
        <f t="shared" si="13"/>
        <v>3.4694486250767083E-3</v>
      </c>
      <c r="F68" s="384" t="s">
        <v>131</v>
      </c>
      <c r="G68" s="396">
        <v>8556</v>
      </c>
      <c r="H68" s="434">
        <f t="shared" si="15"/>
        <v>2.0345836415765596E-3</v>
      </c>
      <c r="I68" s="402">
        <v>21592</v>
      </c>
      <c r="J68" s="384">
        <f t="shared" si="16"/>
        <v>5.1915502182461161E-3</v>
      </c>
      <c r="K68" s="384">
        <f t="shared" si="21"/>
        <v>1.5236091631603552</v>
      </c>
      <c r="L68" s="396">
        <v>1169</v>
      </c>
      <c r="M68" s="402">
        <v>7084</v>
      </c>
      <c r="N68" s="396">
        <v>7387</v>
      </c>
      <c r="O68" s="402">
        <v>14508</v>
      </c>
      <c r="P68" s="396">
        <v>8885</v>
      </c>
      <c r="Q68" s="384">
        <f t="shared" si="17"/>
        <v>4.0130767132246798E-3</v>
      </c>
      <c r="R68" s="402">
        <v>-43</v>
      </c>
      <c r="S68" s="384">
        <f t="shared" si="18"/>
        <v>-1.9262272867565602E-5</v>
      </c>
      <c r="T68" s="384">
        <f t="shared" si="22"/>
        <v>-1.0048396173325831</v>
      </c>
      <c r="U68" s="396">
        <f t="shared" si="23"/>
        <v>17441</v>
      </c>
      <c r="V68" s="384">
        <f t="shared" si="19"/>
        <v>2.7169650249754839E-3</v>
      </c>
      <c r="W68" s="402">
        <f t="shared" si="24"/>
        <v>21549</v>
      </c>
      <c r="X68" s="407">
        <f t="shared" si="20"/>
        <v>3.3715570385184235E-3</v>
      </c>
      <c r="Y68" s="384">
        <f t="shared" si="25"/>
        <v>0.23553695315635573</v>
      </c>
    </row>
    <row r="69" spans="1:25" ht="15.75" thickBot="1" x14ac:dyDescent="0.3">
      <c r="A69" s="391" t="s">
        <v>198</v>
      </c>
      <c r="B69" s="395">
        <f>SUM(B63:B68)</f>
        <v>233287</v>
      </c>
      <c r="C69" s="387">
        <f t="shared" si="12"/>
        <v>0.11086646998216913</v>
      </c>
      <c r="D69" s="395">
        <f>SUM(D63:D68)</f>
        <v>203785</v>
      </c>
      <c r="E69" s="387">
        <f t="shared" si="13"/>
        <v>9.9805418980979249E-2</v>
      </c>
      <c r="F69" s="387">
        <f t="shared" si="14"/>
        <v>-0.12646225464770861</v>
      </c>
      <c r="G69" s="395">
        <v>438384</v>
      </c>
      <c r="H69" s="433">
        <f t="shared" si="15"/>
        <v>0.10424601626097459</v>
      </c>
      <c r="I69" s="395">
        <v>397383</v>
      </c>
      <c r="J69" s="387">
        <f t="shared" si="16"/>
        <v>9.5546211577310872E-2</v>
      </c>
      <c r="K69" s="387">
        <f t="shared" si="21"/>
        <v>-9.3527592247892255E-2</v>
      </c>
      <c r="L69" s="395">
        <v>233287</v>
      </c>
      <c r="M69" s="395">
        <f>SUM(M63:M68)</f>
        <v>203785</v>
      </c>
      <c r="N69" s="395">
        <f>SUM(N63:N68)</f>
        <v>205097</v>
      </c>
      <c r="O69" s="395">
        <f>SUM(O63:O68)</f>
        <v>193598</v>
      </c>
      <c r="P69" s="395">
        <v>209976</v>
      </c>
      <c r="Q69" s="387">
        <f t="shared" si="17"/>
        <v>9.4839594365342186E-2</v>
      </c>
      <c r="R69" s="395">
        <v>208119</v>
      </c>
      <c r="S69" s="387">
        <f t="shared" si="18"/>
        <v>9.3228952719183383E-2</v>
      </c>
      <c r="T69" s="387">
        <f t="shared" si="22"/>
        <v>-8.8438678706137842E-3</v>
      </c>
      <c r="U69" s="395">
        <f t="shared" si="23"/>
        <v>648360</v>
      </c>
      <c r="V69" s="387">
        <f t="shared" si="19"/>
        <v>0.1010017455187836</v>
      </c>
      <c r="W69" s="395">
        <f t="shared" si="24"/>
        <v>605502</v>
      </c>
      <c r="X69" s="387">
        <f t="shared" si="20"/>
        <v>9.4736856927791671E-2</v>
      </c>
      <c r="Y69" s="387">
        <f t="shared" si="25"/>
        <v>-6.6102165463631318E-2</v>
      </c>
    </row>
    <row r="70" spans="1:25" ht="15.75" thickBot="1" x14ac:dyDescent="0.3">
      <c r="A70" s="392" t="s">
        <v>51</v>
      </c>
      <c r="B70" s="396">
        <v>2165</v>
      </c>
      <c r="C70" s="384">
        <f t="shared" si="12"/>
        <v>1.0288867682785418E-3</v>
      </c>
      <c r="D70" s="402">
        <v>2452</v>
      </c>
      <c r="E70" s="407">
        <f t="shared" si="13"/>
        <v>1.2008876381547275E-3</v>
      </c>
      <c r="F70" s="384">
        <f t="shared" si="14"/>
        <v>0.13256351039260969</v>
      </c>
      <c r="G70" s="396">
        <v>4647</v>
      </c>
      <c r="H70" s="434">
        <f t="shared" si="15"/>
        <v>1.1050385907440713E-3</v>
      </c>
      <c r="I70" s="402">
        <v>6844</v>
      </c>
      <c r="J70" s="384">
        <f t="shared" si="16"/>
        <v>1.6455617679546322E-3</v>
      </c>
      <c r="K70" s="384">
        <f t="shared" si="21"/>
        <v>0.47277813643210675</v>
      </c>
      <c r="L70" s="396">
        <v>2165</v>
      </c>
      <c r="M70" s="402">
        <v>2452</v>
      </c>
      <c r="N70" s="396">
        <v>2482</v>
      </c>
      <c r="O70" s="402">
        <v>4392</v>
      </c>
      <c r="P70" s="396">
        <v>3061</v>
      </c>
      <c r="Q70" s="384">
        <f t="shared" si="17"/>
        <v>1.3825579987823012E-3</v>
      </c>
      <c r="R70" s="402">
        <v>3436</v>
      </c>
      <c r="S70" s="384">
        <f t="shared" si="18"/>
        <v>1.5391899900687304E-3</v>
      </c>
      <c r="T70" s="384">
        <f t="shared" si="22"/>
        <v>0.12250898399215943</v>
      </c>
      <c r="U70" s="396">
        <f t="shared" si="23"/>
        <v>7708</v>
      </c>
      <c r="V70" s="384">
        <f t="shared" si="19"/>
        <v>1.2007549115596028E-3</v>
      </c>
      <c r="W70" s="402">
        <f t="shared" si="24"/>
        <v>10280</v>
      </c>
      <c r="X70" s="407">
        <f t="shared" si="20"/>
        <v>1.6084090378193604E-3</v>
      </c>
      <c r="Y70" s="384">
        <f t="shared" si="25"/>
        <v>0.3336792942397509</v>
      </c>
    </row>
    <row r="71" spans="1:25" ht="15.75" thickBot="1" x14ac:dyDescent="0.3">
      <c r="A71" s="392" t="s">
        <v>11</v>
      </c>
      <c r="B71" s="396">
        <v>-70846</v>
      </c>
      <c r="C71" s="384">
        <f t="shared" si="12"/>
        <v>-3.3668596760028438E-2</v>
      </c>
      <c r="D71" s="402">
        <v>-82389</v>
      </c>
      <c r="E71" s="407">
        <f t="shared" si="13"/>
        <v>-4.0350706207149201E-2</v>
      </c>
      <c r="F71" s="384">
        <f t="shared" si="14"/>
        <v>0.16293086412782656</v>
      </c>
      <c r="G71" s="396">
        <v>-152953</v>
      </c>
      <c r="H71" s="434">
        <f t="shared" si="15"/>
        <v>-3.6371630636986854E-2</v>
      </c>
      <c r="I71" s="402">
        <v>-167973</v>
      </c>
      <c r="J71" s="384">
        <f t="shared" si="16"/>
        <v>-4.0387192701438257E-2</v>
      </c>
      <c r="K71" s="384">
        <f t="shared" si="21"/>
        <v>9.8200100684524005E-2</v>
      </c>
      <c r="L71" s="396">
        <v>-70846</v>
      </c>
      <c r="M71" s="402">
        <v>-82389</v>
      </c>
      <c r="N71" s="396">
        <v>-82107</v>
      </c>
      <c r="O71" s="402">
        <v>-85584</v>
      </c>
      <c r="P71" s="396">
        <v>-85697</v>
      </c>
      <c r="Q71" s="384">
        <f t="shared" si="17"/>
        <v>-3.8706655609816024E-2</v>
      </c>
      <c r="R71" s="402">
        <v>-71811</v>
      </c>
      <c r="S71" s="384">
        <f t="shared" si="18"/>
        <v>-3.2168443648668686E-2</v>
      </c>
      <c r="T71" s="384">
        <f t="shared" si="22"/>
        <v>-0.1620360105954701</v>
      </c>
      <c r="U71" s="396">
        <f t="shared" si="23"/>
        <v>-238650</v>
      </c>
      <c r="V71" s="384">
        <f t="shared" si="19"/>
        <v>-3.7176979715062168E-2</v>
      </c>
      <c r="W71" s="402">
        <f t="shared" si="24"/>
        <v>-239784</v>
      </c>
      <c r="X71" s="407">
        <f t="shared" si="20"/>
        <v>-3.7516610187205986E-2</v>
      </c>
      <c r="Y71" s="384">
        <f t="shared" si="25"/>
        <v>4.7517284726587049E-3</v>
      </c>
    </row>
    <row r="72" spans="1:25" ht="15.75" thickBot="1" x14ac:dyDescent="0.3">
      <c r="A72" s="392" t="s">
        <v>199</v>
      </c>
      <c r="B72" s="396">
        <v>50453</v>
      </c>
      <c r="C72" s="384">
        <f t="shared" si="12"/>
        <v>2.3977101210141925E-2</v>
      </c>
      <c r="D72" s="402">
        <v>54235</v>
      </c>
      <c r="E72" s="407">
        <f t="shared" si="13"/>
        <v>2.6562047738711927E-2</v>
      </c>
      <c r="F72" s="384">
        <f t="shared" si="14"/>
        <v>7.4960854656809309E-2</v>
      </c>
      <c r="G72" s="396">
        <v>50494</v>
      </c>
      <c r="H72" s="434">
        <f t="shared" si="15"/>
        <v>1.2007277512595466E-2</v>
      </c>
      <c r="I72" s="402">
        <v>54321</v>
      </c>
      <c r="J72" s="384">
        <f t="shared" si="16"/>
        <v>1.3060865107694853E-2</v>
      </c>
      <c r="K72" s="384">
        <f t="shared" si="21"/>
        <v>7.5791183110864663E-2</v>
      </c>
      <c r="L72" s="396">
        <v>50453</v>
      </c>
      <c r="M72" s="402">
        <v>54235</v>
      </c>
      <c r="N72" s="396">
        <v>41</v>
      </c>
      <c r="O72" s="402">
        <v>86</v>
      </c>
      <c r="P72" s="396">
        <v>0</v>
      </c>
      <c r="Q72" s="384">
        <f t="shared" si="17"/>
        <v>0</v>
      </c>
      <c r="R72" s="402">
        <v>0</v>
      </c>
      <c r="S72" s="384">
        <f t="shared" si="18"/>
        <v>0</v>
      </c>
      <c r="T72" s="384" t="s">
        <v>131</v>
      </c>
      <c r="U72" s="396">
        <f t="shared" si="23"/>
        <v>50494</v>
      </c>
      <c r="V72" s="384">
        <f t="shared" si="19"/>
        <v>7.8659728210029294E-3</v>
      </c>
      <c r="W72" s="402">
        <f t="shared" si="24"/>
        <v>54321</v>
      </c>
      <c r="X72" s="407">
        <f t="shared" si="20"/>
        <v>8.4990649166717391E-3</v>
      </c>
      <c r="Y72" s="384">
        <f t="shared" si="25"/>
        <v>7.5791183110864663E-2</v>
      </c>
    </row>
    <row r="73" spans="1:25" ht="15.75" thickBot="1" x14ac:dyDescent="0.3">
      <c r="A73" s="392" t="s">
        <v>200</v>
      </c>
      <c r="B73" s="396">
        <v>-9738</v>
      </c>
      <c r="C73" s="384">
        <f t="shared" si="12"/>
        <v>-4.6278518935318428E-3</v>
      </c>
      <c r="D73" s="402">
        <v>-3118</v>
      </c>
      <c r="E73" s="407">
        <f t="shared" si="13"/>
        <v>-1.5270667437872921E-3</v>
      </c>
      <c r="F73" s="384">
        <f t="shared" si="14"/>
        <v>-0.67981104949681659</v>
      </c>
      <c r="G73" s="396">
        <v>-12353</v>
      </c>
      <c r="H73" s="434">
        <f t="shared" si="15"/>
        <v>-2.937495526460407E-3</v>
      </c>
      <c r="I73" s="402">
        <v>-4809</v>
      </c>
      <c r="J73" s="384">
        <f t="shared" si="16"/>
        <v>-1.1562692200604654E-3</v>
      </c>
      <c r="K73" s="384">
        <f t="shared" si="21"/>
        <v>-0.61070185380069619</v>
      </c>
      <c r="L73" s="396">
        <v>-9738</v>
      </c>
      <c r="M73" s="402">
        <v>-3118</v>
      </c>
      <c r="N73" s="396">
        <v>-2615</v>
      </c>
      <c r="O73" s="402">
        <v>-1691</v>
      </c>
      <c r="P73" s="396">
        <v>3685</v>
      </c>
      <c r="Q73" s="384">
        <f t="shared" si="17"/>
        <v>1.664399289615413E-3</v>
      </c>
      <c r="R73" s="402">
        <v>-10725</v>
      </c>
      <c r="S73" s="384">
        <f t="shared" si="18"/>
        <v>-4.8043692210381645E-3</v>
      </c>
      <c r="T73" s="384" t="s">
        <v>131</v>
      </c>
      <c r="U73" s="396">
        <f t="shared" si="23"/>
        <v>-8668</v>
      </c>
      <c r="V73" s="384">
        <f t="shared" si="19"/>
        <v>-1.3503040442914682E-3</v>
      </c>
      <c r="W73" s="402">
        <f t="shared" si="24"/>
        <v>-15534</v>
      </c>
      <c r="X73" s="407">
        <f t="shared" si="20"/>
        <v>-2.430449999366337E-3</v>
      </c>
      <c r="Y73" s="384">
        <f t="shared" si="25"/>
        <v>0.79210890632210429</v>
      </c>
    </row>
    <row r="74" spans="1:25" ht="16.5" customHeight="1" thickBot="1" x14ac:dyDescent="0.3">
      <c r="A74" s="392" t="s">
        <v>201</v>
      </c>
      <c r="B74" s="396">
        <v>-11041</v>
      </c>
      <c r="C74" s="384">
        <f t="shared" si="12"/>
        <v>-5.2470849000292741E-3</v>
      </c>
      <c r="D74" s="402">
        <v>0</v>
      </c>
      <c r="E74" s="407">
        <f t="shared" si="13"/>
        <v>0</v>
      </c>
      <c r="F74" s="384">
        <f t="shared" si="14"/>
        <v>-1</v>
      </c>
      <c r="G74" s="396">
        <v>-18527</v>
      </c>
      <c r="H74" s="434">
        <f t="shared" si="15"/>
        <v>-4.4056487993792571E-3</v>
      </c>
      <c r="I74" s="402">
        <v>0</v>
      </c>
      <c r="J74" s="384">
        <f t="shared" si="16"/>
        <v>0</v>
      </c>
      <c r="K74" s="384">
        <f t="shared" si="21"/>
        <v>-1</v>
      </c>
      <c r="L74" s="396">
        <v>-11041</v>
      </c>
      <c r="M74" s="402">
        <v>0</v>
      </c>
      <c r="N74" s="396">
        <v>-7486</v>
      </c>
      <c r="O74" s="402">
        <v>0</v>
      </c>
      <c r="P74" s="396">
        <v>-14419</v>
      </c>
      <c r="Q74" s="384">
        <f t="shared" si="17"/>
        <v>-6.5126114944273113E-3</v>
      </c>
      <c r="R74" s="402">
        <v>0</v>
      </c>
      <c r="S74" s="384">
        <f t="shared" si="18"/>
        <v>0</v>
      </c>
      <c r="T74" s="384">
        <f t="shared" si="22"/>
        <v>-1</v>
      </c>
      <c r="U74" s="396">
        <f t="shared" si="23"/>
        <v>-32946</v>
      </c>
      <c r="V74" s="384">
        <f t="shared" si="19"/>
        <v>-5.1323392989417061E-3</v>
      </c>
      <c r="W74" s="402">
        <f t="shared" si="24"/>
        <v>0</v>
      </c>
      <c r="X74" s="407">
        <f t="shared" si="20"/>
        <v>0</v>
      </c>
      <c r="Y74" s="384">
        <f t="shared" si="25"/>
        <v>-1</v>
      </c>
    </row>
    <row r="75" spans="1:25" ht="15.75" thickBot="1" x14ac:dyDescent="0.3">
      <c r="A75" s="392" t="s">
        <v>202</v>
      </c>
      <c r="B75" s="398">
        <v>185</v>
      </c>
      <c r="C75" s="384">
        <f t="shared" si="12"/>
        <v>8.7918730776688329E-5</v>
      </c>
      <c r="D75" s="404">
        <v>-1600</v>
      </c>
      <c r="E75" s="407">
        <f t="shared" si="13"/>
        <v>-7.8361346698514029E-4</v>
      </c>
      <c r="F75" s="384" t="s">
        <v>131</v>
      </c>
      <c r="G75" s="398">
        <v>804</v>
      </c>
      <c r="H75" s="434">
        <f t="shared" si="15"/>
        <v>1.9118808413131768E-4</v>
      </c>
      <c r="I75" s="439">
        <v>1216</v>
      </c>
      <c r="J75" s="384">
        <f t="shared" si="16"/>
        <v>2.9237333574413102E-4</v>
      </c>
      <c r="K75" s="384">
        <f t="shared" si="21"/>
        <v>0.51243781094527363</v>
      </c>
      <c r="L75" s="398">
        <v>185</v>
      </c>
      <c r="M75" s="439">
        <v>-1600</v>
      </c>
      <c r="N75" s="398">
        <v>619</v>
      </c>
      <c r="O75" s="439">
        <v>2816</v>
      </c>
      <c r="P75" s="438">
        <v>1350</v>
      </c>
      <c r="Q75" s="384">
        <f t="shared" si="17"/>
        <v>6.0975279266779043E-4</v>
      </c>
      <c r="R75" s="439">
        <v>-1075</v>
      </c>
      <c r="S75" s="384">
        <f t="shared" si="18"/>
        <v>-4.8155682168914008E-4</v>
      </c>
      <c r="T75" s="384">
        <f t="shared" si="22"/>
        <v>-1.7962962962962963</v>
      </c>
      <c r="U75" s="438">
        <f t="shared" si="23"/>
        <v>2154</v>
      </c>
      <c r="V75" s="384">
        <f t="shared" si="19"/>
        <v>3.3555086656712302E-4</v>
      </c>
      <c r="W75" s="404">
        <f t="shared" si="24"/>
        <v>141</v>
      </c>
      <c r="X75" s="407">
        <f t="shared" si="20"/>
        <v>2.2060863261919243E-5</v>
      </c>
      <c r="Y75" s="384">
        <f t="shared" si="25"/>
        <v>-0.93454038997214484</v>
      </c>
    </row>
    <row r="76" spans="1:25" ht="15.75" thickBot="1" x14ac:dyDescent="0.3">
      <c r="A76" s="392" t="s">
        <v>252</v>
      </c>
      <c r="B76" s="398">
        <v>0</v>
      </c>
      <c r="C76" s="384">
        <f t="shared" si="12"/>
        <v>0</v>
      </c>
      <c r="D76" s="404">
        <v>0</v>
      </c>
      <c r="E76" s="407">
        <f t="shared" si="13"/>
        <v>0</v>
      </c>
      <c r="F76" s="384" t="s">
        <v>131</v>
      </c>
      <c r="G76" s="398">
        <v>0</v>
      </c>
      <c r="H76" s="434">
        <f t="shared" si="15"/>
        <v>0</v>
      </c>
      <c r="I76" s="404">
        <v>3313</v>
      </c>
      <c r="J76" s="384">
        <f t="shared" si="16"/>
        <v>7.9657307674367269E-4</v>
      </c>
      <c r="K76" s="384" t="s">
        <v>131</v>
      </c>
      <c r="L76" s="398">
        <v>0</v>
      </c>
      <c r="M76" s="404">
        <v>0</v>
      </c>
      <c r="N76" s="398">
        <v>0</v>
      </c>
      <c r="O76" s="404">
        <v>3313</v>
      </c>
      <c r="P76" s="398">
        <v>0</v>
      </c>
      <c r="Q76" s="384" t="s">
        <v>131</v>
      </c>
      <c r="R76" s="404">
        <v>0</v>
      </c>
      <c r="S76" s="384">
        <f t="shared" si="18"/>
        <v>0</v>
      </c>
      <c r="T76" s="384" t="s">
        <v>131</v>
      </c>
      <c r="U76" s="398">
        <f t="shared" si="23"/>
        <v>0</v>
      </c>
      <c r="V76" s="384">
        <f t="shared" si="19"/>
        <v>0</v>
      </c>
      <c r="W76" s="404">
        <f t="shared" si="24"/>
        <v>3313</v>
      </c>
      <c r="X76" s="407">
        <f t="shared" si="20"/>
        <v>5.1835205664353505E-4</v>
      </c>
      <c r="Y76" s="384" t="s">
        <v>131</v>
      </c>
    </row>
    <row r="77" spans="1:25" ht="15.75" thickBot="1" x14ac:dyDescent="0.3">
      <c r="A77" s="393" t="s">
        <v>204</v>
      </c>
      <c r="B77" s="397">
        <f>SUM(B69:B76)</f>
        <v>194465</v>
      </c>
      <c r="C77" s="386">
        <f t="shared" si="12"/>
        <v>9.2416843137776733E-2</v>
      </c>
      <c r="D77" s="403">
        <f>SUM(D69:D76)</f>
        <v>173365</v>
      </c>
      <c r="E77" s="408">
        <f t="shared" si="13"/>
        <v>8.4906967939924277E-2</v>
      </c>
      <c r="F77" s="386">
        <f t="shared" si="14"/>
        <v>-0.10850281541665595</v>
      </c>
      <c r="G77" s="397">
        <v>310496</v>
      </c>
      <c r="H77" s="435">
        <f t="shared" si="15"/>
        <v>7.3834745485618927E-2</v>
      </c>
      <c r="I77" s="403">
        <v>290295</v>
      </c>
      <c r="J77" s="386">
        <f t="shared" si="16"/>
        <v>6.9798122943949437E-2</v>
      </c>
      <c r="K77" s="386">
        <f t="shared" si="21"/>
        <v>-6.5060419457899615E-2</v>
      </c>
      <c r="L77" s="397">
        <v>194465</v>
      </c>
      <c r="M77" s="403">
        <f>SUM(M69:M76)</f>
        <v>173365</v>
      </c>
      <c r="N77" s="397">
        <f>SUM(N69:N76)</f>
        <v>116031</v>
      </c>
      <c r="O77" s="403">
        <f>SUM(O69:O76)</f>
        <v>116930</v>
      </c>
      <c r="P77" s="397">
        <v>117956</v>
      </c>
      <c r="Q77" s="386">
        <f t="shared" ref="Q77:Q82" si="26">+P77/$P$61</f>
        <v>5.3277037342164359E-2</v>
      </c>
      <c r="R77" s="403">
        <v>127944</v>
      </c>
      <c r="S77" s="386">
        <f t="shared" si="18"/>
        <v>5.7313773017856125E-2</v>
      </c>
      <c r="T77" s="386">
        <f t="shared" si="22"/>
        <v>8.4675641764725834E-2</v>
      </c>
      <c r="U77" s="397">
        <f t="shared" si="23"/>
        <v>428452</v>
      </c>
      <c r="V77" s="386">
        <f t="shared" si="19"/>
        <v>6.6744401059617917E-2</v>
      </c>
      <c r="W77" s="403">
        <f t="shared" si="24"/>
        <v>418239</v>
      </c>
      <c r="X77" s="408">
        <f t="shared" si="20"/>
        <v>6.5437683615615902E-2</v>
      </c>
      <c r="Y77" s="386">
        <f t="shared" si="25"/>
        <v>-2.3836975903951903E-2</v>
      </c>
    </row>
    <row r="78" spans="1:25" ht="15.75" thickBot="1" x14ac:dyDescent="0.3">
      <c r="A78" s="392" t="s">
        <v>205</v>
      </c>
      <c r="B78" s="396">
        <v>-56024</v>
      </c>
      <c r="C78" s="384">
        <f t="shared" si="12"/>
        <v>-2.6624643097476686E-2</v>
      </c>
      <c r="D78" s="402">
        <v>-40723</v>
      </c>
      <c r="E78" s="407">
        <f t="shared" si="13"/>
        <v>-1.9944432010022415E-2</v>
      </c>
      <c r="F78" s="384">
        <f t="shared" si="14"/>
        <v>-0.27311509353134372</v>
      </c>
      <c r="G78" s="396">
        <v>-98207</v>
      </c>
      <c r="H78" s="434">
        <f t="shared" si="15"/>
        <v>-2.3353244002841188E-2</v>
      </c>
      <c r="I78" s="402">
        <v>-70437</v>
      </c>
      <c r="J78" s="384">
        <f t="shared" si="16"/>
        <v>-1.6935773560698485E-2</v>
      </c>
      <c r="K78" s="384">
        <f t="shared" si="21"/>
        <v>-0.28277006730681115</v>
      </c>
      <c r="L78" s="396">
        <v>-56024</v>
      </c>
      <c r="M78" s="402">
        <v>-40723</v>
      </c>
      <c r="N78" s="396">
        <v>-42183</v>
      </c>
      <c r="O78" s="402">
        <v>-29714</v>
      </c>
      <c r="P78" s="396">
        <v>-37516</v>
      </c>
      <c r="Q78" s="384">
        <f t="shared" si="26"/>
        <v>-1.694480427387024E-2</v>
      </c>
      <c r="R78" s="402">
        <v>-49440</v>
      </c>
      <c r="S78" s="384">
        <f t="shared" si="18"/>
        <v>-2.214713419935915E-2</v>
      </c>
      <c r="T78" s="384">
        <f t="shared" si="22"/>
        <v>0.31783772257170273</v>
      </c>
      <c r="U78" s="396">
        <f t="shared" si="23"/>
        <v>-135723</v>
      </c>
      <c r="V78" s="384">
        <f t="shared" si="19"/>
        <v>-2.1142975981007259E-2</v>
      </c>
      <c r="W78" s="402">
        <f t="shared" si="24"/>
        <v>-119877</v>
      </c>
      <c r="X78" s="407">
        <f t="shared" si="20"/>
        <v>-1.8755958193255977E-2</v>
      </c>
      <c r="Y78" s="384">
        <f t="shared" si="25"/>
        <v>-0.11675250326031697</v>
      </c>
    </row>
    <row r="79" spans="1:25" ht="15.75" thickBot="1" x14ac:dyDescent="0.3">
      <c r="A79" s="394" t="s">
        <v>206</v>
      </c>
      <c r="B79" s="399">
        <v>14256</v>
      </c>
      <c r="C79" s="385">
        <f t="shared" si="12"/>
        <v>6.7749698700133448E-3</v>
      </c>
      <c r="D79" s="405">
        <v>8078</v>
      </c>
      <c r="E79" s="409">
        <f t="shared" si="13"/>
        <v>3.9562684914412269E-3</v>
      </c>
      <c r="F79" s="385">
        <f t="shared" si="14"/>
        <v>-0.43336139169472504</v>
      </c>
      <c r="G79" s="399">
        <v>20959</v>
      </c>
      <c r="H79" s="436">
        <f t="shared" si="15"/>
        <v>4.9839689742640384E-3</v>
      </c>
      <c r="I79" s="405">
        <v>18677</v>
      </c>
      <c r="J79" s="385">
        <f t="shared" si="16"/>
        <v>4.4906717036950119E-3</v>
      </c>
      <c r="K79" s="385">
        <f t="shared" si="21"/>
        <v>-0.10887924042177585</v>
      </c>
      <c r="L79" s="399">
        <v>14256</v>
      </c>
      <c r="M79" s="405">
        <v>8078</v>
      </c>
      <c r="N79" s="399">
        <v>6703</v>
      </c>
      <c r="O79" s="405">
        <v>10599</v>
      </c>
      <c r="P79" s="399">
        <v>2620</v>
      </c>
      <c r="Q79" s="385">
        <f t="shared" si="26"/>
        <v>1.1833720865108228E-3</v>
      </c>
      <c r="R79" s="405">
        <v>11262</v>
      </c>
      <c r="S79" s="385">
        <f t="shared" si="18"/>
        <v>5.0449236519656705E-3</v>
      </c>
      <c r="T79" s="385" t="s">
        <v>131</v>
      </c>
      <c r="U79" s="399">
        <f t="shared" si="23"/>
        <v>23579</v>
      </c>
      <c r="V79" s="385">
        <f t="shared" si="19"/>
        <v>3.6731447923798485E-3</v>
      </c>
      <c r="W79" s="405">
        <f t="shared" si="24"/>
        <v>29939</v>
      </c>
      <c r="X79" s="409">
        <f t="shared" si="20"/>
        <v>4.6842566326141854E-3</v>
      </c>
      <c r="Y79" s="385">
        <f t="shared" si="25"/>
        <v>0.26973154077781075</v>
      </c>
    </row>
    <row r="80" spans="1:25" ht="15.75" thickBot="1" x14ac:dyDescent="0.3">
      <c r="A80" s="393" t="s">
        <v>207</v>
      </c>
      <c r="B80" s="397">
        <f>SUM(B77:B79)</f>
        <v>152697</v>
      </c>
      <c r="C80" s="386">
        <f t="shared" si="12"/>
        <v>7.2567169910313395E-2</v>
      </c>
      <c r="D80" s="403">
        <f>SUM(D77:D79)</f>
        <v>140720</v>
      </c>
      <c r="E80" s="408">
        <f t="shared" si="13"/>
        <v>6.8918804421343086E-2</v>
      </c>
      <c r="F80" s="386">
        <f t="shared" si="14"/>
        <v>-7.8436380544476977E-2</v>
      </c>
      <c r="G80" s="397">
        <v>233248</v>
      </c>
      <c r="H80" s="435">
        <f t="shared" si="15"/>
        <v>5.5465470457041775E-2</v>
      </c>
      <c r="I80" s="403">
        <v>238535</v>
      </c>
      <c r="J80" s="386">
        <f t="shared" si="16"/>
        <v>5.7353021086945961E-2</v>
      </c>
      <c r="K80" s="386">
        <f t="shared" si="21"/>
        <v>2.2666861023460008E-2</v>
      </c>
      <c r="L80" s="397">
        <v>152697</v>
      </c>
      <c r="M80" s="403">
        <f>SUM(M77:M79)</f>
        <v>140720</v>
      </c>
      <c r="N80" s="397">
        <f>SUM(N77:N79)</f>
        <v>80551</v>
      </c>
      <c r="O80" s="403">
        <f>SUM(O77:O79)</f>
        <v>97815</v>
      </c>
      <c r="P80" s="397">
        <v>83060</v>
      </c>
      <c r="Q80" s="386">
        <f t="shared" si="26"/>
        <v>3.751560515480494E-2</v>
      </c>
      <c r="R80" s="403">
        <v>89766</v>
      </c>
      <c r="S80" s="386">
        <f t="shared" si="18"/>
        <v>4.0211562470462647E-2</v>
      </c>
      <c r="T80" s="386">
        <f t="shared" si="22"/>
        <v>8.0736816758969418E-2</v>
      </c>
      <c r="U80" s="397">
        <f t="shared" si="23"/>
        <v>316308</v>
      </c>
      <c r="V80" s="386">
        <f t="shared" si="19"/>
        <v>4.9274569870990506E-2</v>
      </c>
      <c r="W80" s="403">
        <f t="shared" si="24"/>
        <v>328301</v>
      </c>
      <c r="X80" s="408">
        <f t="shared" si="20"/>
        <v>5.1365982054974106E-2</v>
      </c>
      <c r="Y80" s="386">
        <f t="shared" si="25"/>
        <v>3.7915575957610935E-2</v>
      </c>
    </row>
    <row r="81" spans="1:25" ht="15.75" thickBot="1" x14ac:dyDescent="0.3">
      <c r="A81" s="392" t="s">
        <v>208</v>
      </c>
      <c r="B81" s="398">
        <v>-164</v>
      </c>
      <c r="C81" s="384">
        <f t="shared" si="12"/>
        <v>-7.7938766742577752E-5</v>
      </c>
      <c r="D81" s="404">
        <v>-892</v>
      </c>
      <c r="E81" s="407">
        <f t="shared" si="13"/>
        <v>-4.3686450784421571E-4</v>
      </c>
      <c r="F81" s="384" t="s">
        <v>131</v>
      </c>
      <c r="G81" s="398">
        <v>-247</v>
      </c>
      <c r="H81" s="434">
        <f t="shared" si="15"/>
        <v>-5.8735642761735654E-5</v>
      </c>
      <c r="I81" s="404">
        <v>-1034</v>
      </c>
      <c r="J81" s="384">
        <f t="shared" si="16"/>
        <v>-2.4861351082190091E-4</v>
      </c>
      <c r="K81" s="384">
        <f t="shared" si="21"/>
        <v>3.1862348178137654</v>
      </c>
      <c r="L81" s="398">
        <v>-164</v>
      </c>
      <c r="M81" s="404">
        <v>-892</v>
      </c>
      <c r="N81" s="398">
        <v>-83</v>
      </c>
      <c r="O81" s="404">
        <v>-142</v>
      </c>
      <c r="P81" s="398">
        <v>55</v>
      </c>
      <c r="Q81" s="384">
        <f t="shared" si="26"/>
        <v>2.4841780442021093E-5</v>
      </c>
      <c r="R81" s="404">
        <v>-141</v>
      </c>
      <c r="S81" s="384">
        <f t="shared" si="18"/>
        <v>-6.3162336612249999E-5</v>
      </c>
      <c r="T81" s="384" t="s">
        <v>131</v>
      </c>
      <c r="U81" s="398">
        <f t="shared" si="23"/>
        <v>-192</v>
      </c>
      <c r="V81" s="384">
        <f t="shared" si="19"/>
        <v>-2.9909826546373084E-5</v>
      </c>
      <c r="W81" s="404">
        <f t="shared" si="24"/>
        <v>-1175</v>
      </c>
      <c r="X81" s="407">
        <f t="shared" si="20"/>
        <v>-1.8384052718266035E-4</v>
      </c>
      <c r="Y81" s="384" t="s">
        <v>131</v>
      </c>
    </row>
    <row r="82" spans="1:25" ht="15.75" thickBot="1" x14ac:dyDescent="0.3">
      <c r="A82" s="391" t="s">
        <v>209</v>
      </c>
      <c r="B82" s="395">
        <f>SUM(B80:B81)</f>
        <v>152533</v>
      </c>
      <c r="C82" s="387">
        <f t="shared" si="12"/>
        <v>7.2489231143570809E-2</v>
      </c>
      <c r="D82" s="395">
        <f>SUM(D80:D81)</f>
        <v>139828</v>
      </c>
      <c r="E82" s="387">
        <f t="shared" si="13"/>
        <v>6.8481939913498865E-2</v>
      </c>
      <c r="F82" s="387">
        <f t="shared" si="14"/>
        <v>-8.3293451253171447E-2</v>
      </c>
      <c r="G82" s="395">
        <v>233001</v>
      </c>
      <c r="H82" s="433">
        <f t="shared" si="15"/>
        <v>5.5406734814280038E-2</v>
      </c>
      <c r="I82" s="395">
        <v>237501</v>
      </c>
      <c r="J82" s="387">
        <f t="shared" si="16"/>
        <v>5.7104407576124061E-2</v>
      </c>
      <c r="K82" s="387">
        <f t="shared" si="21"/>
        <v>1.9313221831665957E-2</v>
      </c>
      <c r="L82" s="395">
        <v>152533</v>
      </c>
      <c r="M82" s="395">
        <f>SUM(M80:M81)</f>
        <v>139828</v>
      </c>
      <c r="N82" s="395">
        <f>SUM(N80:N81)</f>
        <v>80468</v>
      </c>
      <c r="O82" s="395">
        <f>SUM(O80:O81)</f>
        <v>97673</v>
      </c>
      <c r="P82" s="395">
        <v>83115</v>
      </c>
      <c r="Q82" s="387">
        <f t="shared" si="26"/>
        <v>3.7540446935246961E-2</v>
      </c>
      <c r="R82" s="395">
        <v>89625</v>
      </c>
      <c r="S82" s="387">
        <f t="shared" si="18"/>
        <v>4.0148400133850397E-2</v>
      </c>
      <c r="T82" s="387">
        <f t="shared" si="22"/>
        <v>7.8325212055585638E-2</v>
      </c>
      <c r="U82" s="395">
        <f t="shared" si="23"/>
        <v>316116</v>
      </c>
      <c r="V82" s="387">
        <f t="shared" si="19"/>
        <v>4.9244660044444132E-2</v>
      </c>
      <c r="W82" s="395">
        <f t="shared" si="24"/>
        <v>327126</v>
      </c>
      <c r="X82" s="387">
        <f t="shared" si="20"/>
        <v>5.1182141527791443E-2</v>
      </c>
      <c r="Y82" s="387">
        <f t="shared" si="25"/>
        <v>3.4828986827620242E-2</v>
      </c>
    </row>
    <row r="83" spans="1:25" x14ac:dyDescent="0.25">
      <c r="A83" s="289"/>
      <c r="B83" s="291"/>
      <c r="C83" s="292"/>
      <c r="D83" s="294"/>
      <c r="E83" s="292"/>
      <c r="F83" s="292"/>
      <c r="G83" s="291"/>
      <c r="H83" s="427"/>
      <c r="I83" s="294"/>
      <c r="M83" s="294"/>
    </row>
    <row r="84" spans="1:25" x14ac:dyDescent="0.25">
      <c r="A84" s="295" t="s">
        <v>210</v>
      </c>
      <c r="B84" s="297"/>
      <c r="C84" s="298"/>
      <c r="D84" s="300"/>
      <c r="E84" s="298"/>
      <c r="F84" s="298"/>
      <c r="G84" s="297"/>
      <c r="H84" s="428"/>
      <c r="I84" s="300"/>
      <c r="M84" s="300"/>
    </row>
    <row r="85" spans="1:25" ht="15.75" thickBot="1" x14ac:dyDescent="0.3">
      <c r="A85" s="301" t="s">
        <v>211</v>
      </c>
      <c r="B85" s="274">
        <v>151672</v>
      </c>
      <c r="C85" s="384">
        <f>+B85/$B$61</f>
        <v>7.2080052618172283E-2</v>
      </c>
      <c r="D85" s="373">
        <v>139150</v>
      </c>
      <c r="E85" s="366">
        <f>+D85/$D$61</f>
        <v>6.8149883706863909E-2</v>
      </c>
      <c r="F85" s="384">
        <f>(D85-B85)/B85</f>
        <v>-8.2559734163194259E-2</v>
      </c>
      <c r="G85" s="274">
        <v>231084</v>
      </c>
      <c r="H85" s="429">
        <f>+G85/$G$61</f>
        <v>5.4950879643534095E-2</v>
      </c>
      <c r="I85" s="373">
        <v>235679</v>
      </c>
      <c r="J85" s="384">
        <f>+I85/$I$61</f>
        <v>5.6666328449704817E-2</v>
      </c>
      <c r="K85" s="384">
        <f t="shared" si="21"/>
        <v>1.9884544148448185E-2</v>
      </c>
      <c r="L85" s="274">
        <v>151672</v>
      </c>
      <c r="M85" s="373">
        <v>139150</v>
      </c>
      <c r="N85" s="274">
        <v>79412</v>
      </c>
      <c r="O85" s="373">
        <v>96529</v>
      </c>
      <c r="P85" s="274">
        <v>81993</v>
      </c>
      <c r="Q85" s="384">
        <f>+P85/$P$61</f>
        <v>3.7033674614229732E-2</v>
      </c>
      <c r="R85" s="373">
        <v>88579</v>
      </c>
      <c r="S85" s="384">
        <f>+R85/$R$61</f>
        <v>3.967983414735101E-2</v>
      </c>
      <c r="T85" s="384">
        <f t="shared" si="22"/>
        <v>8.0323930091593179E-2</v>
      </c>
      <c r="U85" s="274">
        <f t="shared" si="23"/>
        <v>313077</v>
      </c>
      <c r="V85" s="384">
        <f>+U85/$U$61</f>
        <v>4.8771243571139822E-2</v>
      </c>
      <c r="W85" s="373">
        <f t="shared" si="24"/>
        <v>324258</v>
      </c>
      <c r="X85" s="366">
        <f>+W85/$W$61</f>
        <v>5.0733414181442622E-2</v>
      </c>
      <c r="Y85" s="384">
        <f>(W85-U85)/U85</f>
        <v>3.5713259038511296E-2</v>
      </c>
    </row>
    <row r="86" spans="1:25" ht="15.75" thickBot="1" x14ac:dyDescent="0.3">
      <c r="A86" s="303" t="s">
        <v>188</v>
      </c>
      <c r="B86" s="304">
        <v>861</v>
      </c>
      <c r="C86" s="385">
        <f>+B86/$B$61</f>
        <v>4.0917852539853322E-4</v>
      </c>
      <c r="D86" s="374">
        <v>678</v>
      </c>
      <c r="E86" s="368">
        <f>+D86/$D$61</f>
        <v>3.3205620663495319E-4</v>
      </c>
      <c r="F86" s="385">
        <f>(D86-B86)/B86</f>
        <v>-0.21254355400696864</v>
      </c>
      <c r="G86" s="304">
        <v>1917</v>
      </c>
      <c r="H86" s="430">
        <f>+G86/$G$61</f>
        <v>4.558551707459403E-4</v>
      </c>
      <c r="I86" s="374">
        <v>1822</v>
      </c>
      <c r="J86" s="385">
        <f>+I86/$I$61</f>
        <v>4.3807912641924895E-4</v>
      </c>
      <c r="K86" s="385">
        <f t="shared" si="21"/>
        <v>-4.9556598852373498E-2</v>
      </c>
      <c r="L86" s="304">
        <v>861</v>
      </c>
      <c r="M86" s="374">
        <v>678</v>
      </c>
      <c r="N86" s="304">
        <v>1056</v>
      </c>
      <c r="O86" s="374">
        <v>1144</v>
      </c>
      <c r="P86" s="437">
        <v>1122</v>
      </c>
      <c r="Q86" s="385">
        <f>+P86/$P$61</f>
        <v>5.0677232101723022E-4</v>
      </c>
      <c r="R86" s="374">
        <v>1046</v>
      </c>
      <c r="S86" s="385">
        <f>+R86/$R$61</f>
        <v>4.6856598649938652E-4</v>
      </c>
      <c r="T86" s="385">
        <f t="shared" si="22"/>
        <v>-6.7736185383244205E-2</v>
      </c>
      <c r="U86" s="304">
        <f t="shared" si="23"/>
        <v>3039</v>
      </c>
      <c r="V86" s="385">
        <f>+U86/$U$61</f>
        <v>4.7341647330431143E-4</v>
      </c>
      <c r="W86" s="374">
        <f t="shared" si="24"/>
        <v>2868</v>
      </c>
      <c r="X86" s="368">
        <f>+W86/$W$61</f>
        <v>4.4872734634882544E-4</v>
      </c>
      <c r="Y86" s="385">
        <f>(W86-U86)/U86</f>
        <v>-5.6268509378084898E-2</v>
      </c>
    </row>
    <row r="87" spans="1:25" ht="15.75" thickBot="1" x14ac:dyDescent="0.3">
      <c r="A87" s="306" t="s">
        <v>212</v>
      </c>
      <c r="B87" s="278">
        <f>SUM(B85:B86)</f>
        <v>152533</v>
      </c>
      <c r="C87" s="386">
        <f>+B87/$B$61</f>
        <v>7.2489231143570809E-2</v>
      </c>
      <c r="D87" s="375">
        <f>SUM(D85:D86)</f>
        <v>139828</v>
      </c>
      <c r="E87" s="367">
        <f>+D87/$D$61</f>
        <v>6.8481939913498865E-2</v>
      </c>
      <c r="F87" s="386">
        <f>(D87-B87)/B87</f>
        <v>-8.3293451253171447E-2</v>
      </c>
      <c r="G87" s="278">
        <v>233001</v>
      </c>
      <c r="H87" s="431">
        <f>+G87/$G$61</f>
        <v>5.5406734814280038E-2</v>
      </c>
      <c r="I87" s="375">
        <v>237501</v>
      </c>
      <c r="J87" s="386">
        <f>+I87/$I$61</f>
        <v>5.7104407576124061E-2</v>
      </c>
      <c r="K87" s="386">
        <f t="shared" si="21"/>
        <v>1.9313221831665957E-2</v>
      </c>
      <c r="L87" s="278">
        <v>152533</v>
      </c>
      <c r="M87" s="375">
        <f>SUM(M85:M86)</f>
        <v>139828</v>
      </c>
      <c r="N87" s="278">
        <f>SUM(N85:N86)</f>
        <v>80468</v>
      </c>
      <c r="O87" s="375">
        <f>SUM(O85:O86)</f>
        <v>97673</v>
      </c>
      <c r="P87" s="278">
        <v>83115</v>
      </c>
      <c r="Q87" s="386">
        <f>+P87/$P$61</f>
        <v>3.7540446935246961E-2</v>
      </c>
      <c r="R87" s="375">
        <f>SUM(R85:R86)</f>
        <v>89625</v>
      </c>
      <c r="S87" s="386">
        <f>+R87/$R$61</f>
        <v>4.0148400133850397E-2</v>
      </c>
      <c r="T87" s="386">
        <f t="shared" si="22"/>
        <v>7.8325212055585638E-2</v>
      </c>
      <c r="U87" s="278">
        <f t="shared" si="23"/>
        <v>316116</v>
      </c>
      <c r="V87" s="386">
        <f>+U87/$U$61</f>
        <v>4.9244660044444132E-2</v>
      </c>
      <c r="W87" s="375">
        <f t="shared" si="24"/>
        <v>327126</v>
      </c>
      <c r="X87" s="367">
        <f>+W87/$W$61</f>
        <v>5.1182141527791443E-2</v>
      </c>
      <c r="Y87" s="386">
        <f>(W87-U87)/U87</f>
        <v>3.4828986827620242E-2</v>
      </c>
    </row>
    <row r="88" spans="1:25" ht="15.75" thickBot="1" x14ac:dyDescent="0.3">
      <c r="A88" s="369" t="s">
        <v>213</v>
      </c>
      <c r="B88" s="370">
        <v>280995</v>
      </c>
      <c r="C88" s="387">
        <f>+B88/$B$61</f>
        <v>0.13353904732213803</v>
      </c>
      <c r="D88" s="372">
        <v>264549</v>
      </c>
      <c r="E88" s="371">
        <f>+D88/$D$61</f>
        <v>0.12956509942340741</v>
      </c>
      <c r="F88" s="387">
        <f>(D88-B88)/B88</f>
        <v>-5.8527731810174559E-2</v>
      </c>
      <c r="G88" s="370">
        <v>534203</v>
      </c>
      <c r="H88" s="432">
        <f>+G88/$G$61</f>
        <v>0.12703140311841082</v>
      </c>
      <c r="I88" s="372">
        <v>527210</v>
      </c>
      <c r="J88" s="387">
        <f>+I88/$I$61</f>
        <v>0.12676163350136785</v>
      </c>
      <c r="K88" s="387">
        <f t="shared" si="21"/>
        <v>-1.3090529255732371E-2</v>
      </c>
      <c r="L88" s="370">
        <v>280995</v>
      </c>
      <c r="M88" s="372">
        <v>264549</v>
      </c>
      <c r="N88" s="370">
        <v>253208</v>
      </c>
      <c r="O88" s="372">
        <v>262661</v>
      </c>
      <c r="P88" s="370">
        <v>266125</v>
      </c>
      <c r="Q88" s="387">
        <f>+P88/$P$61</f>
        <v>0.12020034218423387</v>
      </c>
      <c r="R88" s="372">
        <v>273008</v>
      </c>
      <c r="S88" s="387">
        <f>+R88/$R$61</f>
        <v>0.12229661839600814</v>
      </c>
      <c r="T88" s="387">
        <f t="shared" si="22"/>
        <v>2.5863785814936591E-2</v>
      </c>
      <c r="U88" s="370">
        <f t="shared" si="23"/>
        <v>800328</v>
      </c>
      <c r="V88" s="387">
        <f>+U88/$U$61</f>
        <v>0.1246753732302379</v>
      </c>
      <c r="W88" s="372">
        <f t="shared" si="24"/>
        <v>800218</v>
      </c>
      <c r="X88" s="371">
        <f>+W88/$W$61</f>
        <v>0.12520212679238646</v>
      </c>
      <c r="Y88" s="387">
        <f>(W88-U88)/U88</f>
        <v>-1.3744364810427725E-4</v>
      </c>
    </row>
  </sheetData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7"/>
  <sheetViews>
    <sheetView zoomScale="112" zoomScaleNormal="112" workbookViewId="0">
      <pane xSplit="1" ySplit="6" topLeftCell="R55" activePane="bottomRight" state="frozen"/>
      <selection pane="topRight" activeCell="B1" sqref="B1"/>
      <selection pane="bottomLeft" activeCell="A7" sqref="A7"/>
      <selection pane="bottomRight" activeCell="AA58" sqref="AA58"/>
    </sheetView>
  </sheetViews>
  <sheetFormatPr baseColWidth="10" defaultColWidth="11.42578125" defaultRowHeight="15" x14ac:dyDescent="0.25"/>
  <cols>
    <col min="1" max="1" width="50.85546875" style="229" bestFit="1" customWidth="1"/>
    <col min="2" max="8" width="11.42578125" style="229" customWidth="1"/>
    <col min="9" max="9" width="13.28515625" style="229" customWidth="1"/>
    <col min="10" max="15" width="11.42578125" style="229" customWidth="1"/>
    <col min="16" max="16384" width="11.42578125" style="229"/>
  </cols>
  <sheetData>
    <row r="1" spans="1:13" ht="18.75" x14ac:dyDescent="0.3">
      <c r="A1" s="228" t="s">
        <v>157</v>
      </c>
      <c r="B1" s="362"/>
      <c r="C1" s="362"/>
      <c r="D1" s="362"/>
      <c r="E1" s="362"/>
    </row>
    <row r="2" spans="1:13" x14ac:dyDescent="0.25">
      <c r="A2" s="332" t="s">
        <v>263</v>
      </c>
      <c r="B2" s="362"/>
      <c r="C2" s="362"/>
      <c r="D2" s="362"/>
      <c r="E2" s="362"/>
    </row>
    <row r="3" spans="1:13" x14ac:dyDescent="0.25">
      <c r="A3" s="332" t="s">
        <v>88</v>
      </c>
      <c r="B3" s="362"/>
      <c r="C3" s="362"/>
      <c r="D3" s="362"/>
      <c r="E3" s="362"/>
    </row>
    <row r="4" spans="1:13" x14ac:dyDescent="0.25">
      <c r="A4" s="231" t="s">
        <v>159</v>
      </c>
      <c r="B4" s="362"/>
      <c r="C4" s="362"/>
      <c r="D4" s="362"/>
      <c r="E4" s="362"/>
    </row>
    <row r="5" spans="1:13" ht="15.75" thickBot="1" x14ac:dyDescent="0.3"/>
    <row r="6" spans="1:13" ht="23.25" thickBot="1" x14ac:dyDescent="0.3">
      <c r="A6" s="337"/>
      <c r="B6" s="338" t="s">
        <v>240</v>
      </c>
      <c r="C6" s="410" t="s">
        <v>246</v>
      </c>
      <c r="D6" s="420" t="s">
        <v>140</v>
      </c>
      <c r="E6" s="338" t="s">
        <v>240</v>
      </c>
      <c r="F6" s="410" t="s">
        <v>248</v>
      </c>
      <c r="G6" s="420" t="s">
        <v>140</v>
      </c>
      <c r="H6" s="338" t="s">
        <v>240</v>
      </c>
      <c r="I6" s="410" t="s">
        <v>253</v>
      </c>
      <c r="J6" s="420" t="s">
        <v>140</v>
      </c>
      <c r="K6" s="338" t="s">
        <v>240</v>
      </c>
      <c r="L6" s="410" t="s">
        <v>264</v>
      </c>
      <c r="M6" s="420" t="s">
        <v>140</v>
      </c>
    </row>
    <row r="7" spans="1:13" ht="15.75" thickTop="1" x14ac:dyDescent="0.25">
      <c r="A7" s="376" t="s">
        <v>20</v>
      </c>
      <c r="B7" s="377"/>
      <c r="C7" s="411"/>
      <c r="D7" s="411"/>
      <c r="E7" s="377"/>
      <c r="F7" s="411"/>
      <c r="G7" s="411"/>
      <c r="H7" s="377"/>
      <c r="I7" s="411"/>
      <c r="J7" s="411"/>
      <c r="K7" s="377"/>
      <c r="L7" s="411"/>
      <c r="M7" s="411"/>
    </row>
    <row r="8" spans="1:13" x14ac:dyDescent="0.25">
      <c r="A8" s="378" t="s">
        <v>160</v>
      </c>
      <c r="B8" s="379"/>
      <c r="C8" s="412"/>
      <c r="D8" s="421"/>
      <c r="E8" s="379"/>
      <c r="F8" s="412"/>
      <c r="G8" s="421"/>
      <c r="H8" s="379"/>
      <c r="I8" s="412"/>
      <c r="J8" s="421"/>
      <c r="K8" s="379"/>
      <c r="L8" s="412"/>
      <c r="M8" s="421"/>
    </row>
    <row r="9" spans="1:13" ht="15.75" thickBot="1" x14ac:dyDescent="0.3">
      <c r="A9" s="240" t="s">
        <v>161</v>
      </c>
      <c r="B9" s="242">
        <v>219322</v>
      </c>
      <c r="C9" s="413">
        <v>268250</v>
      </c>
      <c r="D9" s="422">
        <f t="shared" ref="D9:D15" si="0">(C9-B9)/B9</f>
        <v>0.22308751516035782</v>
      </c>
      <c r="E9" s="242">
        <v>219322</v>
      </c>
      <c r="F9" s="413">
        <v>277418</v>
      </c>
      <c r="G9" s="422">
        <f>(F9-E9)/E9</f>
        <v>0.26488906721623912</v>
      </c>
      <c r="H9" s="242">
        <v>219322</v>
      </c>
      <c r="I9" s="413">
        <v>244514</v>
      </c>
      <c r="J9" s="422">
        <f>(I9-H9)/H9</f>
        <v>0.11486307803138764</v>
      </c>
      <c r="K9" s="242">
        <v>219322</v>
      </c>
      <c r="L9" s="413">
        <v>435643</v>
      </c>
      <c r="M9" s="422">
        <f>(L9-K9)/K9</f>
        <v>0.98631692215099265</v>
      </c>
    </row>
    <row r="10" spans="1:13" ht="15.75" thickBot="1" x14ac:dyDescent="0.3">
      <c r="A10" s="240" t="s">
        <v>162</v>
      </c>
      <c r="B10" s="242">
        <v>889197</v>
      </c>
      <c r="C10" s="413">
        <v>923153</v>
      </c>
      <c r="D10" s="422">
        <f t="shared" si="0"/>
        <v>3.8187263339844825E-2</v>
      </c>
      <c r="E10" s="242">
        <v>889197</v>
      </c>
      <c r="F10" s="413">
        <v>934808</v>
      </c>
      <c r="G10" s="422">
        <f t="shared" ref="G10:G15" si="1">(F10-E10)/E10</f>
        <v>5.1294595011004314E-2</v>
      </c>
      <c r="H10" s="242">
        <v>889197</v>
      </c>
      <c r="I10" s="413">
        <v>997236</v>
      </c>
      <c r="J10" s="422">
        <f t="shared" ref="J10:J15" si="2">(I10-H10)/H10</f>
        <v>0.12150175945262973</v>
      </c>
      <c r="K10" s="242">
        <v>889197</v>
      </c>
      <c r="L10" s="413">
        <v>957568</v>
      </c>
      <c r="M10" s="422">
        <f t="shared" ref="M10:M15" si="3">(L10-K10)/K10</f>
        <v>7.6890722753225657E-2</v>
      </c>
    </row>
    <row r="11" spans="1:13" ht="15.75" thickBot="1" x14ac:dyDescent="0.3">
      <c r="A11" s="240" t="s">
        <v>36</v>
      </c>
      <c r="B11" s="242">
        <v>1028417</v>
      </c>
      <c r="C11" s="413">
        <v>1051962</v>
      </c>
      <c r="D11" s="422">
        <f t="shared" si="0"/>
        <v>2.2894409563435844E-2</v>
      </c>
      <c r="E11" s="242">
        <v>1028417</v>
      </c>
      <c r="F11" s="413">
        <v>1050504</v>
      </c>
      <c r="G11" s="422">
        <f t="shared" si="1"/>
        <v>2.1476696709603206E-2</v>
      </c>
      <c r="H11" s="242">
        <v>1028417</v>
      </c>
      <c r="I11" s="413">
        <v>1041736</v>
      </c>
      <c r="J11" s="422">
        <f t="shared" si="2"/>
        <v>1.2950972222357273E-2</v>
      </c>
      <c r="K11" s="242">
        <v>1028417</v>
      </c>
      <c r="L11" s="413">
        <v>982816</v>
      </c>
      <c r="M11" s="422">
        <f t="shared" si="3"/>
        <v>-4.4340962858451384E-2</v>
      </c>
    </row>
    <row r="12" spans="1:13" ht="15.75" thickBot="1" x14ac:dyDescent="0.3">
      <c r="A12" s="240" t="s">
        <v>163</v>
      </c>
      <c r="B12" s="242">
        <v>75677</v>
      </c>
      <c r="C12" s="413">
        <v>80216</v>
      </c>
      <c r="D12" s="422">
        <f t="shared" si="0"/>
        <v>5.9978593231761301E-2</v>
      </c>
      <c r="E12" s="242">
        <v>75677</v>
      </c>
      <c r="F12" s="413">
        <v>85304</v>
      </c>
      <c r="G12" s="422">
        <f t="shared" si="1"/>
        <v>0.12721170236663715</v>
      </c>
      <c r="H12" s="242">
        <v>75677</v>
      </c>
      <c r="I12" s="413">
        <v>85823</v>
      </c>
      <c r="J12" s="422">
        <f t="shared" si="2"/>
        <v>0.13406979663570173</v>
      </c>
      <c r="K12" s="242">
        <v>75677</v>
      </c>
      <c r="L12" s="413">
        <v>81518</v>
      </c>
      <c r="M12" s="422">
        <f t="shared" si="3"/>
        <v>7.7183292149530236E-2</v>
      </c>
    </row>
    <row r="13" spans="1:13" ht="15.75" thickBot="1" x14ac:dyDescent="0.3">
      <c r="A13" s="240" t="s">
        <v>164</v>
      </c>
      <c r="B13" s="242">
        <v>246832</v>
      </c>
      <c r="C13" s="413">
        <v>269943</v>
      </c>
      <c r="D13" s="422">
        <f t="shared" si="0"/>
        <v>9.3630485512413306E-2</v>
      </c>
      <c r="E13" s="242">
        <v>246832</v>
      </c>
      <c r="F13" s="413">
        <v>258291</v>
      </c>
      <c r="G13" s="422">
        <f t="shared" si="1"/>
        <v>4.6424288584948466E-2</v>
      </c>
      <c r="H13" s="242">
        <v>246832</v>
      </c>
      <c r="I13" s="413">
        <v>295692</v>
      </c>
      <c r="J13" s="422">
        <f t="shared" si="2"/>
        <v>0.19794840215207105</v>
      </c>
      <c r="K13" s="242">
        <v>246832</v>
      </c>
      <c r="L13" s="413">
        <v>221475</v>
      </c>
      <c r="M13" s="422">
        <f t="shared" si="3"/>
        <v>-0.10272979192325145</v>
      </c>
    </row>
    <row r="14" spans="1:13" ht="15.75" thickBot="1" x14ac:dyDescent="0.3">
      <c r="A14" s="245" t="s">
        <v>165</v>
      </c>
      <c r="B14" s="247">
        <v>100330</v>
      </c>
      <c r="C14" s="414">
        <v>80239</v>
      </c>
      <c r="D14" s="452">
        <f t="shared" si="0"/>
        <v>-0.20024917771354531</v>
      </c>
      <c r="E14" s="247">
        <v>100330</v>
      </c>
      <c r="F14" s="414">
        <v>35803</v>
      </c>
      <c r="G14" s="452">
        <f t="shared" si="1"/>
        <v>-0.64314761287750422</v>
      </c>
      <c r="H14" s="247">
        <v>100330</v>
      </c>
      <c r="I14" s="414">
        <v>40926</v>
      </c>
      <c r="J14" s="452">
        <f t="shared" si="2"/>
        <v>-0.59208611581780124</v>
      </c>
      <c r="K14" s="247">
        <v>100330</v>
      </c>
      <c r="L14" s="414">
        <v>6557</v>
      </c>
      <c r="M14" s="452">
        <f t="shared" si="3"/>
        <v>-0.93464566929133863</v>
      </c>
    </row>
    <row r="15" spans="1:13" ht="15.75" thickBot="1" x14ac:dyDescent="0.3">
      <c r="A15" s="249" t="s">
        <v>166</v>
      </c>
      <c r="B15" s="250">
        <f>SUM(B9:B14)</f>
        <v>2559775</v>
      </c>
      <c r="C15" s="415">
        <f>SUM(C9:C14)</f>
        <v>2673763</v>
      </c>
      <c r="D15" s="455">
        <f t="shared" si="0"/>
        <v>4.4530476311394555E-2</v>
      </c>
      <c r="E15" s="250">
        <f>SUM(E9:E14)</f>
        <v>2559775</v>
      </c>
      <c r="F15" s="415">
        <f>SUM(F9:F14)</f>
        <v>2642128</v>
      </c>
      <c r="G15" s="455">
        <f t="shared" si="1"/>
        <v>3.217196823939604E-2</v>
      </c>
      <c r="H15" s="250">
        <f>SUM(H9:H14)</f>
        <v>2559775</v>
      </c>
      <c r="I15" s="415">
        <f>SUM(I9:I14)</f>
        <v>2705927</v>
      </c>
      <c r="J15" s="455">
        <f t="shared" si="2"/>
        <v>5.709564317176314E-2</v>
      </c>
      <c r="K15" s="250">
        <f>SUM(K9:K14)</f>
        <v>2559775</v>
      </c>
      <c r="L15" s="415">
        <f>SUM(L9:L14)</f>
        <v>2685577</v>
      </c>
      <c r="M15" s="455">
        <f t="shared" si="3"/>
        <v>4.9145725698547721E-2</v>
      </c>
    </row>
    <row r="16" spans="1:13" x14ac:dyDescent="0.25">
      <c r="A16" s="378" t="s">
        <v>167</v>
      </c>
      <c r="B16" s="379"/>
      <c r="C16" s="412"/>
      <c r="D16" s="421"/>
      <c r="E16" s="379"/>
      <c r="F16" s="412"/>
      <c r="G16" s="421"/>
      <c r="H16" s="379"/>
      <c r="I16" s="412"/>
      <c r="J16" s="421"/>
      <c r="K16" s="379"/>
      <c r="L16" s="412"/>
      <c r="M16" s="421"/>
    </row>
    <row r="17" spans="1:13" ht="15.75" thickBot="1" x14ac:dyDescent="0.3">
      <c r="A17" s="240" t="s">
        <v>162</v>
      </c>
      <c r="B17" s="242">
        <v>23495</v>
      </c>
      <c r="C17" s="413">
        <v>21943</v>
      </c>
      <c r="D17" s="422">
        <f t="shared" ref="D17:D27" si="4">(C17-B17)/B17</f>
        <v>-6.6056607788891247E-2</v>
      </c>
      <c r="E17" s="242">
        <v>23495</v>
      </c>
      <c r="F17" s="413">
        <v>23944</v>
      </c>
      <c r="G17" s="422">
        <f t="shared" ref="G17:G27" si="5">(F17-E17)/E17</f>
        <v>1.9110449031708873E-2</v>
      </c>
      <c r="H17" s="242">
        <v>23495</v>
      </c>
      <c r="I17" s="413">
        <v>24864</v>
      </c>
      <c r="J17" s="422">
        <f t="shared" ref="J17:J27" si="6">(I17-H17)/H17</f>
        <v>5.826771653543307E-2</v>
      </c>
      <c r="K17" s="242">
        <v>23495</v>
      </c>
      <c r="L17" s="413">
        <v>26509</v>
      </c>
      <c r="M17" s="422">
        <f t="shared" ref="M17:M27" si="7">(L17-K17)/K17</f>
        <v>0.1282826133219834</v>
      </c>
    </row>
    <row r="18" spans="1:13" ht="15.75" thickBot="1" x14ac:dyDescent="0.3">
      <c r="A18" s="240" t="s">
        <v>169</v>
      </c>
      <c r="B18" s="242">
        <v>164510</v>
      </c>
      <c r="C18" s="413">
        <v>162693</v>
      </c>
      <c r="D18" s="422">
        <f t="shared" si="4"/>
        <v>-1.104492128138107E-2</v>
      </c>
      <c r="E18" s="242">
        <v>164510</v>
      </c>
      <c r="F18" s="413">
        <v>175634</v>
      </c>
      <c r="G18" s="422">
        <f t="shared" si="5"/>
        <v>6.7618989727068257E-2</v>
      </c>
      <c r="H18" s="242">
        <v>164510</v>
      </c>
      <c r="I18" s="413">
        <v>171711</v>
      </c>
      <c r="J18" s="422">
        <f t="shared" si="6"/>
        <v>4.377241505075679E-2</v>
      </c>
      <c r="K18" s="242">
        <v>164510</v>
      </c>
      <c r="L18" s="413">
        <v>180451</v>
      </c>
      <c r="M18" s="422">
        <f t="shared" si="7"/>
        <v>9.6899884505501188E-2</v>
      </c>
    </row>
    <row r="19" spans="1:13" ht="15.75" thickBot="1" x14ac:dyDescent="0.3">
      <c r="A19" s="240" t="s">
        <v>170</v>
      </c>
      <c r="B19" s="242">
        <v>3885206</v>
      </c>
      <c r="C19" s="413">
        <v>4010528</v>
      </c>
      <c r="D19" s="422">
        <f t="shared" si="4"/>
        <v>3.2256204690304713E-2</v>
      </c>
      <c r="E19" s="242">
        <v>3885206</v>
      </c>
      <c r="F19" s="413">
        <v>4081768</v>
      </c>
      <c r="G19" s="422">
        <f t="shared" si="5"/>
        <v>5.0592426759353298E-2</v>
      </c>
      <c r="H19" s="242">
        <v>3885206</v>
      </c>
      <c r="I19" s="413">
        <v>4186276</v>
      </c>
      <c r="J19" s="422">
        <f t="shared" si="6"/>
        <v>7.7491386557109201E-2</v>
      </c>
      <c r="K19" s="242">
        <v>3885206</v>
      </c>
      <c r="L19" s="413">
        <v>4133963</v>
      </c>
      <c r="M19" s="422">
        <f t="shared" si="7"/>
        <v>6.4026720848263899E-2</v>
      </c>
    </row>
    <row r="20" spans="1:13" ht="15.75" thickBot="1" x14ac:dyDescent="0.3">
      <c r="A20" s="240" t="s">
        <v>171</v>
      </c>
      <c r="B20" s="242">
        <v>3390946</v>
      </c>
      <c r="C20" s="413">
        <v>3343035</v>
      </c>
      <c r="D20" s="422">
        <f t="shared" si="4"/>
        <v>-1.4129095538531136E-2</v>
      </c>
      <c r="E20" s="242">
        <v>3390946</v>
      </c>
      <c r="F20" s="413">
        <v>3385611</v>
      </c>
      <c r="G20" s="422">
        <f t="shared" si="5"/>
        <v>-1.5733072717760766E-3</v>
      </c>
      <c r="H20" s="242">
        <v>3390946</v>
      </c>
      <c r="I20" s="413">
        <v>3349046</v>
      </c>
      <c r="J20" s="422">
        <f t="shared" si="6"/>
        <v>-1.2356433868306956E-2</v>
      </c>
      <c r="K20" s="242">
        <v>3390946</v>
      </c>
      <c r="L20" s="413">
        <v>3395671</v>
      </c>
      <c r="M20" s="422">
        <v>-1.2794394465160914E-2</v>
      </c>
    </row>
    <row r="21" spans="1:13" ht="15.75" thickBot="1" x14ac:dyDescent="0.3">
      <c r="A21" s="240" t="s">
        <v>141</v>
      </c>
      <c r="B21" s="242">
        <v>71842</v>
      </c>
      <c r="C21" s="413">
        <v>71797</v>
      </c>
      <c r="D21" s="422">
        <f t="shared" si="4"/>
        <v>-6.2637454413852619E-4</v>
      </c>
      <c r="E21" s="242">
        <v>71842</v>
      </c>
      <c r="F21" s="413">
        <v>71751</v>
      </c>
      <c r="G21" s="422">
        <f t="shared" si="5"/>
        <v>-1.2666685225912419E-3</v>
      </c>
      <c r="H21" s="242">
        <v>71842</v>
      </c>
      <c r="I21" s="413">
        <v>72352</v>
      </c>
      <c r="J21" s="422">
        <f t="shared" si="6"/>
        <v>7.0989115002366302E-3</v>
      </c>
      <c r="K21" s="242">
        <v>71842</v>
      </c>
      <c r="L21" s="413">
        <v>72306</v>
      </c>
      <c r="M21" s="422">
        <f t="shared" si="7"/>
        <v>6.4586175217839145E-3</v>
      </c>
    </row>
    <row r="22" spans="1:13" ht="15.75" thickBot="1" x14ac:dyDescent="0.3">
      <c r="A22" s="240" t="s">
        <v>247</v>
      </c>
      <c r="B22" s="242">
        <v>2034454</v>
      </c>
      <c r="C22" s="413">
        <v>2003664</v>
      </c>
      <c r="D22" s="422">
        <f t="shared" si="4"/>
        <v>-1.5134281728660368E-2</v>
      </c>
      <c r="E22" s="242">
        <v>2034454</v>
      </c>
      <c r="F22" s="413">
        <v>2059277</v>
      </c>
      <c r="G22" s="422">
        <f t="shared" si="5"/>
        <v>1.2201308065947915E-2</v>
      </c>
      <c r="H22" s="242">
        <v>2034454</v>
      </c>
      <c r="I22" s="413">
        <v>2061972</v>
      </c>
      <c r="J22" s="422">
        <f t="shared" si="6"/>
        <v>1.352598780803105E-2</v>
      </c>
      <c r="K22" s="242">
        <v>2034454</v>
      </c>
      <c r="L22" s="413">
        <v>2118226</v>
      </c>
      <c r="M22" s="422">
        <f t="shared" si="7"/>
        <v>4.1176649852982666E-2</v>
      </c>
    </row>
    <row r="23" spans="1:13" ht="15.75" thickBot="1" x14ac:dyDescent="0.3">
      <c r="A23" s="240" t="s">
        <v>173</v>
      </c>
      <c r="B23" s="242">
        <v>1163671</v>
      </c>
      <c r="C23" s="413">
        <v>1143667</v>
      </c>
      <c r="D23" s="422">
        <f t="shared" si="4"/>
        <v>-1.7190425816231564E-2</v>
      </c>
      <c r="E23" s="242">
        <v>1163671</v>
      </c>
      <c r="F23" s="413">
        <v>1162725</v>
      </c>
      <c r="G23" s="422">
        <f t="shared" si="5"/>
        <v>-8.129445521973135E-4</v>
      </c>
      <c r="H23" s="242">
        <v>1163671</v>
      </c>
      <c r="I23" s="413">
        <v>1158978</v>
      </c>
      <c r="J23" s="422">
        <f t="shared" si="6"/>
        <v>-4.0329268324122538E-3</v>
      </c>
      <c r="K23" s="242">
        <v>1163671</v>
      </c>
      <c r="L23" s="413">
        <v>1181350</v>
      </c>
      <c r="M23" s="422">
        <f t="shared" si="7"/>
        <v>1.5192438412575376E-2</v>
      </c>
    </row>
    <row r="24" spans="1:13" ht="15.75" thickBot="1" x14ac:dyDescent="0.3">
      <c r="A24" s="240" t="s">
        <v>174</v>
      </c>
      <c r="B24" s="242">
        <v>356994</v>
      </c>
      <c r="C24" s="413">
        <v>355573</v>
      </c>
      <c r="D24" s="422">
        <f t="shared" si="4"/>
        <v>-3.9804590553342636E-3</v>
      </c>
      <c r="E24" s="242">
        <v>356994</v>
      </c>
      <c r="F24" s="413">
        <v>374942</v>
      </c>
      <c r="G24" s="422">
        <f t="shared" si="5"/>
        <v>5.027535476786725E-2</v>
      </c>
      <c r="H24" s="242">
        <v>356994</v>
      </c>
      <c r="I24" s="413">
        <v>380851</v>
      </c>
      <c r="J24" s="422">
        <f t="shared" si="6"/>
        <v>6.6827453682694951E-2</v>
      </c>
      <c r="K24" s="242">
        <v>356994</v>
      </c>
      <c r="L24" s="413">
        <v>415072</v>
      </c>
      <c r="M24" s="422">
        <f t="shared" si="7"/>
        <v>0.1626862076113324</v>
      </c>
    </row>
    <row r="25" spans="1:13" ht="15.75" thickBot="1" x14ac:dyDescent="0.3">
      <c r="A25" s="245" t="s">
        <v>259</v>
      </c>
      <c r="B25" s="247">
        <v>48661</v>
      </c>
      <c r="C25" s="414">
        <v>49430</v>
      </c>
      <c r="D25" s="423">
        <f t="shared" si="4"/>
        <v>1.5803209962803887E-2</v>
      </c>
      <c r="E25" s="247">
        <v>48661</v>
      </c>
      <c r="F25" s="414">
        <v>95978</v>
      </c>
      <c r="G25" s="423">
        <f t="shared" si="5"/>
        <v>0.97238034565668607</v>
      </c>
      <c r="H25" s="247">
        <v>48661</v>
      </c>
      <c r="I25" s="414">
        <v>97870</v>
      </c>
      <c r="J25" s="423">
        <f t="shared" si="6"/>
        <v>1.0112615852530775</v>
      </c>
      <c r="K25" s="247">
        <v>48661</v>
      </c>
      <c r="L25" s="414">
        <v>100352</v>
      </c>
      <c r="M25" s="423">
        <f t="shared" si="7"/>
        <v>1.0622675243007746</v>
      </c>
    </row>
    <row r="26" spans="1:13" ht="15.75" thickBot="1" x14ac:dyDescent="0.3">
      <c r="A26" s="249" t="s">
        <v>175</v>
      </c>
      <c r="B26" s="250">
        <f>SUM(B17:B25)</f>
        <v>11139779</v>
      </c>
      <c r="C26" s="415">
        <v>11162330</v>
      </c>
      <c r="D26" s="424">
        <f t="shared" si="4"/>
        <v>2.0243669106900595E-3</v>
      </c>
      <c r="E26" s="250">
        <f>SUM(E17:E25)</f>
        <v>11139779</v>
      </c>
      <c r="F26" s="415">
        <f>SUM(F17:F25)</f>
        <v>11431630</v>
      </c>
      <c r="G26" s="424">
        <f t="shared" si="5"/>
        <v>2.6198993714327726E-2</v>
      </c>
      <c r="H26" s="250">
        <f>SUM(H17:H25)</f>
        <v>11139779</v>
      </c>
      <c r="I26" s="415">
        <f>SUM(I17:I25)</f>
        <v>11503920</v>
      </c>
      <c r="J26" s="424">
        <f t="shared" si="6"/>
        <v>3.2688350460094405E-2</v>
      </c>
      <c r="K26" s="250">
        <f>SUM(K17:K25)</f>
        <v>11139779</v>
      </c>
      <c r="L26" s="415">
        <f>SUM(L17:L25)</f>
        <v>11623900</v>
      </c>
      <c r="M26" s="424">
        <f t="shared" si="7"/>
        <v>4.3458761614570629E-2</v>
      </c>
    </row>
    <row r="27" spans="1:13" ht="15.75" thickBot="1" x14ac:dyDescent="0.3">
      <c r="A27" s="382" t="s">
        <v>176</v>
      </c>
      <c r="B27" s="383">
        <f>+B15+B26</f>
        <v>13699554</v>
      </c>
      <c r="C27" s="416">
        <f>+C15+C26</f>
        <v>13836093</v>
      </c>
      <c r="D27" s="425">
        <f t="shared" si="4"/>
        <v>9.9666748275162829E-3</v>
      </c>
      <c r="E27" s="383">
        <f>+E15+E26</f>
        <v>13699554</v>
      </c>
      <c r="F27" s="416">
        <f>+F15+F26</f>
        <v>14073758</v>
      </c>
      <c r="G27" s="425">
        <f t="shared" si="5"/>
        <v>2.7315049818410146E-2</v>
      </c>
      <c r="H27" s="383">
        <f>+H15+H26</f>
        <v>13699554</v>
      </c>
      <c r="I27" s="416">
        <f>+I15+I26</f>
        <v>14209847</v>
      </c>
      <c r="J27" s="425">
        <f t="shared" si="6"/>
        <v>3.7248876861246727E-2</v>
      </c>
      <c r="K27" s="383">
        <f>+K15+K26</f>
        <v>13699554</v>
      </c>
      <c r="L27" s="416">
        <f>+L15+L26</f>
        <v>14309477</v>
      </c>
      <c r="M27" s="425">
        <f t="shared" si="7"/>
        <v>4.4521376389333553E-2</v>
      </c>
    </row>
    <row r="28" spans="1:13" x14ac:dyDescent="0.25">
      <c r="A28" s="376" t="s">
        <v>142</v>
      </c>
      <c r="B28" s="377"/>
      <c r="C28" s="411"/>
      <c r="D28" s="411"/>
      <c r="E28" s="377"/>
      <c r="F28" s="411"/>
      <c r="G28" s="411"/>
      <c r="H28" s="377"/>
      <c r="I28" s="411"/>
      <c r="J28" s="411"/>
      <c r="K28" s="377"/>
      <c r="L28" s="411"/>
      <c r="M28" s="411"/>
    </row>
    <row r="29" spans="1:13" x14ac:dyDescent="0.25">
      <c r="A29" s="378" t="s">
        <v>177</v>
      </c>
      <c r="B29" s="379"/>
      <c r="C29" s="412"/>
      <c r="D29" s="421"/>
      <c r="E29" s="379"/>
      <c r="F29" s="412"/>
      <c r="G29" s="421"/>
      <c r="H29" s="379"/>
      <c r="I29" s="412"/>
      <c r="J29" s="421"/>
      <c r="K29" s="379"/>
      <c r="L29" s="412"/>
      <c r="M29" s="421"/>
    </row>
    <row r="30" spans="1:13" ht="15.75" thickBot="1" x14ac:dyDescent="0.3">
      <c r="A30" s="240" t="s">
        <v>28</v>
      </c>
      <c r="B30" s="242">
        <v>847689</v>
      </c>
      <c r="C30" s="413">
        <v>766418</v>
      </c>
      <c r="D30" s="422">
        <f t="shared" ref="D30:D36" si="8">(C30-B30)/B30</f>
        <v>-9.5873604588475256E-2</v>
      </c>
      <c r="E30" s="242">
        <v>847689</v>
      </c>
      <c r="F30" s="413">
        <v>656202</v>
      </c>
      <c r="G30" s="422">
        <f t="shared" ref="G30:G36" si="9">(F30-E30)/E30</f>
        <v>-0.22589298669677205</v>
      </c>
      <c r="H30" s="242">
        <v>847689</v>
      </c>
      <c r="I30" s="413">
        <v>782255</v>
      </c>
      <c r="J30" s="422">
        <f t="shared" ref="J30:J36" si="10">(I30-H30)/H30</f>
        <v>-7.7191045300811972E-2</v>
      </c>
      <c r="K30" s="242">
        <v>847689</v>
      </c>
      <c r="L30" s="413">
        <v>557133</v>
      </c>
      <c r="M30" s="422">
        <f t="shared" ref="M30:M36" si="11">(L30-K30)/K30</f>
        <v>-0.34276249898252781</v>
      </c>
    </row>
    <row r="31" spans="1:13" ht="15.75" thickBot="1" x14ac:dyDescent="0.3">
      <c r="A31" s="240" t="s">
        <v>178</v>
      </c>
      <c r="B31" s="242">
        <v>888840</v>
      </c>
      <c r="C31" s="413">
        <v>950671</v>
      </c>
      <c r="D31" s="422">
        <f t="shared" si="8"/>
        <v>6.9563701003555189E-2</v>
      </c>
      <c r="E31" s="242">
        <v>888840</v>
      </c>
      <c r="F31" s="413">
        <v>930722</v>
      </c>
      <c r="G31" s="422">
        <f t="shared" si="9"/>
        <v>4.7119841591287522E-2</v>
      </c>
      <c r="H31" s="242">
        <v>888840</v>
      </c>
      <c r="I31" s="413">
        <v>866238</v>
      </c>
      <c r="J31" s="422">
        <f t="shared" si="10"/>
        <v>-2.5428648575671661E-2</v>
      </c>
      <c r="K31" s="242">
        <v>888840</v>
      </c>
      <c r="L31" s="413">
        <v>993241</v>
      </c>
      <c r="M31" s="422">
        <f t="shared" si="11"/>
        <v>0.1174575851671842</v>
      </c>
    </row>
    <row r="32" spans="1:13" ht="15.75" thickBot="1" x14ac:dyDescent="0.3">
      <c r="A32" s="240" t="s">
        <v>257</v>
      </c>
      <c r="B32" s="242">
        <v>163362</v>
      </c>
      <c r="C32" s="413">
        <v>156179</v>
      </c>
      <c r="D32" s="422">
        <f t="shared" si="8"/>
        <v>-4.3969833865892927E-2</v>
      </c>
      <c r="E32" s="242">
        <v>163362</v>
      </c>
      <c r="F32" s="413">
        <v>200054</v>
      </c>
      <c r="G32" s="422">
        <f t="shared" si="9"/>
        <v>0.22460547740600628</v>
      </c>
      <c r="H32" s="242">
        <v>163362</v>
      </c>
      <c r="I32" s="413">
        <v>227088</v>
      </c>
      <c r="J32" s="422">
        <f t="shared" si="10"/>
        <v>0.3900907187718074</v>
      </c>
      <c r="K32" s="242">
        <v>163362</v>
      </c>
      <c r="L32" s="413">
        <v>207776</v>
      </c>
      <c r="M32" s="422">
        <f t="shared" si="11"/>
        <v>0.27187473218986058</v>
      </c>
    </row>
    <row r="33" spans="1:13" ht="15.75" thickBot="1" x14ac:dyDescent="0.3">
      <c r="A33" s="240" t="s">
        <v>179</v>
      </c>
      <c r="B33" s="242">
        <v>161592</v>
      </c>
      <c r="C33" s="413">
        <v>153375</v>
      </c>
      <c r="D33" s="422">
        <f t="shared" si="8"/>
        <v>-5.0850289618297934E-2</v>
      </c>
      <c r="E33" s="242">
        <v>161592</v>
      </c>
      <c r="F33" s="413">
        <v>151445</v>
      </c>
      <c r="G33" s="422">
        <f t="shared" si="9"/>
        <v>-6.2793950195554241E-2</v>
      </c>
      <c r="H33" s="242">
        <v>161592</v>
      </c>
      <c r="I33" s="413">
        <v>200062</v>
      </c>
      <c r="J33" s="422">
        <f t="shared" si="10"/>
        <v>0.23806871627308282</v>
      </c>
      <c r="K33" s="242">
        <v>161592</v>
      </c>
      <c r="L33" s="413">
        <v>172730</v>
      </c>
      <c r="M33" s="422">
        <f t="shared" si="11"/>
        <v>6.8926679538591024E-2</v>
      </c>
    </row>
    <row r="34" spans="1:13" ht="15.75" thickBot="1" x14ac:dyDescent="0.3">
      <c r="A34" s="240" t="s">
        <v>180</v>
      </c>
      <c r="B34" s="242">
        <v>2734</v>
      </c>
      <c r="C34" s="413">
        <v>1360</v>
      </c>
      <c r="D34" s="422">
        <f t="shared" si="8"/>
        <v>-0.50256035113386976</v>
      </c>
      <c r="E34" s="242">
        <v>2734</v>
      </c>
      <c r="F34" s="413">
        <v>1139</v>
      </c>
      <c r="G34" s="422">
        <f t="shared" si="9"/>
        <v>-0.58339429407461596</v>
      </c>
      <c r="H34" s="242">
        <v>2734</v>
      </c>
      <c r="I34" s="413">
        <v>1139</v>
      </c>
      <c r="J34" s="422">
        <f t="shared" si="10"/>
        <v>-0.58339429407461596</v>
      </c>
      <c r="K34" s="242">
        <v>2734</v>
      </c>
      <c r="L34" s="413">
        <v>9820</v>
      </c>
      <c r="M34" s="422" t="s">
        <v>131</v>
      </c>
    </row>
    <row r="35" spans="1:13" ht="15.75" thickBot="1" x14ac:dyDescent="0.3">
      <c r="A35" s="245" t="s">
        <v>260</v>
      </c>
      <c r="B35" s="247">
        <v>49746</v>
      </c>
      <c r="C35" s="414">
        <v>49399</v>
      </c>
      <c r="D35" s="423">
        <f t="shared" si="8"/>
        <v>-6.9754352108712262E-3</v>
      </c>
      <c r="E35" s="247">
        <v>49746</v>
      </c>
      <c r="F35" s="414">
        <v>43019</v>
      </c>
      <c r="G35" s="423">
        <f t="shared" si="9"/>
        <v>-0.13522695292083786</v>
      </c>
      <c r="H35" s="247">
        <v>49746</v>
      </c>
      <c r="I35" s="414">
        <v>52321</v>
      </c>
      <c r="J35" s="423">
        <f t="shared" si="10"/>
        <v>5.1762955815542959E-2</v>
      </c>
      <c r="K35" s="247">
        <v>49746</v>
      </c>
      <c r="L35" s="414">
        <v>14261</v>
      </c>
      <c r="M35" s="423">
        <f t="shared" si="11"/>
        <v>-0.71332368431632698</v>
      </c>
    </row>
    <row r="36" spans="1:13" ht="15.75" thickBot="1" x14ac:dyDescent="0.3">
      <c r="A36" s="249" t="s">
        <v>181</v>
      </c>
      <c r="B36" s="250">
        <f>SUM(B30:B35)</f>
        <v>2113963</v>
      </c>
      <c r="C36" s="415">
        <f>SUM(C30:C35)</f>
        <v>2077402</v>
      </c>
      <c r="D36" s="424">
        <f t="shared" si="8"/>
        <v>-1.7295004690242925E-2</v>
      </c>
      <c r="E36" s="250">
        <f>SUM(E30:E35)</f>
        <v>2113963</v>
      </c>
      <c r="F36" s="415">
        <f>SUM(F30:F35)</f>
        <v>1982581</v>
      </c>
      <c r="G36" s="424">
        <f t="shared" si="9"/>
        <v>-6.2149621350988643E-2</v>
      </c>
      <c r="H36" s="250">
        <f>SUM(H30:H35)</f>
        <v>2113963</v>
      </c>
      <c r="I36" s="415">
        <f>SUM(I30:I35)</f>
        <v>2129103</v>
      </c>
      <c r="J36" s="424">
        <f t="shared" si="10"/>
        <v>7.1619039689909429E-3</v>
      </c>
      <c r="K36" s="250">
        <f>SUM(K30:K35)</f>
        <v>2113963</v>
      </c>
      <c r="L36" s="415">
        <f>SUM(L30:L35)</f>
        <v>1954961</v>
      </c>
      <c r="M36" s="424">
        <f t="shared" si="11"/>
        <v>-7.521512912004609E-2</v>
      </c>
    </row>
    <row r="37" spans="1:13" x14ac:dyDescent="0.25">
      <c r="A37" s="378" t="s">
        <v>182</v>
      </c>
      <c r="B37" s="379"/>
      <c r="C37" s="412"/>
      <c r="D37" s="421"/>
      <c r="E37" s="379"/>
      <c r="F37" s="412"/>
      <c r="G37" s="421"/>
      <c r="H37" s="379"/>
      <c r="I37" s="412"/>
      <c r="J37" s="421"/>
      <c r="K37" s="379"/>
      <c r="L37" s="412"/>
      <c r="M37" s="421"/>
    </row>
    <row r="38" spans="1:13" ht="15.75" thickBot="1" x14ac:dyDescent="0.3">
      <c r="A38" s="240" t="s">
        <v>28</v>
      </c>
      <c r="B38" s="242">
        <v>2277429</v>
      </c>
      <c r="C38" s="413">
        <v>2521441</v>
      </c>
      <c r="D38" s="422">
        <f t="shared" ref="D38:D44" si="12">(C38-B38)/B38</f>
        <v>0.10714362555320056</v>
      </c>
      <c r="E38" s="242">
        <v>2277429</v>
      </c>
      <c r="F38" s="413">
        <v>2514525</v>
      </c>
      <c r="G38" s="422">
        <f t="shared" ref="G38:G44" si="13">(F38-E38)/E38</f>
        <v>0.10410686787601282</v>
      </c>
      <c r="H38" s="242">
        <v>2277429</v>
      </c>
      <c r="I38" s="413">
        <v>2353842</v>
      </c>
      <c r="J38" s="422">
        <f t="shared" ref="J38:J44" si="14">(I38-H38)/H38</f>
        <v>3.3552308326626208E-2</v>
      </c>
      <c r="K38" s="242">
        <v>2277429</v>
      </c>
      <c r="L38" s="413">
        <v>2474077</v>
      </c>
      <c r="M38" s="422">
        <f t="shared" ref="M38:M44" si="15">(L38-K38)/K38</f>
        <v>8.6346489835687518E-2</v>
      </c>
    </row>
    <row r="39" spans="1:13" ht="15.75" thickBot="1" x14ac:dyDescent="0.3">
      <c r="A39" s="240" t="s">
        <v>178</v>
      </c>
      <c r="B39" s="241">
        <v>158</v>
      </c>
      <c r="C39" s="417">
        <v>158</v>
      </c>
      <c r="D39" s="422">
        <f t="shared" si="12"/>
        <v>0</v>
      </c>
      <c r="E39" s="241">
        <v>158</v>
      </c>
      <c r="F39" s="417">
        <v>158</v>
      </c>
      <c r="G39" s="422">
        <f t="shared" si="13"/>
        <v>0</v>
      </c>
      <c r="H39" s="241">
        <v>158</v>
      </c>
      <c r="I39" s="417">
        <v>158</v>
      </c>
      <c r="J39" s="422">
        <f t="shared" si="14"/>
        <v>0</v>
      </c>
      <c r="K39" s="241">
        <v>158</v>
      </c>
      <c r="L39" s="417">
        <v>158</v>
      </c>
      <c r="M39" s="422">
        <f t="shared" si="15"/>
        <v>0</v>
      </c>
    </row>
    <row r="40" spans="1:13" ht="15.75" thickBot="1" x14ac:dyDescent="0.3">
      <c r="A40" s="240" t="s">
        <v>179</v>
      </c>
      <c r="B40" s="242">
        <v>216744</v>
      </c>
      <c r="C40" s="413">
        <v>221537</v>
      </c>
      <c r="D40" s="422">
        <f t="shared" si="12"/>
        <v>2.2113645591112095E-2</v>
      </c>
      <c r="E40" s="242">
        <v>216744</v>
      </c>
      <c r="F40" s="413">
        <v>229319</v>
      </c>
      <c r="G40" s="422">
        <f t="shared" si="13"/>
        <v>5.8017753663307865E-2</v>
      </c>
      <c r="H40" s="242">
        <v>216744</v>
      </c>
      <c r="I40" s="413">
        <v>234802</v>
      </c>
      <c r="J40" s="422">
        <f t="shared" si="14"/>
        <v>8.331487838186985E-2</v>
      </c>
      <c r="K40" s="242">
        <v>216744</v>
      </c>
      <c r="L40" s="413">
        <v>226574</v>
      </c>
      <c r="M40" s="422">
        <f t="shared" si="15"/>
        <v>4.5353043221496331E-2</v>
      </c>
    </row>
    <row r="41" spans="1:13" ht="15.75" thickBot="1" x14ac:dyDescent="0.3">
      <c r="A41" s="240" t="s">
        <v>183</v>
      </c>
      <c r="B41" s="242">
        <v>705700</v>
      </c>
      <c r="C41" s="413">
        <v>700242</v>
      </c>
      <c r="D41" s="422">
        <f t="shared" si="12"/>
        <v>-7.7341646592036274E-3</v>
      </c>
      <c r="E41" s="242">
        <v>705700</v>
      </c>
      <c r="F41" s="413">
        <v>701487</v>
      </c>
      <c r="G41" s="422">
        <f t="shared" si="13"/>
        <v>-5.9699589060507301E-3</v>
      </c>
      <c r="H41" s="242">
        <v>705700</v>
      </c>
      <c r="I41" s="413">
        <v>690887</v>
      </c>
      <c r="J41" s="422">
        <f t="shared" si="14"/>
        <v>-2.0990505880685843E-2</v>
      </c>
      <c r="K41" s="242">
        <v>705700</v>
      </c>
      <c r="L41" s="413">
        <v>702967</v>
      </c>
      <c r="M41" s="422">
        <f t="shared" si="15"/>
        <v>-3.8727504605356382E-3</v>
      </c>
    </row>
    <row r="42" spans="1:13" ht="15.75" thickBot="1" x14ac:dyDescent="0.3">
      <c r="A42" s="245" t="s">
        <v>261</v>
      </c>
      <c r="B42" s="246">
        <v>600</v>
      </c>
      <c r="C42" s="418">
        <v>618</v>
      </c>
      <c r="D42" s="454">
        <f t="shared" si="12"/>
        <v>0.03</v>
      </c>
      <c r="E42" s="246">
        <v>600</v>
      </c>
      <c r="F42" s="418">
        <v>657</v>
      </c>
      <c r="G42" s="454">
        <f t="shared" si="13"/>
        <v>9.5000000000000001E-2</v>
      </c>
      <c r="H42" s="246">
        <v>600</v>
      </c>
      <c r="I42" s="418">
        <v>613</v>
      </c>
      <c r="J42" s="454">
        <f t="shared" si="14"/>
        <v>2.1666666666666667E-2</v>
      </c>
      <c r="K42" s="246">
        <v>600</v>
      </c>
      <c r="L42" s="418">
        <v>559</v>
      </c>
      <c r="M42" s="454">
        <f t="shared" si="15"/>
        <v>-6.8333333333333329E-2</v>
      </c>
    </row>
    <row r="43" spans="1:13" ht="15.75" thickBot="1" x14ac:dyDescent="0.3">
      <c r="A43" s="249" t="s">
        <v>185</v>
      </c>
      <c r="B43" s="250">
        <f>SUM(B38:B42)</f>
        <v>3200631</v>
      </c>
      <c r="C43" s="415">
        <f>SUM(C38:C42)</f>
        <v>3443996</v>
      </c>
      <c r="D43" s="453">
        <f t="shared" si="12"/>
        <v>7.6036569039042615E-2</v>
      </c>
      <c r="E43" s="250">
        <f>SUM(E38:E42)</f>
        <v>3200631</v>
      </c>
      <c r="F43" s="415">
        <f>SUM(F38:F42)</f>
        <v>3446146</v>
      </c>
      <c r="G43" s="453">
        <f t="shared" si="13"/>
        <v>7.6708311579810354E-2</v>
      </c>
      <c r="H43" s="250">
        <f>SUM(H38:H42)</f>
        <v>3200631</v>
      </c>
      <c r="I43" s="415">
        <f>SUM(I38:I42)</f>
        <v>3280302</v>
      </c>
      <c r="J43" s="453">
        <f t="shared" si="14"/>
        <v>2.4892279053724094E-2</v>
      </c>
      <c r="K43" s="250">
        <f>SUM(K38:K42)</f>
        <v>3200631</v>
      </c>
      <c r="L43" s="415">
        <f>SUM(L38:L42)</f>
        <v>3404335</v>
      </c>
      <c r="M43" s="453">
        <f t="shared" si="15"/>
        <v>6.3644950011419621E-2</v>
      </c>
    </row>
    <row r="44" spans="1:13" ht="15.75" thickBot="1" x14ac:dyDescent="0.3">
      <c r="A44" s="382" t="s">
        <v>186</v>
      </c>
      <c r="B44" s="383">
        <f>+B36+B43</f>
        <v>5314594</v>
      </c>
      <c r="C44" s="416">
        <f>+C36+C43</f>
        <v>5521398</v>
      </c>
      <c r="D44" s="425">
        <f t="shared" si="12"/>
        <v>3.8912473840899228E-2</v>
      </c>
      <c r="E44" s="383">
        <f>+E36+E43</f>
        <v>5314594</v>
      </c>
      <c r="F44" s="416">
        <f>+F36+F43</f>
        <v>5428727</v>
      </c>
      <c r="G44" s="425">
        <f t="shared" si="13"/>
        <v>2.1475393981177114E-2</v>
      </c>
      <c r="H44" s="383">
        <f>+H36+H43</f>
        <v>5314594</v>
      </c>
      <c r="I44" s="416">
        <f>+I36+I43</f>
        <v>5409405</v>
      </c>
      <c r="J44" s="425">
        <f t="shared" si="14"/>
        <v>1.7839744672876235E-2</v>
      </c>
      <c r="K44" s="383">
        <f>+K36+K43</f>
        <v>5314594</v>
      </c>
      <c r="L44" s="416">
        <f>+L36+L43</f>
        <v>5359296</v>
      </c>
      <c r="M44" s="425">
        <f t="shared" si="15"/>
        <v>8.4111787278576683E-3</v>
      </c>
    </row>
    <row r="45" spans="1:13" x14ac:dyDescent="0.25">
      <c r="A45" s="376" t="s">
        <v>34</v>
      </c>
      <c r="B45" s="377"/>
      <c r="C45" s="411"/>
      <c r="D45" s="411"/>
      <c r="E45" s="377"/>
      <c r="F45" s="411"/>
      <c r="G45" s="411"/>
      <c r="H45" s="377"/>
      <c r="I45" s="411"/>
      <c r="J45" s="411"/>
      <c r="K45" s="377"/>
      <c r="L45" s="411"/>
      <c r="M45" s="411"/>
    </row>
    <row r="46" spans="1:13" ht="15.75" thickBot="1" x14ac:dyDescent="0.3">
      <c r="A46" s="249" t="s">
        <v>187</v>
      </c>
      <c r="B46" s="250">
        <v>8346719</v>
      </c>
      <c r="C46" s="415">
        <v>8274696</v>
      </c>
      <c r="D46" s="424">
        <f>(C46-B46)/B46</f>
        <v>-8.628899571196778E-3</v>
      </c>
      <c r="E46" s="250">
        <v>8346719</v>
      </c>
      <c r="F46" s="415">
        <v>8606275</v>
      </c>
      <c r="G46" s="424">
        <f>(F46-E46)/E46</f>
        <v>3.109676988047639E-2</v>
      </c>
      <c r="H46" s="250">
        <v>8346719</v>
      </c>
      <c r="I46" s="415">
        <v>8760740</v>
      </c>
      <c r="J46" s="424">
        <f>(I46-H46)/H46</f>
        <v>4.9602843943829904E-2</v>
      </c>
      <c r="K46" s="250">
        <v>8346719</v>
      </c>
      <c r="L46" s="415">
        <v>8907656</v>
      </c>
      <c r="M46" s="424">
        <f>(L46-K46)/K46</f>
        <v>6.7204490770565062E-2</v>
      </c>
    </row>
    <row r="47" spans="1:13" ht="15.75" thickBot="1" x14ac:dyDescent="0.3">
      <c r="A47" s="259" t="s">
        <v>188</v>
      </c>
      <c r="B47" s="247">
        <v>38241</v>
      </c>
      <c r="C47" s="414">
        <v>39999</v>
      </c>
      <c r="D47" s="423">
        <f>(C47-B47)/B47</f>
        <v>4.5971601161057501E-2</v>
      </c>
      <c r="E47" s="247">
        <v>38241</v>
      </c>
      <c r="F47" s="414">
        <v>38756</v>
      </c>
      <c r="G47" s="423">
        <f>(F47-E47)/E47</f>
        <v>1.3467221045474752E-2</v>
      </c>
      <c r="H47" s="247">
        <v>38241</v>
      </c>
      <c r="I47" s="414">
        <v>39702</v>
      </c>
      <c r="J47" s="423">
        <f>(I47-H47)/H47</f>
        <v>3.8205067859104103E-2</v>
      </c>
      <c r="K47" s="247">
        <v>38241</v>
      </c>
      <c r="L47" s="414">
        <v>42525</v>
      </c>
      <c r="M47" s="423">
        <f>(L47-K47)/K47</f>
        <v>0.11202635914332784</v>
      </c>
    </row>
    <row r="48" spans="1:13" ht="15.75" thickBot="1" x14ac:dyDescent="0.3">
      <c r="A48" s="382" t="s">
        <v>189</v>
      </c>
      <c r="B48" s="383">
        <f>SUM(B46:B47)</f>
        <v>8384960</v>
      </c>
      <c r="C48" s="416">
        <f>SUM(C46:C47)</f>
        <v>8314695</v>
      </c>
      <c r="D48" s="425">
        <f>(C48-B48)/B48</f>
        <v>-8.3798849368392925E-3</v>
      </c>
      <c r="E48" s="383">
        <f>SUM(E46:E47)</f>
        <v>8384960</v>
      </c>
      <c r="F48" s="416">
        <f>SUM(F46:F47)</f>
        <v>8645031</v>
      </c>
      <c r="G48" s="425">
        <f>(F48-E48)/E48</f>
        <v>3.1016367400679312E-2</v>
      </c>
      <c r="H48" s="383">
        <f>SUM(H46:H47)</f>
        <v>8384960</v>
      </c>
      <c r="I48" s="416">
        <f>SUM(I46:I47)</f>
        <v>8800442</v>
      </c>
      <c r="J48" s="425">
        <f>(I48-H48)/H48</f>
        <v>4.9550862496660686E-2</v>
      </c>
      <c r="K48" s="383">
        <f>SUM(K46:K47)</f>
        <v>8384960</v>
      </c>
      <c r="L48" s="416">
        <f>SUM(L46:L47)</f>
        <v>8950181</v>
      </c>
      <c r="M48" s="425">
        <f>(L48-K48)/K48</f>
        <v>6.7408908331107131E-2</v>
      </c>
    </row>
    <row r="49" spans="1:27" ht="15.75" thickBot="1" x14ac:dyDescent="0.3">
      <c r="A49" s="380" t="s">
        <v>190</v>
      </c>
      <c r="B49" s="381">
        <f>+B44+B48</f>
        <v>13699554</v>
      </c>
      <c r="C49" s="419">
        <f>+C44+C48</f>
        <v>13836093</v>
      </c>
      <c r="D49" s="426">
        <f>(C49-B49)/B49</f>
        <v>9.9666748275162829E-3</v>
      </c>
      <c r="E49" s="381">
        <f>+E44+E48</f>
        <v>13699554</v>
      </c>
      <c r="F49" s="419">
        <f>+F44+F48</f>
        <v>14073758</v>
      </c>
      <c r="G49" s="426">
        <f>(F49-E49)/E49</f>
        <v>2.7315049818410146E-2</v>
      </c>
      <c r="H49" s="381">
        <f>+H44+H48</f>
        <v>13699554</v>
      </c>
      <c r="I49" s="419">
        <f>+I44+I48</f>
        <v>14209847</v>
      </c>
      <c r="J49" s="426">
        <f>(I49-H49)/H49</f>
        <v>3.7248876861246727E-2</v>
      </c>
      <c r="K49" s="381">
        <f>+K44+K48</f>
        <v>13699554</v>
      </c>
      <c r="L49" s="419">
        <f>+L44+L48</f>
        <v>14309477</v>
      </c>
      <c r="M49" s="426">
        <f>(L49-K49)/K49</f>
        <v>4.4521376389333553E-2</v>
      </c>
    </row>
    <row r="50" spans="1:27" x14ac:dyDescent="0.25">
      <c r="B50" s="263"/>
      <c r="C50" s="263"/>
      <c r="D50" s="263"/>
      <c r="E50" s="263"/>
      <c r="F50" s="263"/>
      <c r="G50" s="263"/>
      <c r="H50" s="263"/>
      <c r="I50" s="263"/>
      <c r="J50" s="263"/>
      <c r="K50" s="263"/>
      <c r="L50" s="263"/>
      <c r="M50" s="263"/>
    </row>
    <row r="51" spans="1:27" x14ac:dyDescent="0.25">
      <c r="C51" s="263"/>
      <c r="E51" s="263"/>
      <c r="H51" s="263"/>
      <c r="J51" s="263"/>
      <c r="M51" s="263"/>
      <c r="O51" s="263"/>
      <c r="R51" s="263"/>
      <c r="T51" s="263"/>
    </row>
    <row r="52" spans="1:27" ht="18.75" x14ac:dyDescent="0.3">
      <c r="A52" s="264" t="s">
        <v>191</v>
      </c>
      <c r="B52" s="362"/>
      <c r="C52" s="362"/>
      <c r="D52" s="362"/>
      <c r="E52" s="362"/>
    </row>
    <row r="53" spans="1:27" x14ac:dyDescent="0.25">
      <c r="A53" s="332" t="s">
        <v>219</v>
      </c>
      <c r="B53" s="362"/>
      <c r="C53" s="362"/>
      <c r="D53" s="362"/>
      <c r="E53" s="362"/>
    </row>
    <row r="54" spans="1:27" x14ac:dyDescent="0.25">
      <c r="A54" s="332" t="s">
        <v>88</v>
      </c>
      <c r="B54" s="362"/>
      <c r="C54" s="362"/>
      <c r="D54" s="362"/>
      <c r="E54" s="362"/>
    </row>
    <row r="55" spans="1:27" x14ac:dyDescent="0.25">
      <c r="A55" s="265" t="s">
        <v>159</v>
      </c>
      <c r="B55" s="362"/>
      <c r="C55" s="362"/>
      <c r="D55" s="362"/>
      <c r="E55" s="362"/>
    </row>
    <row r="56" spans="1:27" s="446" customFormat="1" x14ac:dyDescent="0.25">
      <c r="A56" s="441"/>
      <c r="B56" s="442"/>
      <c r="C56" s="442"/>
      <c r="D56" s="443"/>
      <c r="E56" s="442"/>
      <c r="F56" s="442"/>
      <c r="G56" s="444"/>
      <c r="H56" s="442"/>
      <c r="I56" s="445"/>
      <c r="J56" s="442"/>
      <c r="K56" s="442"/>
      <c r="L56" s="444"/>
      <c r="M56" s="445"/>
      <c r="N56" s="444"/>
      <c r="O56" s="445"/>
      <c r="P56" s="444"/>
      <c r="Q56" s="445"/>
      <c r="R56" s="444"/>
      <c r="S56" s="442"/>
      <c r="T56" s="445"/>
      <c r="U56" s="442"/>
      <c r="V56" s="442"/>
      <c r="W56" s="444"/>
      <c r="X56" s="442"/>
      <c r="Y56" s="445"/>
      <c r="Z56" s="442"/>
      <c r="AA56" s="442"/>
    </row>
    <row r="57" spans="1:27" ht="15.75" thickBot="1" x14ac:dyDescent="0.3">
      <c r="B57" s="364"/>
      <c r="C57" s="364"/>
      <c r="D57" s="364"/>
      <c r="E57" s="364"/>
    </row>
    <row r="58" spans="1:27" ht="15.75" customHeight="1" thickBot="1" x14ac:dyDescent="0.3">
      <c r="A58" s="353"/>
      <c r="B58" s="388" t="s">
        <v>222</v>
      </c>
      <c r="C58" s="388" t="s">
        <v>55</v>
      </c>
      <c r="D58" s="400" t="s">
        <v>245</v>
      </c>
      <c r="E58" s="400" t="s">
        <v>55</v>
      </c>
      <c r="F58" s="388" t="s">
        <v>46</v>
      </c>
      <c r="G58" s="388" t="s">
        <v>232</v>
      </c>
      <c r="H58" s="388" t="s">
        <v>55</v>
      </c>
      <c r="I58" s="400" t="s">
        <v>251</v>
      </c>
      <c r="J58" s="388" t="s">
        <v>55</v>
      </c>
      <c r="K58" s="388" t="s">
        <v>46</v>
      </c>
      <c r="L58" s="388" t="s">
        <v>222</v>
      </c>
      <c r="M58" s="400" t="s">
        <v>245</v>
      </c>
      <c r="N58" s="388" t="s">
        <v>231</v>
      </c>
      <c r="O58" s="400" t="s">
        <v>250</v>
      </c>
      <c r="P58" s="388" t="s">
        <v>236</v>
      </c>
      <c r="Q58" s="400" t="s">
        <v>255</v>
      </c>
      <c r="R58" s="440" t="s">
        <v>242</v>
      </c>
      <c r="S58" s="388" t="s">
        <v>55</v>
      </c>
      <c r="T58" s="400" t="s">
        <v>265</v>
      </c>
      <c r="U58" s="388" t="s">
        <v>55</v>
      </c>
      <c r="V58" s="388" t="s">
        <v>46</v>
      </c>
      <c r="W58" s="388" t="s">
        <v>243</v>
      </c>
      <c r="X58" s="388" t="s">
        <v>55</v>
      </c>
      <c r="Y58" s="400" t="s">
        <v>266</v>
      </c>
      <c r="Z58" s="400" t="s">
        <v>55</v>
      </c>
      <c r="AA58" s="388" t="s">
        <v>46</v>
      </c>
    </row>
    <row r="59" spans="1:27" ht="15.75" thickTop="1" x14ac:dyDescent="0.25">
      <c r="A59" s="390" t="s">
        <v>193</v>
      </c>
      <c r="B59" s="389"/>
      <c r="C59" s="389"/>
      <c r="D59" s="401"/>
      <c r="E59" s="406"/>
      <c r="F59" s="389"/>
      <c r="G59" s="389"/>
      <c r="H59" s="389"/>
      <c r="I59" s="401"/>
      <c r="J59" s="389"/>
      <c r="K59" s="389"/>
      <c r="L59" s="389"/>
      <c r="M59" s="401"/>
      <c r="N59" s="389"/>
      <c r="O59" s="401"/>
      <c r="P59" s="389"/>
      <c r="Q59" s="401"/>
      <c r="R59" s="389"/>
      <c r="S59" s="389"/>
      <c r="T59" s="401"/>
      <c r="U59" s="389"/>
      <c r="V59" s="389"/>
      <c r="W59" s="389"/>
      <c r="X59" s="389"/>
      <c r="Y59" s="401"/>
      <c r="Z59" s="406"/>
      <c r="AA59" s="389"/>
    </row>
    <row r="60" spans="1:27" ht="15.75" thickBot="1" x14ac:dyDescent="0.3">
      <c r="A60" s="391" t="s">
        <v>194</v>
      </c>
      <c r="B60" s="395">
        <v>2104216</v>
      </c>
      <c r="C60" s="387">
        <f t="shared" ref="C60:C81" si="16">+B60/$B$60</f>
        <v>1</v>
      </c>
      <c r="D60" s="395">
        <v>2041823</v>
      </c>
      <c r="E60" s="387">
        <f t="shared" ref="E60:E81" si="17">+D60/$D$60</f>
        <v>1</v>
      </c>
      <c r="F60" s="387">
        <f t="shared" ref="F60:F81" si="18">(D60-B60)/B60</f>
        <v>-2.9651423618107648E-2</v>
      </c>
      <c r="G60" s="395">
        <v>4205283</v>
      </c>
      <c r="H60" s="433">
        <f t="shared" ref="H60:H81" si="19">+G60/$G$60</f>
        <v>1</v>
      </c>
      <c r="I60" s="395">
        <v>4159066</v>
      </c>
      <c r="J60" s="387">
        <f t="shared" ref="J60:J81" si="20">+I60/$I$60</f>
        <v>1</v>
      </c>
      <c r="K60" s="387">
        <f>(I60-G60)/G60</f>
        <v>-1.0990223487931728E-2</v>
      </c>
      <c r="L60" s="395">
        <v>2104216</v>
      </c>
      <c r="M60" s="395">
        <v>2041823</v>
      </c>
      <c r="N60" s="395">
        <v>2101067</v>
      </c>
      <c r="O60" s="395">
        <v>2117243</v>
      </c>
      <c r="P60" s="395">
        <v>2214012</v>
      </c>
      <c r="Q60" s="395">
        <v>2232343</v>
      </c>
      <c r="R60" s="395">
        <v>2257345</v>
      </c>
      <c r="S60" s="387">
        <f>+R60/$R$60</f>
        <v>1</v>
      </c>
      <c r="T60" s="395">
        <v>2304195</v>
      </c>
      <c r="U60" s="387">
        <f>+T60/$T$60</f>
        <v>1</v>
      </c>
      <c r="V60" s="387">
        <f>(T60-R60)/R60</f>
        <v>2.0754470406605989E-2</v>
      </c>
      <c r="W60" s="395">
        <f>+L60+N60+P60+R60</f>
        <v>8676640</v>
      </c>
      <c r="X60" s="387">
        <f>+W60/$W$60</f>
        <v>1</v>
      </c>
      <c r="Y60" s="395">
        <f>+M60+O60+Q60+T60</f>
        <v>8695604</v>
      </c>
      <c r="Z60" s="387">
        <f t="shared" ref="Z60:Z81" si="21">+Y60/$Y$60</f>
        <v>1</v>
      </c>
      <c r="AA60" s="387">
        <f>(Y60-W60)/W60</f>
        <v>2.1856386804108502E-3</v>
      </c>
    </row>
    <row r="61" spans="1:27" ht="15.75" thickBot="1" x14ac:dyDescent="0.3">
      <c r="A61" s="392" t="s">
        <v>262</v>
      </c>
      <c r="B61" s="396">
        <v>-1196310</v>
      </c>
      <c r="C61" s="384">
        <f t="shared" si="16"/>
        <v>-0.56853003684032433</v>
      </c>
      <c r="D61" s="402">
        <v>-1150561</v>
      </c>
      <c r="E61" s="407">
        <f t="shared" si="17"/>
        <v>-0.56349693386743116</v>
      </c>
      <c r="F61" s="384">
        <f t="shared" si="18"/>
        <v>-3.8241760078909316E-2</v>
      </c>
      <c r="G61" s="396">
        <v>-2399295</v>
      </c>
      <c r="H61" s="434">
        <f t="shared" si="19"/>
        <v>-0.57054305263165406</v>
      </c>
      <c r="I61" s="402">
        <v>-2333030</v>
      </c>
      <c r="J61" s="384">
        <f t="shared" si="20"/>
        <v>-0.56095046339731081</v>
      </c>
      <c r="K61" s="384">
        <f t="shared" ref="K61:K87" si="22">(I61-G61)/G61</f>
        <v>-2.7618529609739529E-2</v>
      </c>
      <c r="L61" s="396">
        <v>-1196310</v>
      </c>
      <c r="M61" s="402">
        <v>-1150561</v>
      </c>
      <c r="N61" s="396">
        <v>-1202985</v>
      </c>
      <c r="O61" s="402">
        <v>-1182469</v>
      </c>
      <c r="P61" s="396">
        <v>-1279858</v>
      </c>
      <c r="Q61" s="402">
        <v>-1236124</v>
      </c>
      <c r="R61" s="396">
        <v>-1286878</v>
      </c>
      <c r="S61" s="384">
        <f t="shared" ref="S61:S87" si="23">+R61/$R$60</f>
        <v>-0.57008476772491579</v>
      </c>
      <c r="T61" s="402">
        <v>-1286481</v>
      </c>
      <c r="U61" s="384">
        <f>+T61/$T$60</f>
        <v>-0.55832123583290472</v>
      </c>
      <c r="V61" s="384">
        <f t="shared" ref="V61:V87" si="24">(T61-R61)/R61</f>
        <v>-3.0849855231032002E-4</v>
      </c>
      <c r="W61" s="396">
        <f t="shared" ref="W61:W87" si="25">+L61+N61+P61+R61</f>
        <v>-4966031</v>
      </c>
      <c r="X61" s="384">
        <f t="shared" ref="X61:X81" si="26">+W61/$W$60</f>
        <v>-0.57234493997676517</v>
      </c>
      <c r="Y61" s="402">
        <f t="shared" ref="Y61:Y87" si="27">+M61+O61+Q61+T61</f>
        <v>-4855635</v>
      </c>
      <c r="Z61" s="407">
        <f t="shared" si="21"/>
        <v>-0.55840111854219676</v>
      </c>
      <c r="AA61" s="384">
        <f t="shared" ref="AA61:AA81" si="28">(Y61-W61)/W61</f>
        <v>-2.2230227721091553E-2</v>
      </c>
    </row>
    <row r="62" spans="1:27" ht="15.75" thickBot="1" x14ac:dyDescent="0.3">
      <c r="A62" s="393" t="s">
        <v>196</v>
      </c>
      <c r="B62" s="397">
        <f>SUM(B60:B61)</f>
        <v>907906</v>
      </c>
      <c r="C62" s="386">
        <f t="shared" si="16"/>
        <v>0.43146996315967562</v>
      </c>
      <c r="D62" s="403">
        <f>SUM(D60:D61)</f>
        <v>891262</v>
      </c>
      <c r="E62" s="408">
        <f t="shared" si="17"/>
        <v>0.43650306613256878</v>
      </c>
      <c r="F62" s="386">
        <f t="shared" si="18"/>
        <v>-1.833229431240679E-2</v>
      </c>
      <c r="G62" s="397">
        <v>1805988</v>
      </c>
      <c r="H62" s="435">
        <f t="shared" si="19"/>
        <v>0.42945694736834594</v>
      </c>
      <c r="I62" s="403">
        <v>1826036</v>
      </c>
      <c r="J62" s="386">
        <f t="shared" si="20"/>
        <v>0.43904953660268914</v>
      </c>
      <c r="K62" s="386">
        <f t="shared" si="22"/>
        <v>1.1100848953592162E-2</v>
      </c>
      <c r="L62" s="397">
        <v>907906</v>
      </c>
      <c r="M62" s="403">
        <f>SUM(M60:M61)</f>
        <v>891262</v>
      </c>
      <c r="N62" s="397">
        <f>SUM(N60:N61)</f>
        <v>898082</v>
      </c>
      <c r="O62" s="403">
        <f>SUM(O60:O61)</f>
        <v>934774</v>
      </c>
      <c r="P62" s="397">
        <v>934154</v>
      </c>
      <c r="Q62" s="403">
        <v>996219</v>
      </c>
      <c r="R62" s="397">
        <v>970467</v>
      </c>
      <c r="S62" s="386">
        <f t="shared" si="23"/>
        <v>0.42991523227508421</v>
      </c>
      <c r="T62" s="403">
        <v>1017714</v>
      </c>
      <c r="U62" s="386">
        <f t="shared" ref="U62:U81" si="29">+T62/$T$60</f>
        <v>0.44167876416709523</v>
      </c>
      <c r="V62" s="386">
        <f t="shared" si="24"/>
        <v>4.8684808447891581E-2</v>
      </c>
      <c r="W62" s="397">
        <f t="shared" si="25"/>
        <v>3710609</v>
      </c>
      <c r="X62" s="386">
        <f t="shared" si="26"/>
        <v>0.42765506002323478</v>
      </c>
      <c r="Y62" s="403">
        <f t="shared" si="27"/>
        <v>3839969</v>
      </c>
      <c r="Z62" s="408">
        <f t="shared" si="21"/>
        <v>0.44159888145780329</v>
      </c>
      <c r="AA62" s="386">
        <f t="shared" si="28"/>
        <v>3.4862201864976884E-2</v>
      </c>
    </row>
    <row r="63" spans="1:27" ht="15.75" thickBot="1" x14ac:dyDescent="0.3">
      <c r="A63" s="392" t="s">
        <v>7</v>
      </c>
      <c r="B63" s="396">
        <v>-97009</v>
      </c>
      <c r="C63" s="384">
        <f t="shared" si="16"/>
        <v>-4.6102206237382475E-2</v>
      </c>
      <c r="D63" s="402">
        <v>-100251</v>
      </c>
      <c r="E63" s="407">
        <f t="shared" si="17"/>
        <v>-4.9098771049204556E-2</v>
      </c>
      <c r="F63" s="384">
        <f t="shared" si="18"/>
        <v>3.3419579626632577E-2</v>
      </c>
      <c r="G63" s="396">
        <v>-193987</v>
      </c>
      <c r="H63" s="434">
        <f t="shared" si="19"/>
        <v>-4.6129356811420302E-2</v>
      </c>
      <c r="I63" s="402">
        <v>-195591</v>
      </c>
      <c r="J63" s="384">
        <f t="shared" si="20"/>
        <v>-4.7027625914087441E-2</v>
      </c>
      <c r="K63" s="384">
        <f t="shared" si="22"/>
        <v>8.2685953182429755E-3</v>
      </c>
      <c r="L63" s="396">
        <v>-97009</v>
      </c>
      <c r="M63" s="402">
        <v>-100251</v>
      </c>
      <c r="N63" s="396">
        <v>-96978</v>
      </c>
      <c r="O63" s="402">
        <v>-95340</v>
      </c>
      <c r="P63" s="396">
        <v>-99902</v>
      </c>
      <c r="Q63" s="402">
        <v>-97458</v>
      </c>
      <c r="R63" s="396">
        <v>-107211</v>
      </c>
      <c r="S63" s="384">
        <f t="shared" si="23"/>
        <v>-4.7494290859394557E-2</v>
      </c>
      <c r="T63" s="402">
        <v>-106797</v>
      </c>
      <c r="U63" s="384">
        <f t="shared" si="29"/>
        <v>-4.6348941821330224E-2</v>
      </c>
      <c r="V63" s="384">
        <f t="shared" si="24"/>
        <v>-3.8615440579791251E-3</v>
      </c>
      <c r="W63" s="396">
        <f t="shared" si="25"/>
        <v>-401100</v>
      </c>
      <c r="X63" s="384">
        <f t="shared" si="26"/>
        <v>-4.6227571963340645E-2</v>
      </c>
      <c r="Y63" s="402">
        <f t="shared" si="27"/>
        <v>-399846</v>
      </c>
      <c r="Z63" s="407">
        <f t="shared" si="21"/>
        <v>-4.5982544743297875E-2</v>
      </c>
      <c r="AA63" s="384">
        <f t="shared" si="28"/>
        <v>-3.1264023934181001E-3</v>
      </c>
    </row>
    <row r="64" spans="1:27" ht="15.75" thickBot="1" x14ac:dyDescent="0.3">
      <c r="A64" s="392" t="s">
        <v>8</v>
      </c>
      <c r="B64" s="396">
        <v>-547935</v>
      </c>
      <c r="C64" s="384">
        <f t="shared" si="16"/>
        <v>-0.26039864728716061</v>
      </c>
      <c r="D64" s="402">
        <v>-563544</v>
      </c>
      <c r="E64" s="407">
        <f t="shared" si="17"/>
        <v>-0.27600041727417118</v>
      </c>
      <c r="F64" s="384">
        <f t="shared" si="18"/>
        <v>2.8486955569547483E-2</v>
      </c>
      <c r="G64" s="396">
        <v>-1128655</v>
      </c>
      <c r="H64" s="434">
        <f t="shared" si="19"/>
        <v>-0.26838978494431887</v>
      </c>
      <c r="I64" s="402">
        <v>-1188495</v>
      </c>
      <c r="J64" s="384">
        <f t="shared" si="20"/>
        <v>-0.28576007209310939</v>
      </c>
      <c r="K64" s="384">
        <f t="shared" si="22"/>
        <v>5.3018858730081379E-2</v>
      </c>
      <c r="L64" s="396">
        <v>-547935</v>
      </c>
      <c r="M64" s="402">
        <v>-563544</v>
      </c>
      <c r="N64" s="396">
        <v>-580720</v>
      </c>
      <c r="O64" s="402">
        <v>-624951</v>
      </c>
      <c r="P64" s="396">
        <v>-596608</v>
      </c>
      <c r="Q64" s="402">
        <v>-656668</v>
      </c>
      <c r="R64" s="396">
        <v>-659603</v>
      </c>
      <c r="S64" s="384">
        <f t="shared" si="23"/>
        <v>-0.29220300840146279</v>
      </c>
      <c r="T64" s="402">
        <v>-706711</v>
      </c>
      <c r="U64" s="384">
        <f t="shared" si="29"/>
        <v>-0.30670624665013163</v>
      </c>
      <c r="V64" s="384">
        <f t="shared" si="24"/>
        <v>7.1418717016144564E-2</v>
      </c>
      <c r="W64" s="396">
        <f t="shared" si="25"/>
        <v>-2384866</v>
      </c>
      <c r="X64" s="384">
        <f t="shared" si="26"/>
        <v>-0.27486054509579744</v>
      </c>
      <c r="Y64" s="402">
        <f t="shared" si="27"/>
        <v>-2551874</v>
      </c>
      <c r="Z64" s="407">
        <f t="shared" si="21"/>
        <v>-0.29346713580793238</v>
      </c>
      <c r="AA64" s="384">
        <f t="shared" si="28"/>
        <v>7.0028253159716308E-2</v>
      </c>
    </row>
    <row r="65" spans="1:27" ht="15.75" thickBot="1" x14ac:dyDescent="0.3">
      <c r="A65" s="392" t="s">
        <v>84</v>
      </c>
      <c r="B65" s="396">
        <v>-34692</v>
      </c>
      <c r="C65" s="384">
        <f t="shared" si="16"/>
        <v>-1.6486900584350657E-2</v>
      </c>
      <c r="D65" s="402">
        <v>-32942</v>
      </c>
      <c r="E65" s="407">
        <f t="shared" si="17"/>
        <v>-1.6133621768390307E-2</v>
      </c>
      <c r="F65" s="384">
        <f t="shared" si="18"/>
        <v>-5.0443906376109765E-2</v>
      </c>
      <c r="G65" s="396">
        <v>-69304</v>
      </c>
      <c r="H65" s="434">
        <f t="shared" si="19"/>
        <v>-1.6480222615219951E-2</v>
      </c>
      <c r="I65" s="402">
        <v>-66382</v>
      </c>
      <c r="J65" s="384">
        <f t="shared" si="20"/>
        <v>-1.5960795043887258E-2</v>
      </c>
      <c r="K65" s="384">
        <f t="shared" si="22"/>
        <v>-4.2162068567470852E-2</v>
      </c>
      <c r="L65" s="396">
        <v>-34692</v>
      </c>
      <c r="M65" s="402">
        <v>-32942</v>
      </c>
      <c r="N65" s="396">
        <v>-34612</v>
      </c>
      <c r="O65" s="402">
        <v>-33440</v>
      </c>
      <c r="P65" s="396">
        <v>-37705</v>
      </c>
      <c r="Q65" s="402">
        <v>-35038</v>
      </c>
      <c r="R65" s="396">
        <v>-40685</v>
      </c>
      <c r="S65" s="384">
        <f t="shared" si="23"/>
        <v>-1.802338588031515E-2</v>
      </c>
      <c r="T65" s="402">
        <v>-37668</v>
      </c>
      <c r="U65" s="384">
        <f t="shared" si="29"/>
        <v>-1.6347574749532919E-2</v>
      </c>
      <c r="V65" s="384">
        <f t="shared" si="24"/>
        <v>-7.4155094014993247E-2</v>
      </c>
      <c r="W65" s="396">
        <f t="shared" si="25"/>
        <v>-147694</v>
      </c>
      <c r="X65" s="384">
        <f t="shared" si="26"/>
        <v>-1.7022026959744786E-2</v>
      </c>
      <c r="Y65" s="402">
        <f t="shared" si="27"/>
        <v>-139088</v>
      </c>
      <c r="Z65" s="407">
        <f t="shared" si="21"/>
        <v>-1.5995208613455717E-2</v>
      </c>
      <c r="AA65" s="384">
        <f t="shared" si="28"/>
        <v>-5.8269123999620837E-2</v>
      </c>
    </row>
    <row r="66" spans="1:27" ht="15.75" thickBot="1" x14ac:dyDescent="0.3">
      <c r="A66" s="392" t="s">
        <v>197</v>
      </c>
      <c r="B66" s="396">
        <v>3848</v>
      </c>
      <c r="C66" s="384">
        <f t="shared" si="16"/>
        <v>1.8287096001551172E-3</v>
      </c>
      <c r="D66" s="402">
        <v>2176</v>
      </c>
      <c r="E66" s="407">
        <f t="shared" si="17"/>
        <v>1.0657143150997908E-3</v>
      </c>
      <c r="F66" s="384">
        <f t="shared" si="18"/>
        <v>-0.43451143451143454</v>
      </c>
      <c r="G66" s="396">
        <v>15786</v>
      </c>
      <c r="H66" s="434">
        <f t="shared" si="19"/>
        <v>3.7538496220111701E-3</v>
      </c>
      <c r="I66" s="402">
        <v>223</v>
      </c>
      <c r="J66" s="384">
        <f t="shared" si="20"/>
        <v>5.3617807459655608E-5</v>
      </c>
      <c r="K66" s="384">
        <f t="shared" si="22"/>
        <v>-0.98587355884961358</v>
      </c>
      <c r="L66" s="396">
        <v>3848</v>
      </c>
      <c r="M66" s="402">
        <v>2176</v>
      </c>
      <c r="N66" s="396">
        <v>11938</v>
      </c>
      <c r="O66" s="402">
        <v>-1953</v>
      </c>
      <c r="P66" s="396">
        <v>1152</v>
      </c>
      <c r="Q66" s="402">
        <v>1107</v>
      </c>
      <c r="R66" s="396">
        <v>-1065</v>
      </c>
      <c r="S66" s="384">
        <f t="shared" si="23"/>
        <v>-4.7179319067311377E-4</v>
      </c>
      <c r="T66" s="402">
        <v>-1075</v>
      </c>
      <c r="U66" s="384">
        <f t="shared" si="29"/>
        <v>-4.6654037527205815E-4</v>
      </c>
      <c r="V66" s="384">
        <f t="shared" si="24"/>
        <v>9.3896713615023476E-3</v>
      </c>
      <c r="W66" s="396">
        <f t="shared" si="25"/>
        <v>15873</v>
      </c>
      <c r="X66" s="384">
        <f t="shared" si="26"/>
        <v>1.8293947887661583E-3</v>
      </c>
      <c r="Y66" s="402">
        <f t="shared" si="27"/>
        <v>255</v>
      </c>
      <c r="Z66" s="407">
        <f t="shared" si="21"/>
        <v>2.9325162461400037E-5</v>
      </c>
      <c r="AA66" s="384">
        <f t="shared" si="28"/>
        <v>-0.98393498393498391</v>
      </c>
    </row>
    <row r="67" spans="1:27" ht="15.75" thickBot="1" x14ac:dyDescent="0.3">
      <c r="A67" s="392" t="s">
        <v>144</v>
      </c>
      <c r="B67" s="396">
        <v>1169</v>
      </c>
      <c r="C67" s="384">
        <f t="shared" si="16"/>
        <v>5.5555133123215493E-4</v>
      </c>
      <c r="D67" s="402">
        <v>7084</v>
      </c>
      <c r="E67" s="407">
        <f t="shared" si="17"/>
        <v>3.4694486250767083E-3</v>
      </c>
      <c r="F67" s="384" t="s">
        <v>131</v>
      </c>
      <c r="G67" s="396">
        <v>8556</v>
      </c>
      <c r="H67" s="434">
        <f t="shared" si="19"/>
        <v>2.0345836415765596E-3</v>
      </c>
      <c r="I67" s="402">
        <v>21592</v>
      </c>
      <c r="J67" s="384">
        <f t="shared" si="20"/>
        <v>5.1915502182461161E-3</v>
      </c>
      <c r="K67" s="384">
        <f t="shared" si="22"/>
        <v>1.5236091631603552</v>
      </c>
      <c r="L67" s="396">
        <v>1169</v>
      </c>
      <c r="M67" s="402">
        <v>7084</v>
      </c>
      <c r="N67" s="396">
        <v>7387</v>
      </c>
      <c r="O67" s="402">
        <v>14508</v>
      </c>
      <c r="P67" s="396">
        <v>8885</v>
      </c>
      <c r="Q67" s="402">
        <v>-43</v>
      </c>
      <c r="R67" s="396">
        <v>4708</v>
      </c>
      <c r="S67" s="384">
        <f t="shared" si="23"/>
        <v>2.0856360015859337E-3</v>
      </c>
      <c r="T67" s="402">
        <v>3560</v>
      </c>
      <c r="U67" s="384">
        <f t="shared" si="29"/>
        <v>1.5450081264823507E-3</v>
      </c>
      <c r="V67" s="384">
        <f t="shared" si="24"/>
        <v>-0.24384027187765506</v>
      </c>
      <c r="W67" s="396">
        <f t="shared" si="25"/>
        <v>22149</v>
      </c>
      <c r="X67" s="384">
        <f t="shared" si="26"/>
        <v>2.5527162588283021E-3</v>
      </c>
      <c r="Y67" s="402">
        <f t="shared" si="27"/>
        <v>25109</v>
      </c>
      <c r="Z67" s="407">
        <f t="shared" si="21"/>
        <v>2.8875509970325234E-3</v>
      </c>
      <c r="AA67" s="384">
        <f t="shared" si="28"/>
        <v>0.13364034493656599</v>
      </c>
    </row>
    <row r="68" spans="1:27" ht="15.75" thickBot="1" x14ac:dyDescent="0.3">
      <c r="A68" s="391" t="s">
        <v>198</v>
      </c>
      <c r="B68" s="395">
        <f>SUM(B62:B67)</f>
        <v>233287</v>
      </c>
      <c r="C68" s="387">
        <f t="shared" si="16"/>
        <v>0.11086646998216913</v>
      </c>
      <c r="D68" s="395">
        <f>SUM(D62:D67)</f>
        <v>203785</v>
      </c>
      <c r="E68" s="387">
        <f t="shared" si="17"/>
        <v>9.9805418980979249E-2</v>
      </c>
      <c r="F68" s="387">
        <f t="shared" si="18"/>
        <v>-0.12646225464770861</v>
      </c>
      <c r="G68" s="395">
        <v>438384</v>
      </c>
      <c r="H68" s="433">
        <f t="shared" si="19"/>
        <v>0.10424601626097459</v>
      </c>
      <c r="I68" s="395">
        <v>397383</v>
      </c>
      <c r="J68" s="387">
        <f t="shared" si="20"/>
        <v>9.5546211577310872E-2</v>
      </c>
      <c r="K68" s="387">
        <f t="shared" si="22"/>
        <v>-9.3527592247892255E-2</v>
      </c>
      <c r="L68" s="395">
        <v>233287</v>
      </c>
      <c r="M68" s="395">
        <f>SUM(M62:M67)</f>
        <v>203785</v>
      </c>
      <c r="N68" s="395">
        <f>SUM(N62:N67)</f>
        <v>205097</v>
      </c>
      <c r="O68" s="395">
        <f>SUM(O62:O67)</f>
        <v>193598</v>
      </c>
      <c r="P68" s="395">
        <v>209976</v>
      </c>
      <c r="Q68" s="395">
        <v>208119</v>
      </c>
      <c r="R68" s="395">
        <v>166611</v>
      </c>
      <c r="S68" s="387">
        <f t="shared" si="23"/>
        <v>7.3808389944824568E-2</v>
      </c>
      <c r="T68" s="395">
        <v>169023</v>
      </c>
      <c r="U68" s="387">
        <f t="shared" si="29"/>
        <v>7.3354468697310771E-2</v>
      </c>
      <c r="V68" s="387">
        <f t="shared" si="24"/>
        <v>1.4476835262977834E-2</v>
      </c>
      <c r="W68" s="395">
        <f t="shared" si="25"/>
        <v>814971</v>
      </c>
      <c r="X68" s="387">
        <f t="shared" si="26"/>
        <v>9.3927027051946374E-2</v>
      </c>
      <c r="Y68" s="395">
        <f t="shared" si="27"/>
        <v>774525</v>
      </c>
      <c r="Z68" s="387">
        <f t="shared" si="21"/>
        <v>8.9070868452611224E-2</v>
      </c>
      <c r="AA68" s="387">
        <f t="shared" si="28"/>
        <v>-4.9628759796360854E-2</v>
      </c>
    </row>
    <row r="69" spans="1:27" ht="15.75" thickBot="1" x14ac:dyDescent="0.3">
      <c r="A69" s="392" t="s">
        <v>51</v>
      </c>
      <c r="B69" s="396">
        <v>2165</v>
      </c>
      <c r="C69" s="384">
        <f t="shared" si="16"/>
        <v>1.0288867682785418E-3</v>
      </c>
      <c r="D69" s="402">
        <v>2452</v>
      </c>
      <c r="E69" s="407">
        <f t="shared" si="17"/>
        <v>1.2008876381547275E-3</v>
      </c>
      <c r="F69" s="384">
        <f t="shared" si="18"/>
        <v>0.13256351039260969</v>
      </c>
      <c r="G69" s="396">
        <v>4647</v>
      </c>
      <c r="H69" s="434">
        <f t="shared" si="19"/>
        <v>1.1050385907440713E-3</v>
      </c>
      <c r="I69" s="402">
        <v>6844</v>
      </c>
      <c r="J69" s="384">
        <f t="shared" si="20"/>
        <v>1.6455617679546322E-3</v>
      </c>
      <c r="K69" s="384">
        <f t="shared" si="22"/>
        <v>0.47277813643210675</v>
      </c>
      <c r="L69" s="396">
        <v>2165</v>
      </c>
      <c r="M69" s="402">
        <v>2452</v>
      </c>
      <c r="N69" s="396">
        <v>2482</v>
      </c>
      <c r="O69" s="402">
        <v>4392</v>
      </c>
      <c r="P69" s="396">
        <v>3061</v>
      </c>
      <c r="Q69" s="402">
        <v>3436</v>
      </c>
      <c r="R69" s="396">
        <v>3274</v>
      </c>
      <c r="S69" s="384">
        <f t="shared" si="23"/>
        <v>1.450376437806361E-3</v>
      </c>
      <c r="T69" s="402">
        <v>3661</v>
      </c>
      <c r="U69" s="384">
        <f t="shared" si="29"/>
        <v>1.5888412222055859E-3</v>
      </c>
      <c r="V69" s="384">
        <f t="shared" si="24"/>
        <v>0.11820403176542456</v>
      </c>
      <c r="W69" s="396">
        <f t="shared" si="25"/>
        <v>10982</v>
      </c>
      <c r="X69" s="384">
        <f t="shared" si="26"/>
        <v>1.2656973206218076E-3</v>
      </c>
      <c r="Y69" s="402">
        <f t="shared" si="27"/>
        <v>13941</v>
      </c>
      <c r="Z69" s="407">
        <f t="shared" si="21"/>
        <v>1.6032238818603055E-3</v>
      </c>
      <c r="AA69" s="384">
        <f t="shared" si="28"/>
        <v>0.26944090329630305</v>
      </c>
    </row>
    <row r="70" spans="1:27" ht="15.75" thickBot="1" x14ac:dyDescent="0.3">
      <c r="A70" s="392" t="s">
        <v>11</v>
      </c>
      <c r="B70" s="396">
        <v>-70846</v>
      </c>
      <c r="C70" s="384">
        <f t="shared" si="16"/>
        <v>-3.3668596760028438E-2</v>
      </c>
      <c r="D70" s="402">
        <v>-82389</v>
      </c>
      <c r="E70" s="407">
        <f t="shared" si="17"/>
        <v>-4.0350706207149201E-2</v>
      </c>
      <c r="F70" s="384">
        <f t="shared" si="18"/>
        <v>0.16293086412782656</v>
      </c>
      <c r="G70" s="396">
        <v>-152953</v>
      </c>
      <c r="H70" s="434">
        <f t="shared" si="19"/>
        <v>-3.6371630636986854E-2</v>
      </c>
      <c r="I70" s="402">
        <v>-167973</v>
      </c>
      <c r="J70" s="384">
        <f t="shared" si="20"/>
        <v>-4.0387192701438257E-2</v>
      </c>
      <c r="K70" s="384">
        <f t="shared" si="22"/>
        <v>9.8200100684524005E-2</v>
      </c>
      <c r="L70" s="396">
        <v>-70846</v>
      </c>
      <c r="M70" s="402">
        <v>-82389</v>
      </c>
      <c r="N70" s="396">
        <v>-82107</v>
      </c>
      <c r="O70" s="402">
        <v>-85584</v>
      </c>
      <c r="P70" s="396">
        <v>-85697</v>
      </c>
      <c r="Q70" s="402">
        <v>-71811</v>
      </c>
      <c r="R70" s="396">
        <v>-85987</v>
      </c>
      <c r="S70" s="384">
        <f t="shared" si="23"/>
        <v>-3.8092094916815991E-2</v>
      </c>
      <c r="T70" s="402">
        <v>-67764</v>
      </c>
      <c r="U70" s="384">
        <f t="shared" si="29"/>
        <v>-2.9408969292963487E-2</v>
      </c>
      <c r="V70" s="384">
        <f t="shared" si="24"/>
        <v>-0.21192738437205624</v>
      </c>
      <c r="W70" s="396">
        <f t="shared" si="25"/>
        <v>-324637</v>
      </c>
      <c r="X70" s="384">
        <f t="shared" si="26"/>
        <v>-3.7415059285622082E-2</v>
      </c>
      <c r="Y70" s="402">
        <f t="shared" si="27"/>
        <v>-307548</v>
      </c>
      <c r="Z70" s="407">
        <f t="shared" si="21"/>
        <v>-3.5368215939916306E-2</v>
      </c>
      <c r="AA70" s="384">
        <f t="shared" si="28"/>
        <v>-5.2640333664985814E-2</v>
      </c>
    </row>
    <row r="71" spans="1:27" ht="15.75" thickBot="1" x14ac:dyDescent="0.3">
      <c r="A71" s="392" t="s">
        <v>199</v>
      </c>
      <c r="B71" s="396">
        <v>50453</v>
      </c>
      <c r="C71" s="384">
        <f t="shared" si="16"/>
        <v>2.3977101210141925E-2</v>
      </c>
      <c r="D71" s="402">
        <v>54235</v>
      </c>
      <c r="E71" s="407">
        <f t="shared" si="17"/>
        <v>2.6562047738711927E-2</v>
      </c>
      <c r="F71" s="384">
        <f t="shared" si="18"/>
        <v>7.4960854656809309E-2</v>
      </c>
      <c r="G71" s="396">
        <v>50494</v>
      </c>
      <c r="H71" s="434">
        <f t="shared" si="19"/>
        <v>1.2007277512595466E-2</v>
      </c>
      <c r="I71" s="402">
        <v>54321</v>
      </c>
      <c r="J71" s="384">
        <f t="shared" si="20"/>
        <v>1.3060865107694853E-2</v>
      </c>
      <c r="K71" s="384">
        <f t="shared" si="22"/>
        <v>7.5791183110864663E-2</v>
      </c>
      <c r="L71" s="396">
        <v>50453</v>
      </c>
      <c r="M71" s="402">
        <v>54235</v>
      </c>
      <c r="N71" s="396">
        <v>41</v>
      </c>
      <c r="O71" s="402">
        <v>86</v>
      </c>
      <c r="P71" s="396">
        <v>0</v>
      </c>
      <c r="Q71" s="402">
        <v>0</v>
      </c>
      <c r="R71" s="396">
        <v>51</v>
      </c>
      <c r="S71" s="384">
        <f t="shared" si="23"/>
        <v>2.259291335617728E-5</v>
      </c>
      <c r="T71" s="402">
        <v>65</v>
      </c>
      <c r="U71" s="384">
        <f t="shared" si="29"/>
        <v>2.8209418039705842E-5</v>
      </c>
      <c r="V71" s="384">
        <f t="shared" si="24"/>
        <v>0.27450980392156865</v>
      </c>
      <c r="W71" s="396">
        <f t="shared" si="25"/>
        <v>50545</v>
      </c>
      <c r="X71" s="384">
        <f t="shared" si="26"/>
        <v>5.8254116800973647E-3</v>
      </c>
      <c r="Y71" s="402">
        <f t="shared" si="27"/>
        <v>54386</v>
      </c>
      <c r="Z71" s="407">
        <f t="shared" si="21"/>
        <v>6.2544246495125581E-3</v>
      </c>
      <c r="AA71" s="384">
        <f t="shared" si="28"/>
        <v>7.5991690572756954E-2</v>
      </c>
    </row>
    <row r="72" spans="1:27" ht="15.75" thickBot="1" x14ac:dyDescent="0.3">
      <c r="A72" s="392" t="s">
        <v>200</v>
      </c>
      <c r="B72" s="396">
        <v>-9738</v>
      </c>
      <c r="C72" s="384">
        <f t="shared" si="16"/>
        <v>-4.6278518935318428E-3</v>
      </c>
      <c r="D72" s="402">
        <v>-3118</v>
      </c>
      <c r="E72" s="407">
        <f t="shared" si="17"/>
        <v>-1.5270667437872921E-3</v>
      </c>
      <c r="F72" s="384">
        <f t="shared" si="18"/>
        <v>-0.67981104949681659</v>
      </c>
      <c r="G72" s="396">
        <v>-12353</v>
      </c>
      <c r="H72" s="434">
        <f t="shared" si="19"/>
        <v>-2.937495526460407E-3</v>
      </c>
      <c r="I72" s="402">
        <v>-4809</v>
      </c>
      <c r="J72" s="384">
        <f t="shared" si="20"/>
        <v>-1.1562692200604654E-3</v>
      </c>
      <c r="K72" s="384">
        <f t="shared" si="22"/>
        <v>-0.61070185380069619</v>
      </c>
      <c r="L72" s="396">
        <v>-9738</v>
      </c>
      <c r="M72" s="402">
        <v>-3118</v>
      </c>
      <c r="N72" s="396">
        <v>-2615</v>
      </c>
      <c r="O72" s="402">
        <v>-1691</v>
      </c>
      <c r="P72" s="396">
        <v>3685</v>
      </c>
      <c r="Q72" s="402">
        <v>-10725</v>
      </c>
      <c r="R72" s="396">
        <v>26</v>
      </c>
      <c r="S72" s="384">
        <f t="shared" si="23"/>
        <v>1.1517955828639397E-5</v>
      </c>
      <c r="T72" s="402">
        <v>-5867</v>
      </c>
      <c r="U72" s="384">
        <f t="shared" si="29"/>
        <v>-2.5462254713685259E-3</v>
      </c>
      <c r="V72" s="384" t="s">
        <v>131</v>
      </c>
      <c r="W72" s="396">
        <f t="shared" si="25"/>
        <v>-8642</v>
      </c>
      <c r="X72" s="384">
        <f t="shared" si="26"/>
        <v>-9.9600767117225095E-4</v>
      </c>
      <c r="Y72" s="402">
        <f t="shared" si="27"/>
        <v>-21401</v>
      </c>
      <c r="Z72" s="407">
        <f t="shared" si="21"/>
        <v>-2.4611286346526359E-3</v>
      </c>
      <c r="AA72" s="384">
        <f t="shared" si="28"/>
        <v>1.4763943531589909</v>
      </c>
    </row>
    <row r="73" spans="1:27" ht="16.5" customHeight="1" thickBot="1" x14ac:dyDescent="0.3">
      <c r="A73" s="392" t="s">
        <v>201</v>
      </c>
      <c r="B73" s="396">
        <v>-11041</v>
      </c>
      <c r="C73" s="384">
        <f t="shared" si="16"/>
        <v>-5.2470849000292741E-3</v>
      </c>
      <c r="D73" s="402">
        <v>0</v>
      </c>
      <c r="E73" s="407">
        <f t="shared" si="17"/>
        <v>0</v>
      </c>
      <c r="F73" s="384">
        <f t="shared" si="18"/>
        <v>-1</v>
      </c>
      <c r="G73" s="396">
        <v>-18527</v>
      </c>
      <c r="H73" s="434">
        <f t="shared" si="19"/>
        <v>-4.4056487993792571E-3</v>
      </c>
      <c r="I73" s="402">
        <v>0</v>
      </c>
      <c r="J73" s="384">
        <f t="shared" si="20"/>
        <v>0</v>
      </c>
      <c r="K73" s="384">
        <f t="shared" si="22"/>
        <v>-1</v>
      </c>
      <c r="L73" s="396">
        <v>-11041</v>
      </c>
      <c r="M73" s="402">
        <v>0</v>
      </c>
      <c r="N73" s="396">
        <v>-7486</v>
      </c>
      <c r="O73" s="402">
        <v>0</v>
      </c>
      <c r="P73" s="396">
        <v>-14419</v>
      </c>
      <c r="Q73" s="402">
        <v>0</v>
      </c>
      <c r="R73" s="396">
        <v>0</v>
      </c>
      <c r="S73" s="384">
        <f t="shared" si="23"/>
        <v>0</v>
      </c>
      <c r="T73" s="402">
        <v>0</v>
      </c>
      <c r="U73" s="384">
        <f t="shared" si="29"/>
        <v>0</v>
      </c>
      <c r="V73" s="384">
        <v>0</v>
      </c>
      <c r="W73" s="396">
        <f t="shared" si="25"/>
        <v>-32946</v>
      </c>
      <c r="X73" s="384">
        <f t="shared" si="26"/>
        <v>-3.7970919618654226E-3</v>
      </c>
      <c r="Y73" s="402">
        <f t="shared" si="27"/>
        <v>0</v>
      </c>
      <c r="Z73" s="407">
        <f t="shared" si="21"/>
        <v>0</v>
      </c>
      <c r="AA73" s="384">
        <f t="shared" si="28"/>
        <v>-1</v>
      </c>
    </row>
    <row r="74" spans="1:27" ht="15.75" thickBot="1" x14ac:dyDescent="0.3">
      <c r="A74" s="392" t="s">
        <v>202</v>
      </c>
      <c r="B74" s="398">
        <v>185</v>
      </c>
      <c r="C74" s="384">
        <f t="shared" si="16"/>
        <v>8.7918730776688329E-5</v>
      </c>
      <c r="D74" s="404">
        <v>-1600</v>
      </c>
      <c r="E74" s="407">
        <f t="shared" si="17"/>
        <v>-7.8361346698514029E-4</v>
      </c>
      <c r="F74" s="384" t="s">
        <v>131</v>
      </c>
      <c r="G74" s="398">
        <v>804</v>
      </c>
      <c r="H74" s="434">
        <f t="shared" si="19"/>
        <v>1.9118808413131768E-4</v>
      </c>
      <c r="I74" s="439">
        <v>1216</v>
      </c>
      <c r="J74" s="384">
        <f t="shared" si="20"/>
        <v>2.9237333574413102E-4</v>
      </c>
      <c r="K74" s="384">
        <f t="shared" si="22"/>
        <v>0.51243781094527363</v>
      </c>
      <c r="L74" s="398">
        <v>185</v>
      </c>
      <c r="M74" s="439">
        <v>-1600</v>
      </c>
      <c r="N74" s="398">
        <v>619</v>
      </c>
      <c r="O74" s="439">
        <v>2816</v>
      </c>
      <c r="P74" s="438">
        <v>1350</v>
      </c>
      <c r="Q74" s="439">
        <v>-1075</v>
      </c>
      <c r="R74" s="438">
        <v>3949</v>
      </c>
      <c r="S74" s="384">
        <f t="shared" si="23"/>
        <v>1.7494002910498838E-3</v>
      </c>
      <c r="T74" s="439">
        <v>5853</v>
      </c>
      <c r="U74" s="384">
        <f t="shared" si="29"/>
        <v>2.5401495967138196E-3</v>
      </c>
      <c r="V74" s="384">
        <f t="shared" si="24"/>
        <v>0.48214737908331223</v>
      </c>
      <c r="W74" s="438">
        <f t="shared" si="25"/>
        <v>6103</v>
      </c>
      <c r="X74" s="384">
        <f t="shared" si="26"/>
        <v>7.0338287632078775E-4</v>
      </c>
      <c r="Y74" s="404">
        <f t="shared" si="27"/>
        <v>5994</v>
      </c>
      <c r="Z74" s="407">
        <f t="shared" si="21"/>
        <v>6.8931381879855618E-4</v>
      </c>
      <c r="AA74" s="384">
        <f t="shared" si="28"/>
        <v>-1.7860068818613798E-2</v>
      </c>
    </row>
    <row r="75" spans="1:27" ht="15.75" thickBot="1" x14ac:dyDescent="0.3">
      <c r="A75" s="392" t="s">
        <v>252</v>
      </c>
      <c r="B75" s="398">
        <v>0</v>
      </c>
      <c r="C75" s="384">
        <f t="shared" si="16"/>
        <v>0</v>
      </c>
      <c r="D75" s="404">
        <v>0</v>
      </c>
      <c r="E75" s="407">
        <f t="shared" si="17"/>
        <v>0</v>
      </c>
      <c r="F75" s="384" t="s">
        <v>131</v>
      </c>
      <c r="G75" s="398">
        <v>0</v>
      </c>
      <c r="H75" s="434">
        <f t="shared" si="19"/>
        <v>0</v>
      </c>
      <c r="I75" s="404">
        <v>3313</v>
      </c>
      <c r="J75" s="384">
        <f t="shared" si="20"/>
        <v>7.9657307674367269E-4</v>
      </c>
      <c r="K75" s="384" t="s">
        <v>131</v>
      </c>
      <c r="L75" s="398">
        <v>0</v>
      </c>
      <c r="M75" s="404">
        <v>0</v>
      </c>
      <c r="N75" s="398">
        <v>0</v>
      </c>
      <c r="O75" s="404">
        <v>3313</v>
      </c>
      <c r="P75" s="398">
        <v>0</v>
      </c>
      <c r="Q75" s="404">
        <v>0</v>
      </c>
      <c r="R75" s="398">
        <v>28492</v>
      </c>
      <c r="S75" s="384">
        <f t="shared" si="23"/>
        <v>1.2621907594984372E-2</v>
      </c>
      <c r="T75" s="439">
        <v>-23</v>
      </c>
      <c r="U75" s="384">
        <f t="shared" si="29"/>
        <v>-9.9817940755882208E-6</v>
      </c>
      <c r="V75" s="384">
        <f t="shared" si="24"/>
        <v>-1.0008072441387057</v>
      </c>
      <c r="W75" s="438">
        <f t="shared" si="25"/>
        <v>28492</v>
      </c>
      <c r="X75" s="384">
        <f t="shared" si="26"/>
        <v>3.2837596120157114E-3</v>
      </c>
      <c r="Y75" s="404">
        <f t="shared" si="27"/>
        <v>3290</v>
      </c>
      <c r="Z75" s="407">
        <f t="shared" si="21"/>
        <v>3.7835209607061223E-4</v>
      </c>
      <c r="AA75" s="384" t="s">
        <v>131</v>
      </c>
    </row>
    <row r="76" spans="1:27" ht="15.75" thickBot="1" x14ac:dyDescent="0.3">
      <c r="A76" s="393" t="s">
        <v>204</v>
      </c>
      <c r="B76" s="397">
        <f>SUM(B68:B75)</f>
        <v>194465</v>
      </c>
      <c r="C76" s="386">
        <f t="shared" si="16"/>
        <v>9.2416843137776733E-2</v>
      </c>
      <c r="D76" s="403">
        <f>SUM(D68:D75)</f>
        <v>173365</v>
      </c>
      <c r="E76" s="408">
        <f t="shared" si="17"/>
        <v>8.4906967939924277E-2</v>
      </c>
      <c r="F76" s="386">
        <f t="shared" si="18"/>
        <v>-0.10850281541665595</v>
      </c>
      <c r="G76" s="397">
        <v>310496</v>
      </c>
      <c r="H76" s="435">
        <f t="shared" si="19"/>
        <v>7.3834745485618927E-2</v>
      </c>
      <c r="I76" s="403">
        <v>290295</v>
      </c>
      <c r="J76" s="386">
        <f t="shared" si="20"/>
        <v>6.9798122943949437E-2</v>
      </c>
      <c r="K76" s="386">
        <f t="shared" si="22"/>
        <v>-6.5060419457899615E-2</v>
      </c>
      <c r="L76" s="397">
        <v>194465</v>
      </c>
      <c r="M76" s="403">
        <f>SUM(M68:M75)</f>
        <v>173365</v>
      </c>
      <c r="N76" s="397">
        <f>SUM(N68:N75)</f>
        <v>116031</v>
      </c>
      <c r="O76" s="403">
        <f>SUM(O68:O75)</f>
        <v>116930</v>
      </c>
      <c r="P76" s="397">
        <v>117956</v>
      </c>
      <c r="Q76" s="403">
        <v>127944</v>
      </c>
      <c r="R76" s="397">
        <v>116416</v>
      </c>
      <c r="S76" s="386">
        <f t="shared" si="23"/>
        <v>5.1572090221034005E-2</v>
      </c>
      <c r="T76" s="403">
        <v>104948</v>
      </c>
      <c r="U76" s="386">
        <f t="shared" si="29"/>
        <v>4.5546492375862287E-2</v>
      </c>
      <c r="V76" s="386">
        <f t="shared" si="24"/>
        <v>-9.8508796041781199E-2</v>
      </c>
      <c r="W76" s="397">
        <f t="shared" si="25"/>
        <v>544868</v>
      </c>
      <c r="X76" s="386">
        <f t="shared" si="26"/>
        <v>6.2797119622342287E-2</v>
      </c>
      <c r="Y76" s="403">
        <f t="shared" si="27"/>
        <v>523187</v>
      </c>
      <c r="Z76" s="408">
        <f t="shared" si="21"/>
        <v>6.0166838324284315E-2</v>
      </c>
      <c r="AA76" s="386">
        <f t="shared" si="28"/>
        <v>-3.9791288899329744E-2</v>
      </c>
    </row>
    <row r="77" spans="1:27" ht="15.75" thickBot="1" x14ac:dyDescent="0.3">
      <c r="A77" s="392" t="s">
        <v>205</v>
      </c>
      <c r="B77" s="396">
        <v>-56024</v>
      </c>
      <c r="C77" s="384">
        <f t="shared" si="16"/>
        <v>-2.6624643097476686E-2</v>
      </c>
      <c r="D77" s="402">
        <v>-40723</v>
      </c>
      <c r="E77" s="407">
        <f t="shared" si="17"/>
        <v>-1.9944432010022415E-2</v>
      </c>
      <c r="F77" s="384">
        <f t="shared" si="18"/>
        <v>-0.27311509353134372</v>
      </c>
      <c r="G77" s="396">
        <v>-98207</v>
      </c>
      <c r="H77" s="434">
        <f t="shared" si="19"/>
        <v>-2.3353244002841188E-2</v>
      </c>
      <c r="I77" s="402">
        <v>-70437</v>
      </c>
      <c r="J77" s="384">
        <f t="shared" si="20"/>
        <v>-1.6935773560698485E-2</v>
      </c>
      <c r="K77" s="384">
        <f t="shared" si="22"/>
        <v>-0.28277006730681115</v>
      </c>
      <c r="L77" s="396">
        <v>-56024</v>
      </c>
      <c r="M77" s="402">
        <v>-40723</v>
      </c>
      <c r="N77" s="396">
        <v>-42183</v>
      </c>
      <c r="O77" s="402">
        <v>-29714</v>
      </c>
      <c r="P77" s="396">
        <v>-37516</v>
      </c>
      <c r="Q77" s="402">
        <v>-49440</v>
      </c>
      <c r="R77" s="396">
        <v>-37143</v>
      </c>
      <c r="S77" s="384">
        <f t="shared" si="23"/>
        <v>-1.6454285897813583E-2</v>
      </c>
      <c r="T77" s="402">
        <v>-25079</v>
      </c>
      <c r="U77" s="384">
        <f t="shared" si="29"/>
        <v>-1.0884061461812042E-2</v>
      </c>
      <c r="V77" s="384">
        <f t="shared" si="24"/>
        <v>-0.32479875077403547</v>
      </c>
      <c r="W77" s="396">
        <f t="shared" si="25"/>
        <v>-172866</v>
      </c>
      <c r="X77" s="384">
        <f t="shared" si="26"/>
        <v>-1.992314997510557E-2</v>
      </c>
      <c r="Y77" s="402">
        <f t="shared" si="27"/>
        <v>-144956</v>
      </c>
      <c r="Z77" s="407">
        <f t="shared" si="21"/>
        <v>-1.6670032351979228E-2</v>
      </c>
      <c r="AA77" s="384">
        <f t="shared" si="28"/>
        <v>-0.16145453704025084</v>
      </c>
    </row>
    <row r="78" spans="1:27" ht="15.75" thickBot="1" x14ac:dyDescent="0.3">
      <c r="A78" s="394" t="s">
        <v>206</v>
      </c>
      <c r="B78" s="399">
        <v>14256</v>
      </c>
      <c r="C78" s="385">
        <f t="shared" si="16"/>
        <v>6.7749698700133448E-3</v>
      </c>
      <c r="D78" s="405">
        <v>8078</v>
      </c>
      <c r="E78" s="409">
        <f t="shared" si="17"/>
        <v>3.9562684914412269E-3</v>
      </c>
      <c r="F78" s="385">
        <f t="shared" si="18"/>
        <v>-0.43336139169472504</v>
      </c>
      <c r="G78" s="399">
        <v>20959</v>
      </c>
      <c r="H78" s="436">
        <f t="shared" si="19"/>
        <v>4.9839689742640384E-3</v>
      </c>
      <c r="I78" s="405">
        <v>18677</v>
      </c>
      <c r="J78" s="385">
        <f t="shared" si="20"/>
        <v>4.4906717036950119E-3</v>
      </c>
      <c r="K78" s="385">
        <f t="shared" si="22"/>
        <v>-0.10887924042177585</v>
      </c>
      <c r="L78" s="399">
        <v>14256</v>
      </c>
      <c r="M78" s="405">
        <v>8078</v>
      </c>
      <c r="N78" s="399">
        <v>6703</v>
      </c>
      <c r="O78" s="405">
        <v>10599</v>
      </c>
      <c r="P78" s="399">
        <v>2620</v>
      </c>
      <c r="Q78" s="405">
        <v>11262</v>
      </c>
      <c r="R78" s="399">
        <v>5954</v>
      </c>
      <c r="S78" s="385">
        <f t="shared" si="23"/>
        <v>2.6376118847584221E-3</v>
      </c>
      <c r="T78" s="405">
        <v>17240</v>
      </c>
      <c r="U78" s="385">
        <f t="shared" si="29"/>
        <v>7.4820056462235182E-3</v>
      </c>
      <c r="V78" s="385">
        <f t="shared" si="24"/>
        <v>1.8955324151830701</v>
      </c>
      <c r="W78" s="399">
        <f t="shared" si="25"/>
        <v>29533</v>
      </c>
      <c r="X78" s="385">
        <f t="shared" si="26"/>
        <v>3.4037369304246805E-3</v>
      </c>
      <c r="Y78" s="405">
        <f t="shared" si="27"/>
        <v>47179</v>
      </c>
      <c r="Z78" s="409">
        <f t="shared" si="21"/>
        <v>5.425615057907421E-3</v>
      </c>
      <c r="AA78" s="385">
        <f t="shared" si="28"/>
        <v>0.59750110046388782</v>
      </c>
    </row>
    <row r="79" spans="1:27" ht="15.75" thickBot="1" x14ac:dyDescent="0.3">
      <c r="A79" s="393" t="s">
        <v>207</v>
      </c>
      <c r="B79" s="397">
        <f>SUM(B76:B78)</f>
        <v>152697</v>
      </c>
      <c r="C79" s="386">
        <f t="shared" si="16"/>
        <v>7.2567169910313395E-2</v>
      </c>
      <c r="D79" s="403">
        <f>SUM(D76:D78)</f>
        <v>140720</v>
      </c>
      <c r="E79" s="408">
        <f t="shared" si="17"/>
        <v>6.8918804421343086E-2</v>
      </c>
      <c r="F79" s="386">
        <f t="shared" si="18"/>
        <v>-7.8436380544476977E-2</v>
      </c>
      <c r="G79" s="397">
        <v>233248</v>
      </c>
      <c r="H79" s="435">
        <f t="shared" si="19"/>
        <v>5.5465470457041775E-2</v>
      </c>
      <c r="I79" s="403">
        <v>238535</v>
      </c>
      <c r="J79" s="386">
        <f t="shared" si="20"/>
        <v>5.7353021086945961E-2</v>
      </c>
      <c r="K79" s="386">
        <f t="shared" si="22"/>
        <v>2.2666861023460008E-2</v>
      </c>
      <c r="L79" s="397">
        <v>152697</v>
      </c>
      <c r="M79" s="403">
        <f>SUM(M76:M78)</f>
        <v>140720</v>
      </c>
      <c r="N79" s="397">
        <f>SUM(N76:N78)</f>
        <v>80551</v>
      </c>
      <c r="O79" s="403">
        <f>SUM(O76:O78)</f>
        <v>97815</v>
      </c>
      <c r="P79" s="397">
        <v>83060</v>
      </c>
      <c r="Q79" s="403">
        <v>89766</v>
      </c>
      <c r="R79" s="397">
        <v>85227</v>
      </c>
      <c r="S79" s="386">
        <f t="shared" si="23"/>
        <v>3.7755416207978842E-2</v>
      </c>
      <c r="T79" s="403">
        <v>97109</v>
      </c>
      <c r="U79" s="386">
        <f t="shared" si="29"/>
        <v>4.2144436560273758E-2</v>
      </c>
      <c r="V79" s="386">
        <f t="shared" si="24"/>
        <v>0.13941591279758761</v>
      </c>
      <c r="W79" s="397">
        <f t="shared" si="25"/>
        <v>401535</v>
      </c>
      <c r="X79" s="386">
        <f t="shared" si="26"/>
        <v>4.62777065776614E-2</v>
      </c>
      <c r="Y79" s="403">
        <f t="shared" si="27"/>
        <v>425410</v>
      </c>
      <c r="Z79" s="408">
        <f t="shared" si="21"/>
        <v>4.8922421030212507E-2</v>
      </c>
      <c r="AA79" s="386">
        <f t="shared" si="28"/>
        <v>5.9459324840922957E-2</v>
      </c>
    </row>
    <row r="80" spans="1:27" ht="15.75" thickBot="1" x14ac:dyDescent="0.3">
      <c r="A80" s="392" t="s">
        <v>208</v>
      </c>
      <c r="B80" s="398">
        <v>-164</v>
      </c>
      <c r="C80" s="384">
        <f t="shared" si="16"/>
        <v>-7.7938766742577752E-5</v>
      </c>
      <c r="D80" s="404">
        <v>-892</v>
      </c>
      <c r="E80" s="407">
        <f t="shared" si="17"/>
        <v>-4.3686450784421571E-4</v>
      </c>
      <c r="F80" s="384" t="s">
        <v>131</v>
      </c>
      <c r="G80" s="398">
        <v>-247</v>
      </c>
      <c r="H80" s="434">
        <f t="shared" si="19"/>
        <v>-5.8735642761735654E-5</v>
      </c>
      <c r="I80" s="404">
        <v>-1034</v>
      </c>
      <c r="J80" s="384">
        <f t="shared" si="20"/>
        <v>-2.4861351082190091E-4</v>
      </c>
      <c r="K80" s="384">
        <f t="shared" si="22"/>
        <v>3.1862348178137654</v>
      </c>
      <c r="L80" s="398">
        <v>-164</v>
      </c>
      <c r="M80" s="404">
        <v>-892</v>
      </c>
      <c r="N80" s="398">
        <v>-83</v>
      </c>
      <c r="O80" s="404">
        <v>-142</v>
      </c>
      <c r="P80" s="398">
        <v>55</v>
      </c>
      <c r="Q80" s="404">
        <v>-141</v>
      </c>
      <c r="R80" s="398">
        <v>-1652</v>
      </c>
      <c r="S80" s="384">
        <f t="shared" si="23"/>
        <v>-7.318331934197032E-4</v>
      </c>
      <c r="T80" s="404">
        <v>105</v>
      </c>
      <c r="U80" s="384">
        <f t="shared" si="29"/>
        <v>4.5569059910294048E-5</v>
      </c>
      <c r="V80" s="384">
        <f t="shared" si="24"/>
        <v>-1.0635593220338984</v>
      </c>
      <c r="W80" s="398">
        <f t="shared" si="25"/>
        <v>-1844</v>
      </c>
      <c r="X80" s="384">
        <f t="shared" si="26"/>
        <v>-2.1252466392520606E-4</v>
      </c>
      <c r="Y80" s="404">
        <f t="shared" si="27"/>
        <v>-1070</v>
      </c>
      <c r="Z80" s="407">
        <f t="shared" si="21"/>
        <v>-1.2305068170077662E-4</v>
      </c>
      <c r="AA80" s="384" t="s">
        <v>131</v>
      </c>
    </row>
    <row r="81" spans="1:27" ht="15.75" thickBot="1" x14ac:dyDescent="0.3">
      <c r="A81" s="391" t="s">
        <v>209</v>
      </c>
      <c r="B81" s="395">
        <f>SUM(B79:B80)</f>
        <v>152533</v>
      </c>
      <c r="C81" s="387">
        <f t="shared" si="16"/>
        <v>7.2489231143570809E-2</v>
      </c>
      <c r="D81" s="395">
        <f>SUM(D79:D80)</f>
        <v>139828</v>
      </c>
      <c r="E81" s="387">
        <f t="shared" si="17"/>
        <v>6.8481939913498865E-2</v>
      </c>
      <c r="F81" s="387">
        <f t="shared" si="18"/>
        <v>-8.3293451253171447E-2</v>
      </c>
      <c r="G81" s="395">
        <v>233001</v>
      </c>
      <c r="H81" s="433">
        <f t="shared" si="19"/>
        <v>5.5406734814280038E-2</v>
      </c>
      <c r="I81" s="395">
        <v>237501</v>
      </c>
      <c r="J81" s="387">
        <f t="shared" si="20"/>
        <v>5.7104407576124061E-2</v>
      </c>
      <c r="K81" s="387">
        <f t="shared" si="22"/>
        <v>1.9313221831665957E-2</v>
      </c>
      <c r="L81" s="395">
        <v>152533</v>
      </c>
      <c r="M81" s="395">
        <f>SUM(M79:M80)</f>
        <v>139828</v>
      </c>
      <c r="N81" s="395">
        <f>SUM(N79:N80)</f>
        <v>80468</v>
      </c>
      <c r="O81" s="395">
        <f>SUM(O79:O80)</f>
        <v>97673</v>
      </c>
      <c r="P81" s="395">
        <v>83115</v>
      </c>
      <c r="Q81" s="395">
        <v>89625</v>
      </c>
      <c r="R81" s="395">
        <v>83575</v>
      </c>
      <c r="S81" s="387">
        <f t="shared" si="23"/>
        <v>3.7023583014559137E-2</v>
      </c>
      <c r="T81" s="395">
        <v>97214</v>
      </c>
      <c r="U81" s="387">
        <f t="shared" si="29"/>
        <v>4.2190005620184053E-2</v>
      </c>
      <c r="V81" s="387">
        <f>(T81-R81)/R81</f>
        <v>0.1631947352677236</v>
      </c>
      <c r="W81" s="395">
        <f t="shared" si="25"/>
        <v>399691</v>
      </c>
      <c r="X81" s="387">
        <f t="shared" si="26"/>
        <v>4.6065181913736195E-2</v>
      </c>
      <c r="Y81" s="395">
        <f t="shared" si="27"/>
        <v>424340</v>
      </c>
      <c r="Z81" s="387">
        <f t="shared" si="21"/>
        <v>4.8799370348511728E-2</v>
      </c>
      <c r="AA81" s="387">
        <f t="shared" si="28"/>
        <v>6.1670140183291595E-2</v>
      </c>
    </row>
    <row r="82" spans="1:27" x14ac:dyDescent="0.25">
      <c r="A82" s="289"/>
      <c r="B82" s="291"/>
      <c r="C82" s="292"/>
      <c r="D82" s="294"/>
      <c r="E82" s="292"/>
      <c r="F82" s="292"/>
      <c r="G82" s="291"/>
      <c r="H82" s="427"/>
      <c r="I82" s="294"/>
      <c r="M82" s="294"/>
    </row>
    <row r="83" spans="1:27" x14ac:dyDescent="0.25">
      <c r="A83" s="295" t="s">
        <v>210</v>
      </c>
      <c r="B83" s="297"/>
      <c r="C83" s="298"/>
      <c r="D83" s="300"/>
      <c r="E83" s="298"/>
      <c r="F83" s="298"/>
      <c r="G83" s="297"/>
      <c r="H83" s="428"/>
      <c r="I83" s="300"/>
      <c r="M83" s="300"/>
    </row>
    <row r="84" spans="1:27" ht="15.75" thickBot="1" x14ac:dyDescent="0.3">
      <c r="A84" s="301" t="s">
        <v>211</v>
      </c>
      <c r="B84" s="274">
        <v>151672</v>
      </c>
      <c r="C84" s="384">
        <f>+B84/$B$60</f>
        <v>7.2080052618172283E-2</v>
      </c>
      <c r="D84" s="373">
        <v>139150</v>
      </c>
      <c r="E84" s="366">
        <f>+D84/$D$60</f>
        <v>6.8149883706863909E-2</v>
      </c>
      <c r="F84" s="384">
        <f>(D84-B84)/B84</f>
        <v>-8.2559734163194259E-2</v>
      </c>
      <c r="G84" s="396">
        <v>231084</v>
      </c>
      <c r="H84" s="448">
        <f>+G84/$G$60</f>
        <v>5.4950879643534095E-2</v>
      </c>
      <c r="I84" s="373">
        <v>235679</v>
      </c>
      <c r="J84" s="384">
        <f>+I84/$I$60</f>
        <v>5.6666328449704817E-2</v>
      </c>
      <c r="K84" s="384">
        <f t="shared" si="22"/>
        <v>1.9884544148448185E-2</v>
      </c>
      <c r="L84" s="274">
        <v>151672</v>
      </c>
      <c r="M84" s="373">
        <v>139150</v>
      </c>
      <c r="N84" s="274">
        <v>79412</v>
      </c>
      <c r="O84" s="373">
        <v>96529</v>
      </c>
      <c r="P84" s="274">
        <v>81993</v>
      </c>
      <c r="Q84" s="373">
        <v>88579</v>
      </c>
      <c r="R84" s="274">
        <v>82657</v>
      </c>
      <c r="S84" s="384">
        <f t="shared" si="23"/>
        <v>3.6616910574147947E-2</v>
      </c>
      <c r="T84" s="373">
        <v>95949</v>
      </c>
      <c r="U84" s="384">
        <f>+T84/$T$60</f>
        <v>4.1641006946026703E-2</v>
      </c>
      <c r="V84" s="384">
        <f t="shared" si="24"/>
        <v>0.16080912687370699</v>
      </c>
      <c r="W84" s="274">
        <f t="shared" si="25"/>
        <v>395734</v>
      </c>
      <c r="X84" s="384">
        <f>+W84/$W$60</f>
        <v>4.5609129801397773E-2</v>
      </c>
      <c r="Y84" s="373">
        <f t="shared" si="27"/>
        <v>420207</v>
      </c>
      <c r="Z84" s="366">
        <f>+Y84/$Y$60</f>
        <v>4.8324072715362841E-2</v>
      </c>
      <c r="AA84" s="384">
        <f>(Y84-W84)/W84</f>
        <v>6.1842045414343981E-2</v>
      </c>
    </row>
    <row r="85" spans="1:27" ht="15.75" thickBot="1" x14ac:dyDescent="0.3">
      <c r="A85" s="303" t="s">
        <v>188</v>
      </c>
      <c r="B85" s="304">
        <v>861</v>
      </c>
      <c r="C85" s="385">
        <f>+B85/$B$60</f>
        <v>4.0917852539853322E-4</v>
      </c>
      <c r="D85" s="374">
        <v>678</v>
      </c>
      <c r="E85" s="368">
        <f>+D85/$D$60</f>
        <v>3.3205620663495319E-4</v>
      </c>
      <c r="F85" s="385">
        <f>(D85-B85)/B85</f>
        <v>-0.21254355400696864</v>
      </c>
      <c r="G85" s="447">
        <v>1917</v>
      </c>
      <c r="H85" s="449">
        <f>+G85/$G$60</f>
        <v>4.558551707459403E-4</v>
      </c>
      <c r="I85" s="374">
        <v>1822</v>
      </c>
      <c r="J85" s="385">
        <f>+I85/$I$60</f>
        <v>4.3807912641924895E-4</v>
      </c>
      <c r="K85" s="385">
        <f t="shared" si="22"/>
        <v>-4.9556598852373498E-2</v>
      </c>
      <c r="L85" s="304">
        <v>861</v>
      </c>
      <c r="M85" s="374">
        <v>678</v>
      </c>
      <c r="N85" s="304">
        <v>1056</v>
      </c>
      <c r="O85" s="374">
        <v>1144</v>
      </c>
      <c r="P85" s="437">
        <v>1122</v>
      </c>
      <c r="Q85" s="374">
        <v>1046</v>
      </c>
      <c r="R85" s="437">
        <v>918</v>
      </c>
      <c r="S85" s="385">
        <f t="shared" si="23"/>
        <v>4.0667244041119104E-4</v>
      </c>
      <c r="T85" s="374">
        <v>1265</v>
      </c>
      <c r="U85" s="385">
        <f>+T85/$T$60</f>
        <v>5.489986741573521E-4</v>
      </c>
      <c r="V85" s="385">
        <f t="shared" si="24"/>
        <v>0.37799564270152508</v>
      </c>
      <c r="W85" s="304">
        <f t="shared" si="25"/>
        <v>3957</v>
      </c>
      <c r="X85" s="385">
        <f>+W85/$W$60</f>
        <v>4.560521123384167E-4</v>
      </c>
      <c r="Y85" s="374">
        <f>+M85+O85+Q85+T85</f>
        <v>4133</v>
      </c>
      <c r="Z85" s="368">
        <f>+Y85/$Y$60</f>
        <v>4.7529763314888766E-4</v>
      </c>
      <c r="AA85" s="385">
        <f>(Y85-W85)/W85</f>
        <v>4.4478140005054331E-2</v>
      </c>
    </row>
    <row r="86" spans="1:27" ht="15.75" thickBot="1" x14ac:dyDescent="0.3">
      <c r="A86" s="306" t="s">
        <v>212</v>
      </c>
      <c r="B86" s="278">
        <f>SUM(B84:B85)</f>
        <v>152533</v>
      </c>
      <c r="C86" s="386">
        <f>+B86/$B$60</f>
        <v>7.2489231143570809E-2</v>
      </c>
      <c r="D86" s="375">
        <f>SUM(D84:D85)</f>
        <v>139828</v>
      </c>
      <c r="E86" s="367">
        <f>+D86/$D$60</f>
        <v>6.8481939913498865E-2</v>
      </c>
      <c r="F86" s="386">
        <f>(D86-B86)/B86</f>
        <v>-8.3293451253171447E-2</v>
      </c>
      <c r="G86" s="397">
        <v>233001</v>
      </c>
      <c r="H86" s="450">
        <f>+G86/$G$60</f>
        <v>5.5406734814280038E-2</v>
      </c>
      <c r="I86" s="375">
        <v>237501</v>
      </c>
      <c r="J86" s="386">
        <f>+I86/$I$60</f>
        <v>5.7104407576124061E-2</v>
      </c>
      <c r="K86" s="386">
        <f t="shared" si="22"/>
        <v>1.9313221831665957E-2</v>
      </c>
      <c r="L86" s="278">
        <v>152533</v>
      </c>
      <c r="M86" s="375">
        <f>SUM(M84:M85)</f>
        <v>139828</v>
      </c>
      <c r="N86" s="278">
        <f>SUM(N84:N85)</f>
        <v>80468</v>
      </c>
      <c r="O86" s="375">
        <f>SUM(O84:O85)</f>
        <v>97673</v>
      </c>
      <c r="P86" s="278">
        <v>83115</v>
      </c>
      <c r="Q86" s="375">
        <f>SUM(Q84:Q85)</f>
        <v>89625</v>
      </c>
      <c r="R86" s="278">
        <f>SUM(R84:R85)</f>
        <v>83575</v>
      </c>
      <c r="S86" s="386">
        <f t="shared" si="23"/>
        <v>3.7023583014559137E-2</v>
      </c>
      <c r="T86" s="375">
        <f>SUM(T84:T85)</f>
        <v>97214</v>
      </c>
      <c r="U86" s="386">
        <f>+T86/$T$60</f>
        <v>4.2190005620184053E-2</v>
      </c>
      <c r="V86" s="386">
        <f t="shared" si="24"/>
        <v>0.1631947352677236</v>
      </c>
      <c r="W86" s="278">
        <f t="shared" si="25"/>
        <v>399691</v>
      </c>
      <c r="X86" s="386">
        <f>+W86/$W$60</f>
        <v>4.6065181913736195E-2</v>
      </c>
      <c r="Y86" s="375">
        <f t="shared" si="27"/>
        <v>424340</v>
      </c>
      <c r="Z86" s="367">
        <f>+Y86/$Y$60</f>
        <v>4.8799370348511728E-2</v>
      </c>
      <c r="AA86" s="386">
        <f>(Y86-W86)/W86</f>
        <v>6.1670140183291595E-2</v>
      </c>
    </row>
    <row r="87" spans="1:27" ht="15.75" thickBot="1" x14ac:dyDescent="0.3">
      <c r="A87" s="369" t="s">
        <v>213</v>
      </c>
      <c r="B87" s="370">
        <v>280995</v>
      </c>
      <c r="C87" s="387">
        <f>+B87/$B$60</f>
        <v>0.13353904732213803</v>
      </c>
      <c r="D87" s="372">
        <v>264549</v>
      </c>
      <c r="E87" s="371">
        <f>+D87/$D$60</f>
        <v>0.12956509942340741</v>
      </c>
      <c r="F87" s="387">
        <f>(D87-B87)/B87</f>
        <v>-5.8527731810174559E-2</v>
      </c>
      <c r="G87" s="395">
        <v>534203</v>
      </c>
      <c r="H87" s="451">
        <f>+G87/$G$60</f>
        <v>0.12703140311841082</v>
      </c>
      <c r="I87" s="372">
        <v>527210</v>
      </c>
      <c r="J87" s="387">
        <f>+I87/$I$60</f>
        <v>0.12676163350136785</v>
      </c>
      <c r="K87" s="387">
        <f t="shared" si="22"/>
        <v>-1.3090529255732371E-2</v>
      </c>
      <c r="L87" s="370">
        <v>280995</v>
      </c>
      <c r="M87" s="372">
        <v>264549</v>
      </c>
      <c r="N87" s="370">
        <v>253208</v>
      </c>
      <c r="O87" s="372">
        <v>262661</v>
      </c>
      <c r="P87" s="370">
        <v>266125</v>
      </c>
      <c r="Q87" s="372">
        <v>273008</v>
      </c>
      <c r="R87" s="370">
        <v>228625</v>
      </c>
      <c r="S87" s="387">
        <f t="shared" si="23"/>
        <v>0.10128048658933393</v>
      </c>
      <c r="T87" s="372">
        <v>243961</v>
      </c>
      <c r="U87" s="387">
        <f>+T87/$T$60</f>
        <v>0.10587688975976425</v>
      </c>
      <c r="V87" s="387">
        <f t="shared" si="24"/>
        <v>6.7079278294149808E-2</v>
      </c>
      <c r="W87" s="370">
        <f t="shared" si="25"/>
        <v>1028953</v>
      </c>
      <c r="X87" s="387">
        <f>+W87/$W$60</f>
        <v>0.11858887772225193</v>
      </c>
      <c r="Y87" s="372">
        <f t="shared" si="27"/>
        <v>1044179</v>
      </c>
      <c r="Z87" s="371">
        <f>+Y87/$Y$60</f>
        <v>0.12008125025012639</v>
      </c>
      <c r="AA87" s="387">
        <f>(Y87-W87)/W87</f>
        <v>1.479756606958724E-2</v>
      </c>
    </row>
  </sheetData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D15 G15 G26 D36 D43 D49 G36:G44 J15 J26 J36 J43 G49 J49 C76:C81" formula="1"/>
  </ignoredErrors>
  <drawing r:id="rId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4"/>
  <sheetViews>
    <sheetView topLeftCell="A65" zoomScaleNormal="100" workbookViewId="0">
      <selection activeCell="A70" sqref="A70"/>
    </sheetView>
  </sheetViews>
  <sheetFormatPr baseColWidth="10" defaultColWidth="11.42578125" defaultRowHeight="15" x14ac:dyDescent="0.25"/>
  <cols>
    <col min="1" max="1" width="50.85546875" style="229" bestFit="1" customWidth="1"/>
    <col min="2" max="6" width="11.42578125" style="229" customWidth="1"/>
    <col min="7" max="16384" width="11.42578125" style="229"/>
  </cols>
  <sheetData>
    <row r="1" spans="1:5" ht="18.75" x14ac:dyDescent="0.3">
      <c r="A1" s="228" t="s">
        <v>157</v>
      </c>
      <c r="B1" s="362"/>
      <c r="C1" s="362"/>
      <c r="D1" s="362"/>
      <c r="E1" s="362"/>
    </row>
    <row r="2" spans="1:5" x14ac:dyDescent="0.25">
      <c r="A2" s="332" t="s">
        <v>269</v>
      </c>
      <c r="B2" s="362"/>
      <c r="C2" s="362"/>
      <c r="D2" s="362"/>
      <c r="E2" s="362"/>
    </row>
    <row r="3" spans="1:5" x14ac:dyDescent="0.25">
      <c r="A3" s="332" t="s">
        <v>88</v>
      </c>
      <c r="B3" s="362"/>
      <c r="C3" s="362"/>
      <c r="D3" s="362"/>
      <c r="E3" s="362"/>
    </row>
    <row r="4" spans="1:5" x14ac:dyDescent="0.25">
      <c r="A4" s="231" t="s">
        <v>159</v>
      </c>
      <c r="B4" s="362"/>
      <c r="C4" s="362"/>
      <c r="D4" s="362"/>
      <c r="E4" s="362"/>
    </row>
    <row r="5" spans="1:5" ht="15.75" thickBot="1" x14ac:dyDescent="0.3"/>
    <row r="6" spans="1:5" ht="23.25" thickBot="1" x14ac:dyDescent="0.3">
      <c r="A6" s="337"/>
      <c r="B6" s="338" t="s">
        <v>267</v>
      </c>
      <c r="C6" s="410" t="s">
        <v>268</v>
      </c>
      <c r="D6" s="420" t="s">
        <v>140</v>
      </c>
    </row>
    <row r="7" spans="1:5" ht="15.75" thickTop="1" x14ac:dyDescent="0.25">
      <c r="A7" s="376" t="s">
        <v>20</v>
      </c>
      <c r="B7" s="377"/>
      <c r="C7" s="411"/>
      <c r="D7" s="411"/>
    </row>
    <row r="8" spans="1:5" x14ac:dyDescent="0.25">
      <c r="A8" s="378" t="s">
        <v>160</v>
      </c>
      <c r="B8" s="379"/>
      <c r="C8" s="412"/>
      <c r="D8" s="421"/>
    </row>
    <row r="9" spans="1:5" ht="15.75" thickBot="1" x14ac:dyDescent="0.3">
      <c r="A9" s="240" t="s">
        <v>161</v>
      </c>
      <c r="B9" s="242">
        <v>435643</v>
      </c>
      <c r="C9" s="413">
        <v>301229</v>
      </c>
      <c r="D9" s="422">
        <f t="shared" ref="D9:D15" si="0">(C9-B9)/B9</f>
        <v>-0.30854162697438042</v>
      </c>
    </row>
    <row r="10" spans="1:5" ht="15.75" thickBot="1" x14ac:dyDescent="0.3">
      <c r="A10" s="240" t="s">
        <v>162</v>
      </c>
      <c r="B10" s="242">
        <v>957568</v>
      </c>
      <c r="C10" s="413">
        <v>971734</v>
      </c>
      <c r="D10" s="422">
        <f t="shared" si="0"/>
        <v>1.4793727442855233E-2</v>
      </c>
    </row>
    <row r="11" spans="1:5" ht="15.75" thickBot="1" x14ac:dyDescent="0.3">
      <c r="A11" s="240" t="s">
        <v>36</v>
      </c>
      <c r="B11" s="242">
        <v>982816</v>
      </c>
      <c r="C11" s="413">
        <v>993585</v>
      </c>
      <c r="D11" s="422">
        <f t="shared" si="0"/>
        <v>1.095729007260769E-2</v>
      </c>
    </row>
    <row r="12" spans="1:5" ht="15.75" thickBot="1" x14ac:dyDescent="0.3">
      <c r="A12" s="240" t="s">
        <v>163</v>
      </c>
      <c r="B12" s="242">
        <v>81518</v>
      </c>
      <c r="C12" s="413">
        <v>79715</v>
      </c>
      <c r="D12" s="422">
        <f t="shared" si="0"/>
        <v>-2.211781447042371E-2</v>
      </c>
    </row>
    <row r="13" spans="1:5" ht="15.75" thickBot="1" x14ac:dyDescent="0.3">
      <c r="A13" s="240" t="s">
        <v>164</v>
      </c>
      <c r="B13" s="242">
        <v>221475</v>
      </c>
      <c r="C13" s="413">
        <v>244400</v>
      </c>
      <c r="D13" s="422">
        <f t="shared" si="0"/>
        <v>0.10351055423862739</v>
      </c>
    </row>
    <row r="14" spans="1:5" ht="15.75" thickBot="1" x14ac:dyDescent="0.3">
      <c r="A14" s="245" t="s">
        <v>165</v>
      </c>
      <c r="B14" s="247">
        <v>6557</v>
      </c>
      <c r="C14" s="414">
        <v>6385</v>
      </c>
      <c r="D14" s="422">
        <f t="shared" si="0"/>
        <v>-2.6231508311727925E-2</v>
      </c>
    </row>
    <row r="15" spans="1:5" ht="15.75" thickBot="1" x14ac:dyDescent="0.3">
      <c r="A15" s="249" t="s">
        <v>166</v>
      </c>
      <c r="B15" s="250">
        <f>SUM(B9:B14)</f>
        <v>2685577</v>
      </c>
      <c r="C15" s="415">
        <f>SUM(C9:C14)</f>
        <v>2597048</v>
      </c>
      <c r="D15" s="422">
        <f t="shared" si="0"/>
        <v>-3.2964610584615521E-2</v>
      </c>
    </row>
    <row r="16" spans="1:5" x14ac:dyDescent="0.25">
      <c r="A16" s="378" t="s">
        <v>167</v>
      </c>
      <c r="B16" s="379"/>
      <c r="C16" s="412"/>
      <c r="D16" s="421"/>
    </row>
    <row r="17" spans="1:4" ht="15.75" thickBot="1" x14ac:dyDescent="0.3">
      <c r="A17" s="240" t="s">
        <v>162</v>
      </c>
      <c r="B17" s="242">
        <v>26509</v>
      </c>
      <c r="C17" s="413">
        <v>25388</v>
      </c>
      <c r="D17" s="422">
        <f t="shared" ref="D17:D27" si="1">(C17-B17)/B17</f>
        <v>-4.2287524991512317E-2</v>
      </c>
    </row>
    <row r="18" spans="1:4" ht="15.75" thickBot="1" x14ac:dyDescent="0.3">
      <c r="A18" s="240" t="s">
        <v>169</v>
      </c>
      <c r="B18" s="242">
        <v>180451</v>
      </c>
      <c r="C18" s="413">
        <v>176658</v>
      </c>
      <c r="D18" s="422">
        <f t="shared" si="1"/>
        <v>-2.1019556555519226E-2</v>
      </c>
    </row>
    <row r="19" spans="1:4" ht="15.75" thickBot="1" x14ac:dyDescent="0.3">
      <c r="A19" s="240" t="s">
        <v>170</v>
      </c>
      <c r="B19" s="242">
        <v>4133963</v>
      </c>
      <c r="C19" s="413">
        <v>3718895</v>
      </c>
      <c r="D19" s="422">
        <f t="shared" si="1"/>
        <v>-0.10040438194536333</v>
      </c>
    </row>
    <row r="20" spans="1:4" ht="15.75" thickBot="1" x14ac:dyDescent="0.3">
      <c r="A20" s="240" t="s">
        <v>171</v>
      </c>
      <c r="B20" s="242">
        <v>3395671</v>
      </c>
      <c r="C20" s="413">
        <v>3288035</v>
      </c>
      <c r="D20" s="422">
        <f t="shared" si="1"/>
        <v>-3.169800607891636E-2</v>
      </c>
    </row>
    <row r="21" spans="1:4" ht="15.75" thickBot="1" x14ac:dyDescent="0.3">
      <c r="A21" s="240" t="s">
        <v>141</v>
      </c>
      <c r="B21" s="242">
        <v>72306</v>
      </c>
      <c r="C21" s="413">
        <v>77337</v>
      </c>
      <c r="D21" s="422">
        <f t="shared" si="1"/>
        <v>6.9579288025889974E-2</v>
      </c>
    </row>
    <row r="22" spans="1:4" ht="15.75" thickBot="1" x14ac:dyDescent="0.3">
      <c r="A22" s="240" t="s">
        <v>247</v>
      </c>
      <c r="B22" s="242">
        <v>2118226</v>
      </c>
      <c r="C22" s="413">
        <v>2058314</v>
      </c>
      <c r="D22" s="422">
        <f t="shared" si="1"/>
        <v>-2.8284045234077949E-2</v>
      </c>
    </row>
    <row r="23" spans="1:4" ht="15.75" thickBot="1" x14ac:dyDescent="0.3">
      <c r="A23" s="240" t="s">
        <v>173</v>
      </c>
      <c r="B23" s="242">
        <v>1181350</v>
      </c>
      <c r="C23" s="413">
        <v>1149138</v>
      </c>
      <c r="D23" s="422">
        <f t="shared" si="1"/>
        <v>-2.7267109662674059E-2</v>
      </c>
    </row>
    <row r="24" spans="1:4" ht="15.75" thickBot="1" x14ac:dyDescent="0.3">
      <c r="A24" s="240" t="s">
        <v>274</v>
      </c>
      <c r="B24" s="242">
        <v>415072</v>
      </c>
      <c r="C24" s="413">
        <v>403858</v>
      </c>
      <c r="D24" s="422">
        <f t="shared" si="1"/>
        <v>-2.7016999460334593E-2</v>
      </c>
    </row>
    <row r="25" spans="1:4" ht="15.75" thickBot="1" x14ac:dyDescent="0.3">
      <c r="A25" s="245" t="s">
        <v>271</v>
      </c>
      <c r="B25" s="247">
        <v>100352</v>
      </c>
      <c r="C25" s="414">
        <v>73714</v>
      </c>
      <c r="D25" s="423">
        <f t="shared" si="1"/>
        <v>-0.26544563137755101</v>
      </c>
    </row>
    <row r="26" spans="1:4" ht="15.75" thickBot="1" x14ac:dyDescent="0.3">
      <c r="A26" s="249" t="s">
        <v>175</v>
      </c>
      <c r="B26" s="250">
        <f>SUM(B17:B25)</f>
        <v>11623900</v>
      </c>
      <c r="C26" s="415">
        <f>SUM(C17:C25)</f>
        <v>10971337</v>
      </c>
      <c r="D26" s="424">
        <f t="shared" si="1"/>
        <v>-5.6139763762592589E-2</v>
      </c>
    </row>
    <row r="27" spans="1:4" ht="15.75" thickBot="1" x14ac:dyDescent="0.3">
      <c r="A27" s="382" t="s">
        <v>176</v>
      </c>
      <c r="B27" s="383">
        <f>+B15+B26</f>
        <v>14309477</v>
      </c>
      <c r="C27" s="416">
        <f>+C15+C26</f>
        <v>13568385</v>
      </c>
      <c r="D27" s="425">
        <f t="shared" si="1"/>
        <v>-5.1790292545283098E-2</v>
      </c>
    </row>
    <row r="28" spans="1:4" x14ac:dyDescent="0.25">
      <c r="A28" s="376" t="s">
        <v>142</v>
      </c>
      <c r="B28" s="377"/>
      <c r="C28" s="411"/>
      <c r="D28" s="411"/>
    </row>
    <row r="29" spans="1:4" x14ac:dyDescent="0.25">
      <c r="A29" s="378" t="s">
        <v>177</v>
      </c>
      <c r="B29" s="379"/>
      <c r="C29" s="412"/>
      <c r="D29" s="421"/>
    </row>
    <row r="30" spans="1:4" ht="15.75" thickBot="1" x14ac:dyDescent="0.3">
      <c r="A30" s="240" t="s">
        <v>28</v>
      </c>
      <c r="B30" s="242">
        <v>557133</v>
      </c>
      <c r="C30" s="413">
        <v>718979</v>
      </c>
      <c r="D30" s="422">
        <f t="shared" ref="D30:D36" si="2">(C30-B30)/B30</f>
        <v>0.29049796009211443</v>
      </c>
    </row>
    <row r="31" spans="1:4" ht="15.75" thickBot="1" x14ac:dyDescent="0.3">
      <c r="A31" s="240" t="s">
        <v>178</v>
      </c>
      <c r="B31" s="242">
        <v>993241</v>
      </c>
      <c r="C31" s="413">
        <v>995912</v>
      </c>
      <c r="D31" s="422">
        <f t="shared" si="2"/>
        <v>2.6891761415406734E-3</v>
      </c>
    </row>
    <row r="32" spans="1:4" ht="15.75" thickBot="1" x14ac:dyDescent="0.3">
      <c r="A32" s="240" t="s">
        <v>257</v>
      </c>
      <c r="B32" s="242">
        <v>207776</v>
      </c>
      <c r="C32" s="413">
        <v>173161</v>
      </c>
      <c r="D32" s="422">
        <f t="shared" si="2"/>
        <v>-0.16659768211920531</v>
      </c>
    </row>
    <row r="33" spans="1:4" ht="15.75" thickBot="1" x14ac:dyDescent="0.3">
      <c r="A33" s="240" t="s">
        <v>179</v>
      </c>
      <c r="B33" s="242">
        <v>172730</v>
      </c>
      <c r="C33" s="413">
        <v>150309</v>
      </c>
      <c r="D33" s="422">
        <f t="shared" si="2"/>
        <v>-0.12980373994094829</v>
      </c>
    </row>
    <row r="34" spans="1:4" ht="15.75" thickBot="1" x14ac:dyDescent="0.3">
      <c r="A34" s="240" t="s">
        <v>180</v>
      </c>
      <c r="B34" s="242">
        <v>9820</v>
      </c>
      <c r="C34" s="413">
        <v>4186</v>
      </c>
      <c r="D34" s="422">
        <f t="shared" si="2"/>
        <v>-0.57372708757637469</v>
      </c>
    </row>
    <row r="35" spans="1:4" ht="15.75" thickBot="1" x14ac:dyDescent="0.3">
      <c r="A35" s="245" t="s">
        <v>260</v>
      </c>
      <c r="B35" s="247">
        <v>14261</v>
      </c>
      <c r="C35" s="414">
        <v>23398</v>
      </c>
      <c r="D35" s="423">
        <f t="shared" si="2"/>
        <v>0.640698408246266</v>
      </c>
    </row>
    <row r="36" spans="1:4" ht="15.75" thickBot="1" x14ac:dyDescent="0.3">
      <c r="A36" s="249" t="s">
        <v>181</v>
      </c>
      <c r="B36" s="250">
        <f>SUM(B30:B35)</f>
        <v>1954961</v>
      </c>
      <c r="C36" s="415">
        <f>SUM(C30:C35)</f>
        <v>2065945</v>
      </c>
      <c r="D36" s="424">
        <f t="shared" si="2"/>
        <v>5.6770441967896032E-2</v>
      </c>
    </row>
    <row r="37" spans="1:4" x14ac:dyDescent="0.25">
      <c r="A37" s="378" t="s">
        <v>182</v>
      </c>
      <c r="B37" s="379"/>
      <c r="C37" s="412"/>
      <c r="D37" s="421"/>
    </row>
    <row r="38" spans="1:4" ht="15.75" thickBot="1" x14ac:dyDescent="0.3">
      <c r="A38" s="240" t="s">
        <v>28</v>
      </c>
      <c r="B38" s="242">
        <v>2474077</v>
      </c>
      <c r="C38" s="413">
        <v>2362473</v>
      </c>
      <c r="D38" s="422">
        <f t="shared" ref="D38:D44" si="3">(C38-B38)/B38</f>
        <v>-4.5109347849723348E-2</v>
      </c>
    </row>
    <row r="39" spans="1:4" ht="15.75" thickBot="1" x14ac:dyDescent="0.3">
      <c r="A39" s="240" t="s">
        <v>178</v>
      </c>
      <c r="B39" s="241">
        <v>158</v>
      </c>
      <c r="C39" s="417">
        <v>158</v>
      </c>
      <c r="D39" s="422">
        <f t="shared" si="3"/>
        <v>0</v>
      </c>
    </row>
    <row r="40" spans="1:4" ht="15.75" thickBot="1" x14ac:dyDescent="0.3">
      <c r="A40" s="240" t="s">
        <v>179</v>
      </c>
      <c r="B40" s="242">
        <v>226574</v>
      </c>
      <c r="C40" s="413">
        <v>225014</v>
      </c>
      <c r="D40" s="422">
        <f t="shared" si="3"/>
        <v>-6.8851677597606079E-3</v>
      </c>
    </row>
    <row r="41" spans="1:4" ht="15.75" thickBot="1" x14ac:dyDescent="0.3">
      <c r="A41" s="240" t="s">
        <v>183</v>
      </c>
      <c r="B41" s="242">
        <v>702967</v>
      </c>
      <c r="C41" s="413">
        <v>694042</v>
      </c>
      <c r="D41" s="422">
        <f t="shared" si="3"/>
        <v>-1.2696186307465357E-2</v>
      </c>
    </row>
    <row r="42" spans="1:4" ht="15.75" thickBot="1" x14ac:dyDescent="0.3">
      <c r="A42" s="245" t="s">
        <v>261</v>
      </c>
      <c r="B42" s="246">
        <v>559</v>
      </c>
      <c r="C42" s="418">
        <v>544</v>
      </c>
      <c r="D42" s="422">
        <f t="shared" si="3"/>
        <v>-2.6833631484794274E-2</v>
      </c>
    </row>
    <row r="43" spans="1:4" ht="15.75" thickBot="1" x14ac:dyDescent="0.3">
      <c r="A43" s="249" t="s">
        <v>185</v>
      </c>
      <c r="B43" s="250">
        <f>SUM(B38:B42)</f>
        <v>3404335</v>
      </c>
      <c r="C43" s="415">
        <f>SUM(C38:C42)</f>
        <v>3282231</v>
      </c>
      <c r="D43" s="424">
        <f t="shared" si="3"/>
        <v>-3.5867210483104629E-2</v>
      </c>
    </row>
    <row r="44" spans="1:4" ht="15.75" thickBot="1" x14ac:dyDescent="0.3">
      <c r="A44" s="382" t="s">
        <v>186</v>
      </c>
      <c r="B44" s="383">
        <f>+B36+B43</f>
        <v>5359296</v>
      </c>
      <c r="C44" s="416">
        <f>+C36+C43</f>
        <v>5348176</v>
      </c>
      <c r="D44" s="425">
        <f t="shared" si="3"/>
        <v>-2.0748993897705967E-3</v>
      </c>
    </row>
    <row r="45" spans="1:4" x14ac:dyDescent="0.25">
      <c r="A45" s="376" t="s">
        <v>34</v>
      </c>
      <c r="B45" s="377"/>
      <c r="C45" s="411"/>
      <c r="D45" s="411"/>
    </row>
    <row r="46" spans="1:4" ht="15.75" thickBot="1" x14ac:dyDescent="0.3">
      <c r="A46" s="249" t="s">
        <v>187</v>
      </c>
      <c r="B46" s="250">
        <v>8907656</v>
      </c>
      <c r="C46" s="415">
        <v>8180319</v>
      </c>
      <c r="D46" s="424">
        <f>(C46-B46)/B46</f>
        <v>-8.1653018482078787E-2</v>
      </c>
    </row>
    <row r="47" spans="1:4" ht="15.75" thickBot="1" x14ac:dyDescent="0.3">
      <c r="A47" s="259" t="s">
        <v>188</v>
      </c>
      <c r="B47" s="247">
        <v>42525</v>
      </c>
      <c r="C47" s="414">
        <v>39890</v>
      </c>
      <c r="D47" s="423">
        <f>(C47-B47)/B47</f>
        <v>-6.1963550852439743E-2</v>
      </c>
    </row>
    <row r="48" spans="1:4" ht="15.75" thickBot="1" x14ac:dyDescent="0.3">
      <c r="A48" s="382" t="s">
        <v>189</v>
      </c>
      <c r="B48" s="383">
        <f>SUM(B46:B47)</f>
        <v>8950181</v>
      </c>
      <c r="C48" s="416">
        <f>SUM(C46:C47)</f>
        <v>8220209</v>
      </c>
      <c r="D48" s="425">
        <f>(C48-B48)/B48</f>
        <v>-8.1559467903498259E-2</v>
      </c>
    </row>
    <row r="49" spans="1:20" ht="15.75" thickBot="1" x14ac:dyDescent="0.3">
      <c r="A49" s="380" t="s">
        <v>190</v>
      </c>
      <c r="B49" s="381">
        <f>+B44+B48</f>
        <v>14309477</v>
      </c>
      <c r="C49" s="419">
        <f>+C44+C48</f>
        <v>13568385</v>
      </c>
      <c r="D49" s="426">
        <f>(C49-B49)/B49</f>
        <v>-5.1790292545283098E-2</v>
      </c>
    </row>
    <row r="51" spans="1:20" x14ac:dyDescent="0.25">
      <c r="B51" s="263"/>
      <c r="C51" s="263"/>
      <c r="E51" s="263"/>
      <c r="H51" s="263"/>
      <c r="J51" s="263"/>
      <c r="M51" s="263"/>
      <c r="O51" s="263"/>
      <c r="R51" s="263"/>
      <c r="T51" s="263"/>
    </row>
    <row r="52" spans="1:20" ht="18.75" x14ac:dyDescent="0.3">
      <c r="A52" s="264" t="s">
        <v>191</v>
      </c>
      <c r="B52" s="362"/>
      <c r="C52" s="362"/>
      <c r="D52" s="362"/>
      <c r="E52" s="362"/>
    </row>
    <row r="53" spans="1:20" x14ac:dyDescent="0.25">
      <c r="A53" s="332" t="s">
        <v>192</v>
      </c>
      <c r="B53" s="362"/>
      <c r="C53" s="362"/>
      <c r="D53" s="362"/>
      <c r="E53" s="362"/>
    </row>
    <row r="54" spans="1:20" x14ac:dyDescent="0.25">
      <c r="A54" s="332" t="s">
        <v>88</v>
      </c>
      <c r="B54" s="362"/>
      <c r="C54" s="362"/>
      <c r="D54" s="362"/>
      <c r="E54" s="362"/>
    </row>
    <row r="55" spans="1:20" x14ac:dyDescent="0.25">
      <c r="A55" s="265" t="s">
        <v>159</v>
      </c>
      <c r="B55" s="362"/>
      <c r="C55" s="362"/>
      <c r="D55" s="362"/>
      <c r="E55" s="362"/>
    </row>
    <row r="56" spans="1:20" ht="15.75" thickBot="1" x14ac:dyDescent="0.3">
      <c r="B56" s="364"/>
      <c r="C56" s="364"/>
      <c r="D56" s="364"/>
      <c r="E56" s="364"/>
    </row>
    <row r="57" spans="1:20" ht="15.75" customHeight="1" thickBot="1" x14ac:dyDescent="0.3">
      <c r="A57" s="353"/>
      <c r="B57" s="388" t="s">
        <v>245</v>
      </c>
      <c r="C57" s="388" t="s">
        <v>55</v>
      </c>
      <c r="D57" s="400" t="s">
        <v>270</v>
      </c>
      <c r="E57" s="400" t="s">
        <v>55</v>
      </c>
      <c r="F57" s="388" t="s">
        <v>46</v>
      </c>
    </row>
    <row r="58" spans="1:20" ht="15.75" thickTop="1" x14ac:dyDescent="0.25">
      <c r="A58" s="390" t="s">
        <v>193</v>
      </c>
      <c r="B58" s="389"/>
      <c r="C58" s="389"/>
      <c r="D58" s="401"/>
      <c r="E58" s="406"/>
      <c r="F58" s="389"/>
    </row>
    <row r="59" spans="1:20" ht="15.75" thickBot="1" x14ac:dyDescent="0.3">
      <c r="A59" s="391" t="s">
        <v>194</v>
      </c>
      <c r="B59" s="458">
        <v>2041823</v>
      </c>
      <c r="C59" s="387">
        <f t="shared" ref="C59:C78" si="4">+B59/$B$59</f>
        <v>1</v>
      </c>
      <c r="D59" s="395">
        <v>2104345</v>
      </c>
      <c r="E59" s="387">
        <f t="shared" ref="E59:E78" si="5">+D59/$D$59</f>
        <v>1</v>
      </c>
      <c r="F59" s="387">
        <f t="shared" ref="F59:F78" si="6">(D59-B59)/B59</f>
        <v>3.0620675739278087E-2</v>
      </c>
    </row>
    <row r="60" spans="1:20" ht="15.75" thickBot="1" x14ac:dyDescent="0.3">
      <c r="A60" s="392" t="s">
        <v>273</v>
      </c>
      <c r="B60" s="460">
        <v>-1150561</v>
      </c>
      <c r="C60" s="384">
        <f t="shared" si="4"/>
        <v>-0.56349693386743116</v>
      </c>
      <c r="D60" s="456">
        <v>-1168715</v>
      </c>
      <c r="E60" s="407">
        <f t="shared" si="5"/>
        <v>-0.5553818409053648</v>
      </c>
      <c r="F60" s="384">
        <f t="shared" si="6"/>
        <v>1.5778389846344523E-2</v>
      </c>
    </row>
    <row r="61" spans="1:20" ht="15.75" thickBot="1" x14ac:dyDescent="0.3">
      <c r="A61" s="393" t="s">
        <v>196</v>
      </c>
      <c r="B61" s="461">
        <f>SUM(B59:B60)</f>
        <v>891262</v>
      </c>
      <c r="C61" s="386">
        <f t="shared" si="4"/>
        <v>0.43650306613256878</v>
      </c>
      <c r="D61" s="457">
        <f>SUM(D59:D60)</f>
        <v>935630</v>
      </c>
      <c r="E61" s="408">
        <f t="shared" si="5"/>
        <v>0.44461815909463515</v>
      </c>
      <c r="F61" s="386">
        <f t="shared" si="6"/>
        <v>4.9781096916507152E-2</v>
      </c>
    </row>
    <row r="62" spans="1:20" ht="15.75" thickBot="1" x14ac:dyDescent="0.3">
      <c r="A62" s="392" t="s">
        <v>7</v>
      </c>
      <c r="B62" s="460">
        <v>-100251</v>
      </c>
      <c r="C62" s="384">
        <f t="shared" si="4"/>
        <v>-4.9098771049204556E-2</v>
      </c>
      <c r="D62" s="456">
        <v>-99417</v>
      </c>
      <c r="E62" s="407">
        <f t="shared" si="5"/>
        <v>-4.7243679149569104E-2</v>
      </c>
      <c r="F62" s="384">
        <f t="shared" si="6"/>
        <v>-8.3191190112816837E-3</v>
      </c>
    </row>
    <row r="63" spans="1:20" ht="15.75" thickBot="1" x14ac:dyDescent="0.3">
      <c r="A63" s="392" t="s">
        <v>8</v>
      </c>
      <c r="B63" s="460">
        <v>-563544</v>
      </c>
      <c r="C63" s="384">
        <f t="shared" si="4"/>
        <v>-0.27600041727417118</v>
      </c>
      <c r="D63" s="456">
        <v>-607913</v>
      </c>
      <c r="E63" s="407">
        <f t="shared" si="5"/>
        <v>-0.28888466482444658</v>
      </c>
      <c r="F63" s="384">
        <f t="shared" si="6"/>
        <v>7.873209545306134E-2</v>
      </c>
    </row>
    <row r="64" spans="1:20" ht="15.75" thickBot="1" x14ac:dyDescent="0.3">
      <c r="A64" s="392" t="s">
        <v>84</v>
      </c>
      <c r="B64" s="460">
        <v>-32942</v>
      </c>
      <c r="C64" s="384">
        <f t="shared" si="4"/>
        <v>-1.6133621768390307E-2</v>
      </c>
      <c r="D64" s="456">
        <v>-33212</v>
      </c>
      <c r="E64" s="407">
        <f t="shared" si="5"/>
        <v>-1.5782583179088979E-2</v>
      </c>
      <c r="F64" s="384">
        <f t="shared" si="6"/>
        <v>8.1962236658369263E-3</v>
      </c>
    </row>
    <row r="65" spans="1:6" ht="15.75" thickBot="1" x14ac:dyDescent="0.3">
      <c r="A65" s="392" t="s">
        <v>197</v>
      </c>
      <c r="B65" s="460">
        <v>2176</v>
      </c>
      <c r="C65" s="384">
        <f t="shared" si="4"/>
        <v>1.0657143150997908E-3</v>
      </c>
      <c r="D65" s="456">
        <v>1952</v>
      </c>
      <c r="E65" s="407">
        <f t="shared" si="5"/>
        <v>9.2760455153503819E-4</v>
      </c>
      <c r="F65" s="384">
        <f t="shared" si="6"/>
        <v>-0.10294117647058823</v>
      </c>
    </row>
    <row r="66" spans="1:6" ht="15.75" thickBot="1" x14ac:dyDescent="0.3">
      <c r="A66" s="392" t="s">
        <v>144</v>
      </c>
      <c r="B66" s="460">
        <v>7084</v>
      </c>
      <c r="C66" s="384">
        <f t="shared" si="4"/>
        <v>3.4694486250767083E-3</v>
      </c>
      <c r="D66" s="456">
        <v>4942</v>
      </c>
      <c r="E66" s="407">
        <f t="shared" si="5"/>
        <v>2.3484742283228274E-3</v>
      </c>
      <c r="F66" s="384">
        <f t="shared" si="6"/>
        <v>-0.30237154150197626</v>
      </c>
    </row>
    <row r="67" spans="1:6" ht="16.5" customHeight="1" thickBot="1" x14ac:dyDescent="0.3">
      <c r="A67" s="391" t="s">
        <v>198</v>
      </c>
      <c r="B67" s="458">
        <f>SUM(B61:B66)</f>
        <v>203785</v>
      </c>
      <c r="C67" s="387">
        <f t="shared" si="4"/>
        <v>9.9805418980979249E-2</v>
      </c>
      <c r="D67" s="458">
        <f>SUM(D61:D66)</f>
        <v>201982</v>
      </c>
      <c r="E67" s="387">
        <f t="shared" si="5"/>
        <v>9.5983310721388368E-2</v>
      </c>
      <c r="F67" s="387">
        <f t="shared" si="6"/>
        <v>-8.8475599283558658E-3</v>
      </c>
    </row>
    <row r="68" spans="1:6" ht="15.75" thickBot="1" x14ac:dyDescent="0.3">
      <c r="A68" s="392" t="s">
        <v>51</v>
      </c>
      <c r="B68" s="460">
        <v>2452</v>
      </c>
      <c r="C68" s="384">
        <f t="shared" si="4"/>
        <v>1.2008876381547275E-3</v>
      </c>
      <c r="D68" s="456">
        <v>3241</v>
      </c>
      <c r="E68" s="407">
        <f t="shared" si="5"/>
        <v>1.5401466964780014E-3</v>
      </c>
      <c r="F68" s="384">
        <f t="shared" si="6"/>
        <v>0.32177814029363783</v>
      </c>
    </row>
    <row r="69" spans="1:6" ht="15.75" thickBot="1" x14ac:dyDescent="0.3">
      <c r="A69" s="392" t="s">
        <v>11</v>
      </c>
      <c r="B69" s="460">
        <v>-82389</v>
      </c>
      <c r="C69" s="384">
        <f t="shared" si="4"/>
        <v>-4.0350706207149201E-2</v>
      </c>
      <c r="D69" s="456">
        <v>-71961</v>
      </c>
      <c r="E69" s="407">
        <f t="shared" si="5"/>
        <v>-3.4196388900109058E-2</v>
      </c>
      <c r="F69" s="384">
        <f t="shared" si="6"/>
        <v>-0.12657029457815971</v>
      </c>
    </row>
    <row r="70" spans="1:6" ht="15.75" thickBot="1" x14ac:dyDescent="0.3">
      <c r="A70" s="392" t="s">
        <v>272</v>
      </c>
      <c r="B70" s="460">
        <v>54235</v>
      </c>
      <c r="C70" s="384">
        <f t="shared" si="4"/>
        <v>2.6562047738711927E-2</v>
      </c>
      <c r="D70" s="456">
        <v>32336</v>
      </c>
      <c r="E70" s="407">
        <f t="shared" si="5"/>
        <v>1.5366301628297642E-2</v>
      </c>
      <c r="F70" s="384">
        <f t="shared" si="6"/>
        <v>-0.40377984696229374</v>
      </c>
    </row>
    <row r="71" spans="1:6" ht="15.75" thickBot="1" x14ac:dyDescent="0.3">
      <c r="A71" s="392" t="s">
        <v>200</v>
      </c>
      <c r="B71" s="460">
        <v>-3118</v>
      </c>
      <c r="C71" s="384">
        <f t="shared" si="4"/>
        <v>-1.5270667437872921E-3</v>
      </c>
      <c r="D71" s="456">
        <v>-2666</v>
      </c>
      <c r="E71" s="407">
        <f t="shared" si="5"/>
        <v>-1.2669025278649652E-3</v>
      </c>
      <c r="F71" s="384">
        <f t="shared" si="6"/>
        <v>-0.14496472097498397</v>
      </c>
    </row>
    <row r="72" spans="1:6" ht="15.75" thickBot="1" x14ac:dyDescent="0.3">
      <c r="A72" s="392" t="s">
        <v>275</v>
      </c>
      <c r="B72" s="460">
        <v>-1600</v>
      </c>
      <c r="C72" s="384">
        <f t="shared" si="4"/>
        <v>-7.8361346698514029E-4</v>
      </c>
      <c r="D72" s="456">
        <v>-2327</v>
      </c>
      <c r="E72" s="407">
        <f t="shared" si="5"/>
        <v>-1.1058072701957142E-3</v>
      </c>
      <c r="F72" s="384">
        <f t="shared" si="6"/>
        <v>0.45437499999999997</v>
      </c>
    </row>
    <row r="73" spans="1:6" ht="15.75" thickBot="1" x14ac:dyDescent="0.3">
      <c r="A73" s="393" t="s">
        <v>204</v>
      </c>
      <c r="B73" s="461">
        <f>SUM(B67:B72)</f>
        <v>173365</v>
      </c>
      <c r="C73" s="386">
        <f t="shared" si="4"/>
        <v>8.4906967939924277E-2</v>
      </c>
      <c r="D73" s="457">
        <f>SUM(D67:D72)</f>
        <v>160605</v>
      </c>
      <c r="E73" s="408">
        <f t="shared" si="5"/>
        <v>7.6320660347994271E-2</v>
      </c>
      <c r="F73" s="386">
        <f t="shared" si="6"/>
        <v>-7.3601938107461143E-2</v>
      </c>
    </row>
    <row r="74" spans="1:6" ht="15.75" thickBot="1" x14ac:dyDescent="0.3">
      <c r="A74" s="392" t="s">
        <v>205</v>
      </c>
      <c r="B74" s="460">
        <v>-40723</v>
      </c>
      <c r="C74" s="384">
        <f t="shared" si="4"/>
        <v>-1.9944432010022415E-2</v>
      </c>
      <c r="D74" s="456">
        <v>-44069</v>
      </c>
      <c r="E74" s="407">
        <f t="shared" si="5"/>
        <v>-2.094190828975287E-2</v>
      </c>
      <c r="F74" s="384">
        <f t="shared" si="6"/>
        <v>8.2164869975198285E-2</v>
      </c>
    </row>
    <row r="75" spans="1:6" ht="15.75" thickBot="1" x14ac:dyDescent="0.3">
      <c r="A75" s="394" t="s">
        <v>206</v>
      </c>
      <c r="B75" s="462">
        <v>8078</v>
      </c>
      <c r="C75" s="385">
        <f t="shared" si="4"/>
        <v>3.9562684914412269E-3</v>
      </c>
      <c r="D75" s="459">
        <v>5479</v>
      </c>
      <c r="E75" s="409">
        <f t="shared" si="5"/>
        <v>2.6036605214449153E-3</v>
      </c>
      <c r="F75" s="385">
        <f t="shared" si="6"/>
        <v>-0.32173805397375588</v>
      </c>
    </row>
    <row r="76" spans="1:6" ht="15.75" thickBot="1" x14ac:dyDescent="0.3">
      <c r="A76" s="393" t="s">
        <v>207</v>
      </c>
      <c r="B76" s="461">
        <f>SUM(B73:B75)</f>
        <v>140720</v>
      </c>
      <c r="C76" s="386">
        <f t="shared" si="4"/>
        <v>6.8918804421343086E-2</v>
      </c>
      <c r="D76" s="457">
        <f>SUM(D73:D75)</f>
        <v>122015</v>
      </c>
      <c r="E76" s="408">
        <f t="shared" si="5"/>
        <v>5.7982412579686317E-2</v>
      </c>
      <c r="F76" s="386">
        <f t="shared" si="6"/>
        <v>-0.13292353610005686</v>
      </c>
    </row>
    <row r="77" spans="1:6" ht="15.75" thickBot="1" x14ac:dyDescent="0.3">
      <c r="A77" s="392" t="s">
        <v>208</v>
      </c>
      <c r="B77" s="460">
        <v>-892</v>
      </c>
      <c r="C77" s="384">
        <f t="shared" si="4"/>
        <v>-4.3686450784421571E-4</v>
      </c>
      <c r="D77" s="456">
        <v>-226</v>
      </c>
      <c r="E77" s="407">
        <f t="shared" si="5"/>
        <v>-1.0739683844616734E-4</v>
      </c>
      <c r="F77" s="384">
        <f t="shared" si="6"/>
        <v>-0.74663677130044848</v>
      </c>
    </row>
    <row r="78" spans="1:6" ht="15.75" thickBot="1" x14ac:dyDescent="0.3">
      <c r="A78" s="391" t="s">
        <v>209</v>
      </c>
      <c r="B78" s="458">
        <f>SUM(B76:B77)</f>
        <v>139828</v>
      </c>
      <c r="C78" s="387">
        <f t="shared" si="4"/>
        <v>6.8481939913498865E-2</v>
      </c>
      <c r="D78" s="395">
        <f>SUM(D76:D77)</f>
        <v>121789</v>
      </c>
      <c r="E78" s="387">
        <f t="shared" si="5"/>
        <v>5.7875015741240148E-2</v>
      </c>
      <c r="F78" s="387">
        <f t="shared" si="6"/>
        <v>-0.12900849615241583</v>
      </c>
    </row>
    <row r="79" spans="1:6" x14ac:dyDescent="0.25">
      <c r="A79" s="289"/>
      <c r="B79" s="291"/>
      <c r="C79" s="292"/>
      <c r="D79" s="294"/>
      <c r="E79" s="292"/>
      <c r="F79" s="292"/>
    </row>
    <row r="80" spans="1:6" x14ac:dyDescent="0.25">
      <c r="A80" s="295" t="s">
        <v>210</v>
      </c>
      <c r="B80" s="297"/>
      <c r="C80" s="298"/>
      <c r="D80" s="300"/>
      <c r="E80" s="298"/>
      <c r="F80" s="298"/>
    </row>
    <row r="81" spans="1:6" ht="15.75" thickBot="1" x14ac:dyDescent="0.3">
      <c r="A81" s="301" t="s">
        <v>211</v>
      </c>
      <c r="B81" s="274">
        <v>139150</v>
      </c>
      <c r="C81" s="384">
        <f>+B81/$B$59</f>
        <v>6.8149883706863909E-2</v>
      </c>
      <c r="D81" s="373">
        <v>120867</v>
      </c>
      <c r="E81" s="366">
        <f>+D81/$D$59</f>
        <v>5.7436874656959763E-2</v>
      </c>
      <c r="F81" s="384">
        <f>(D81-B81)/B81</f>
        <v>-0.13139058569888609</v>
      </c>
    </row>
    <row r="82" spans="1:6" ht="15.75" thickBot="1" x14ac:dyDescent="0.3">
      <c r="A82" s="303" t="s">
        <v>188</v>
      </c>
      <c r="B82" s="304">
        <v>678</v>
      </c>
      <c r="C82" s="385">
        <f>+B82/$B$59</f>
        <v>3.3205620663495319E-4</v>
      </c>
      <c r="D82" s="374">
        <v>922</v>
      </c>
      <c r="E82" s="368">
        <f>+D82/$D$59</f>
        <v>4.3814108428038179E-4</v>
      </c>
      <c r="F82" s="385">
        <f>(D82-B82)/B82</f>
        <v>0.35988200589970504</v>
      </c>
    </row>
    <row r="83" spans="1:6" ht="15.75" thickBot="1" x14ac:dyDescent="0.3">
      <c r="A83" s="306" t="s">
        <v>212</v>
      </c>
      <c r="B83" s="278">
        <f>SUM(B81:B82)</f>
        <v>139828</v>
      </c>
      <c r="C83" s="386">
        <f>+B83/$B$59</f>
        <v>6.8481939913498865E-2</v>
      </c>
      <c r="D83" s="375">
        <f>SUM(D81:D82)</f>
        <v>121789</v>
      </c>
      <c r="E83" s="367">
        <f>+D83/$D$59</f>
        <v>5.7875015741240148E-2</v>
      </c>
      <c r="F83" s="386">
        <f>(D83-B83)/B83</f>
        <v>-0.12900849615241583</v>
      </c>
    </row>
    <row r="84" spans="1:6" ht="15.75" thickBot="1" x14ac:dyDescent="0.3">
      <c r="A84" s="369" t="s">
        <v>213</v>
      </c>
      <c r="B84" s="370">
        <v>264549</v>
      </c>
      <c r="C84" s="387">
        <f>+B84/$B$59</f>
        <v>0.12956509942340741</v>
      </c>
      <c r="D84" s="372">
        <v>273276</v>
      </c>
      <c r="E84" s="371">
        <f>+D84/$D$59</f>
        <v>0.12986273638590631</v>
      </c>
      <c r="F84" s="387">
        <f>(D84-B84)/B84</f>
        <v>3.2988217683680529E-2</v>
      </c>
    </row>
  </sheetData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C61:C78 C83" formula="1"/>
  </ignoredError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G58"/>
  <sheetViews>
    <sheetView zoomScale="84" zoomScaleNormal="84" workbookViewId="0"/>
  </sheetViews>
  <sheetFormatPr baseColWidth="10" defaultColWidth="11.42578125" defaultRowHeight="15" x14ac:dyDescent="0.3"/>
  <cols>
    <col min="1" max="1" width="43.42578125" style="5" customWidth="1"/>
    <col min="2" max="3" width="11.7109375" style="2" bestFit="1" customWidth="1"/>
    <col min="4" max="4" width="13.28515625" style="3" bestFit="1" customWidth="1"/>
    <col min="5" max="5" width="11.42578125" style="3"/>
    <col min="6" max="6" width="9.28515625" style="4" bestFit="1" customWidth="1"/>
    <col min="7" max="7" width="3.42578125" style="4" customWidth="1"/>
    <col min="8" max="16384" width="11.42578125" style="5"/>
  </cols>
  <sheetData>
    <row r="1" spans="1:5" x14ac:dyDescent="0.3">
      <c r="A1" s="38" t="s">
        <v>40</v>
      </c>
    </row>
    <row r="2" spans="1:5" x14ac:dyDescent="0.3">
      <c r="A2" s="38" t="s">
        <v>61</v>
      </c>
    </row>
    <row r="3" spans="1:5" x14ac:dyDescent="0.3">
      <c r="A3" s="38" t="s">
        <v>44</v>
      </c>
    </row>
    <row r="4" spans="1:5" x14ac:dyDescent="0.3">
      <c r="A4" s="24" t="s">
        <v>45</v>
      </c>
    </row>
    <row r="6" spans="1:5" x14ac:dyDescent="0.3">
      <c r="A6" s="6" t="s">
        <v>20</v>
      </c>
      <c r="B6" s="6">
        <v>2006</v>
      </c>
      <c r="C6" s="6">
        <v>2007</v>
      </c>
      <c r="D6" s="6" t="s">
        <v>46</v>
      </c>
      <c r="E6" s="20"/>
    </row>
    <row r="7" spans="1:5" x14ac:dyDescent="0.3">
      <c r="A7" s="18" t="s">
        <v>21</v>
      </c>
      <c r="B7" s="14">
        <v>137397</v>
      </c>
      <c r="C7" s="14">
        <v>130538</v>
      </c>
      <c r="D7" s="17">
        <f>+(C7-B7)/B7</f>
        <v>-4.9921031754696248E-2</v>
      </c>
      <c r="E7" s="21"/>
    </row>
    <row r="8" spans="1:5" x14ac:dyDescent="0.3">
      <c r="A8" s="18" t="s">
        <v>22</v>
      </c>
      <c r="B8" s="14">
        <v>345770</v>
      </c>
      <c r="C8" s="14">
        <v>333803</v>
      </c>
      <c r="D8" s="17">
        <f t="shared" ref="D8:D16" si="0">+(C8-B8)/B8</f>
        <v>-3.4609711658038583E-2</v>
      </c>
      <c r="E8" s="21"/>
    </row>
    <row r="9" spans="1:5" x14ac:dyDescent="0.3">
      <c r="A9" s="18" t="s">
        <v>23</v>
      </c>
      <c r="B9" s="14">
        <v>391549</v>
      </c>
      <c r="C9" s="14">
        <v>431472</v>
      </c>
      <c r="D9" s="17">
        <f t="shared" si="0"/>
        <v>0.1019616957264608</v>
      </c>
      <c r="E9" s="21"/>
    </row>
    <row r="10" spans="1:5" x14ac:dyDescent="0.3">
      <c r="A10" s="18" t="s">
        <v>36</v>
      </c>
      <c r="B10" s="14">
        <v>366380</v>
      </c>
      <c r="C10" s="14">
        <v>440200</v>
      </c>
      <c r="D10" s="17">
        <f t="shared" si="0"/>
        <v>0.20148479720508761</v>
      </c>
      <c r="E10" s="21"/>
    </row>
    <row r="11" spans="1:5" x14ac:dyDescent="0.3">
      <c r="A11" s="18" t="s">
        <v>60</v>
      </c>
      <c r="B11" s="14">
        <v>599417</v>
      </c>
      <c r="C11" s="14">
        <v>630109</v>
      </c>
      <c r="D11" s="17">
        <f t="shared" si="0"/>
        <v>5.1203085664904398E-2</v>
      </c>
      <c r="E11" s="21"/>
    </row>
    <row r="12" spans="1:5" x14ac:dyDescent="0.3">
      <c r="A12" s="18" t="s">
        <v>47</v>
      </c>
      <c r="B12" s="14">
        <v>687410</v>
      </c>
      <c r="C12" s="14">
        <v>568376</v>
      </c>
      <c r="D12" s="17">
        <f t="shared" si="0"/>
        <v>-0.17316303225149474</v>
      </c>
      <c r="E12" s="21"/>
    </row>
    <row r="13" spans="1:5" x14ac:dyDescent="0.3">
      <c r="A13" s="18" t="s">
        <v>24</v>
      </c>
      <c r="B13" s="14">
        <v>23053</v>
      </c>
      <c r="C13" s="14">
        <v>47440</v>
      </c>
      <c r="D13" s="17">
        <f t="shared" si="0"/>
        <v>1.0578666550991194</v>
      </c>
      <c r="E13" s="21"/>
    </row>
    <row r="14" spans="1:5" x14ac:dyDescent="0.3">
      <c r="A14" s="18" t="s">
        <v>25</v>
      </c>
      <c r="B14" s="14">
        <v>13698</v>
      </c>
      <c r="C14" s="14">
        <v>12269</v>
      </c>
      <c r="D14" s="17">
        <f t="shared" si="0"/>
        <v>-0.10432179880274492</v>
      </c>
      <c r="E14" s="21"/>
    </row>
    <row r="15" spans="1:5" x14ac:dyDescent="0.3">
      <c r="A15" s="18" t="s">
        <v>26</v>
      </c>
      <c r="B15" s="14">
        <v>2133290</v>
      </c>
      <c r="C15" s="14">
        <v>2466765</v>
      </c>
      <c r="D15" s="17">
        <f t="shared" si="0"/>
        <v>0.15631958149149905</v>
      </c>
      <c r="E15" s="21"/>
    </row>
    <row r="16" spans="1:5" ht="15.75" thickBot="1" x14ac:dyDescent="0.35">
      <c r="A16" s="26" t="s">
        <v>27</v>
      </c>
      <c r="B16" s="27">
        <f>SUM(B7:B15)</f>
        <v>4697964</v>
      </c>
      <c r="C16" s="27">
        <f>SUM(C7:C15)</f>
        <v>5060972</v>
      </c>
      <c r="D16" s="45">
        <f t="shared" si="0"/>
        <v>7.7269217048065927E-2</v>
      </c>
      <c r="E16" s="22"/>
    </row>
    <row r="17" spans="1:5" x14ac:dyDescent="0.3">
      <c r="A17" s="1"/>
      <c r="E17" s="21"/>
    </row>
    <row r="18" spans="1:5" x14ac:dyDescent="0.3">
      <c r="A18" s="6" t="s">
        <v>48</v>
      </c>
      <c r="B18" s="6">
        <v>2006</v>
      </c>
      <c r="C18" s="6">
        <v>2007</v>
      </c>
      <c r="D18" s="7" t="s">
        <v>46</v>
      </c>
      <c r="E18" s="20"/>
    </row>
    <row r="19" spans="1:5" x14ac:dyDescent="0.3">
      <c r="A19" s="18" t="s">
        <v>28</v>
      </c>
      <c r="B19" s="14">
        <v>729637</v>
      </c>
      <c r="C19" s="14">
        <v>703403</v>
      </c>
      <c r="D19" s="17">
        <f t="shared" ref="D19:D30" si="1">+(C19-B19)/B19</f>
        <v>-3.5954865227503539E-2</v>
      </c>
      <c r="E19" s="21"/>
    </row>
    <row r="20" spans="1:5" x14ac:dyDescent="0.3">
      <c r="A20" s="18" t="s">
        <v>49</v>
      </c>
      <c r="B20" s="14">
        <v>134925</v>
      </c>
      <c r="C20" s="14">
        <v>141667</v>
      </c>
      <c r="D20" s="17">
        <f t="shared" si="1"/>
        <v>4.9968501019084677E-2</v>
      </c>
      <c r="E20" s="21"/>
    </row>
    <row r="21" spans="1:5" x14ac:dyDescent="0.3">
      <c r="A21" s="18" t="s">
        <v>38</v>
      </c>
      <c r="B21" s="14">
        <v>127180</v>
      </c>
      <c r="C21" s="14">
        <v>148629</v>
      </c>
      <c r="D21" s="17">
        <f t="shared" si="1"/>
        <v>0.16865073124705143</v>
      </c>
      <c r="E21" s="21"/>
    </row>
    <row r="22" spans="1:5" x14ac:dyDescent="0.3">
      <c r="A22" s="18" t="s">
        <v>30</v>
      </c>
      <c r="B22" s="14">
        <v>26338</v>
      </c>
      <c r="C22" s="14">
        <v>27130</v>
      </c>
      <c r="D22" s="17">
        <f t="shared" si="1"/>
        <v>3.0070620396385452E-2</v>
      </c>
      <c r="E22" s="21"/>
    </row>
    <row r="23" spans="1:5" x14ac:dyDescent="0.3">
      <c r="A23" s="18" t="s">
        <v>31</v>
      </c>
      <c r="B23" s="14">
        <v>29521</v>
      </c>
      <c r="C23" s="14">
        <v>31757</v>
      </c>
      <c r="D23" s="17">
        <f t="shared" si="1"/>
        <v>7.574269164323702E-2</v>
      </c>
      <c r="E23" s="21"/>
    </row>
    <row r="24" spans="1:5" x14ac:dyDescent="0.3">
      <c r="A24" s="18" t="s">
        <v>32</v>
      </c>
      <c r="B24" s="14">
        <v>151007</v>
      </c>
      <c r="C24" s="14">
        <v>159844</v>
      </c>
      <c r="D24" s="17">
        <f t="shared" si="1"/>
        <v>5.8520465938665098E-2</v>
      </c>
      <c r="E24" s="21"/>
    </row>
    <row r="25" spans="1:5" x14ac:dyDescent="0.3">
      <c r="A25" s="18" t="s">
        <v>24</v>
      </c>
      <c r="B25" s="14">
        <v>10779</v>
      </c>
      <c r="C25" s="14">
        <v>10895</v>
      </c>
      <c r="D25" s="17">
        <f t="shared" si="1"/>
        <v>1.0761666202801744E-2</v>
      </c>
      <c r="E25" s="21"/>
    </row>
    <row r="26" spans="1:5" x14ac:dyDescent="0.3">
      <c r="A26" s="18" t="s">
        <v>0</v>
      </c>
      <c r="B26" s="14">
        <v>1725</v>
      </c>
      <c r="C26" s="14">
        <v>461</v>
      </c>
      <c r="D26" s="17">
        <f t="shared" si="1"/>
        <v>-0.73275362318840576</v>
      </c>
      <c r="E26" s="21"/>
    </row>
    <row r="27" spans="1:5" x14ac:dyDescent="0.3">
      <c r="A27" s="18" t="s">
        <v>33</v>
      </c>
      <c r="B27" s="14">
        <f>SUM(B19:B26)</f>
        <v>1211112</v>
      </c>
      <c r="C27" s="14">
        <f>SUM(C19:C26)</f>
        <v>1223786</v>
      </c>
      <c r="D27" s="17">
        <f t="shared" si="1"/>
        <v>1.0464762961641862E-2</v>
      </c>
      <c r="E27" s="21"/>
    </row>
    <row r="28" spans="1:5" x14ac:dyDescent="0.3">
      <c r="A28" s="18" t="s">
        <v>39</v>
      </c>
      <c r="B28" s="14">
        <v>1733</v>
      </c>
      <c r="C28" s="14">
        <v>2891</v>
      </c>
      <c r="D28" s="17">
        <f t="shared" si="1"/>
        <v>0.66820542412002304</v>
      </c>
      <c r="E28" s="21"/>
    </row>
    <row r="29" spans="1:5" ht="15.75" thickBot="1" x14ac:dyDescent="0.35">
      <c r="A29" s="26" t="s">
        <v>34</v>
      </c>
      <c r="B29" s="27">
        <v>3485119</v>
      </c>
      <c r="C29" s="27">
        <v>3834295</v>
      </c>
      <c r="D29" s="45">
        <f t="shared" si="1"/>
        <v>0.10019055303420056</v>
      </c>
      <c r="E29" s="22"/>
    </row>
    <row r="30" spans="1:5" ht="15.75" thickBot="1" x14ac:dyDescent="0.35">
      <c r="A30" s="26" t="s">
        <v>35</v>
      </c>
      <c r="B30" s="27">
        <f>+B27+B28+B29</f>
        <v>4697964</v>
      </c>
      <c r="C30" s="27">
        <f>+C27+C28+C29</f>
        <v>5060972</v>
      </c>
      <c r="D30" s="45">
        <f t="shared" si="1"/>
        <v>7.7269217048065927E-2</v>
      </c>
      <c r="E30" s="22"/>
    </row>
    <row r="31" spans="1:5" x14ac:dyDescent="0.3">
      <c r="A31" s="19"/>
      <c r="B31" s="14"/>
      <c r="C31" s="14"/>
      <c r="D31" s="17"/>
      <c r="E31" s="21"/>
    </row>
    <row r="32" spans="1:5" x14ac:dyDescent="0.3">
      <c r="A32" s="41" t="s">
        <v>3</v>
      </c>
      <c r="B32" s="14"/>
      <c r="C32" s="14"/>
      <c r="D32" s="17"/>
      <c r="E32" s="21"/>
    </row>
    <row r="33" spans="1:7" x14ac:dyDescent="0.3">
      <c r="A33" s="41" t="s">
        <v>62</v>
      </c>
      <c r="B33" s="14"/>
      <c r="C33" s="14"/>
      <c r="D33" s="17"/>
      <c r="E33" s="21"/>
    </row>
    <row r="34" spans="1:7" x14ac:dyDescent="0.3">
      <c r="A34" s="41" t="s">
        <v>44</v>
      </c>
      <c r="B34" s="14"/>
      <c r="C34" s="14"/>
      <c r="D34" s="17"/>
    </row>
    <row r="35" spans="1:7" x14ac:dyDescent="0.3">
      <c r="A35" s="41" t="s">
        <v>45</v>
      </c>
      <c r="B35" s="14"/>
      <c r="C35" s="14"/>
      <c r="D35" s="17"/>
    </row>
    <row r="36" spans="1:7" x14ac:dyDescent="0.3">
      <c r="A36" s="6"/>
      <c r="B36" s="6">
        <v>2006</v>
      </c>
      <c r="C36" s="6" t="s">
        <v>55</v>
      </c>
      <c r="D36" s="6">
        <v>2007</v>
      </c>
      <c r="E36" s="6" t="s">
        <v>55</v>
      </c>
      <c r="F36" s="6" t="s">
        <v>46</v>
      </c>
    </row>
    <row r="37" spans="1:7" s="9" customFormat="1" x14ac:dyDescent="0.3">
      <c r="A37" s="30" t="s">
        <v>4</v>
      </c>
      <c r="B37" s="30">
        <v>2026232</v>
      </c>
      <c r="C37" s="42">
        <v>1</v>
      </c>
      <c r="D37" s="50">
        <v>2462153</v>
      </c>
      <c r="E37" s="42">
        <v>1</v>
      </c>
      <c r="F37" s="42">
        <f>+(D37-B37)/B37</f>
        <v>0.2151387402824553</v>
      </c>
      <c r="G37" s="8"/>
    </row>
    <row r="38" spans="1:7" x14ac:dyDescent="0.3">
      <c r="A38" s="14" t="s">
        <v>50</v>
      </c>
      <c r="B38" s="14">
        <v>-1245932</v>
      </c>
      <c r="C38" s="17">
        <f t="shared" ref="C38:C55" si="2">+B38/$B$37</f>
        <v>-0.61490095902147435</v>
      </c>
      <c r="D38" s="51">
        <v>-1458664</v>
      </c>
      <c r="E38" s="17">
        <f>+D38/$D$37</f>
        <v>-0.59243434506304038</v>
      </c>
      <c r="F38" s="17">
        <f t="shared" ref="F38:F55" si="3">+(D38-B38)/B38</f>
        <v>0.17074126035770812</v>
      </c>
    </row>
    <row r="39" spans="1:7" s="9" customFormat="1" x14ac:dyDescent="0.3">
      <c r="A39" s="30" t="s">
        <v>6</v>
      </c>
      <c r="B39" s="30">
        <f>SUM(B37:B38)</f>
        <v>780300</v>
      </c>
      <c r="C39" s="42">
        <f t="shared" si="2"/>
        <v>0.38509904097852565</v>
      </c>
      <c r="D39" s="30">
        <f>SUM(D37:D38)</f>
        <v>1003489</v>
      </c>
      <c r="E39" s="42">
        <f t="shared" ref="E39:E55" si="4">+D39/$D$37</f>
        <v>0.40756565493695962</v>
      </c>
      <c r="F39" s="42">
        <f t="shared" si="3"/>
        <v>0.28602973215429961</v>
      </c>
      <c r="G39" s="8"/>
    </row>
    <row r="40" spans="1:7" x14ac:dyDescent="0.3">
      <c r="A40" s="14" t="s">
        <v>7</v>
      </c>
      <c r="B40" s="14">
        <v>-89083</v>
      </c>
      <c r="C40" s="17">
        <f t="shared" si="2"/>
        <v>-4.3964856936421888E-2</v>
      </c>
      <c r="D40" s="14">
        <v>-117207</v>
      </c>
      <c r="E40" s="17">
        <f t="shared" si="4"/>
        <v>-4.7603459248876899E-2</v>
      </c>
      <c r="F40" s="17">
        <f t="shared" si="3"/>
        <v>0.31570557794416443</v>
      </c>
    </row>
    <row r="41" spans="1:7" x14ac:dyDescent="0.3">
      <c r="A41" s="14" t="s">
        <v>8</v>
      </c>
      <c r="B41" s="14">
        <v>-489305</v>
      </c>
      <c r="C41" s="17">
        <f t="shared" si="2"/>
        <v>-0.24148518037421185</v>
      </c>
      <c r="D41" s="14">
        <v>-597743</v>
      </c>
      <c r="E41" s="17">
        <f t="shared" si="4"/>
        <v>-0.2427724840820209</v>
      </c>
      <c r="F41" s="17">
        <f t="shared" si="3"/>
        <v>0.22161637424510275</v>
      </c>
    </row>
    <row r="42" spans="1:7" s="9" customFormat="1" x14ac:dyDescent="0.3">
      <c r="A42" s="30" t="s">
        <v>9</v>
      </c>
      <c r="B42" s="30">
        <f>SUM(B40:B41)</f>
        <v>-578388</v>
      </c>
      <c r="C42" s="42">
        <f t="shared" si="2"/>
        <v>-0.28545003731063373</v>
      </c>
      <c r="D42" s="30">
        <f>SUM(D40:D41)</f>
        <v>-714950</v>
      </c>
      <c r="E42" s="42">
        <f t="shared" si="4"/>
        <v>-0.29037594333089778</v>
      </c>
      <c r="F42" s="42">
        <f t="shared" si="3"/>
        <v>0.23610794138190971</v>
      </c>
      <c r="G42" s="8"/>
    </row>
    <row r="43" spans="1:7" s="9" customFormat="1" x14ac:dyDescent="0.3">
      <c r="A43" s="30" t="s">
        <v>1</v>
      </c>
      <c r="B43" s="30">
        <f>+B39+B42</f>
        <v>201912</v>
      </c>
      <c r="C43" s="42">
        <f t="shared" si="2"/>
        <v>9.9649003667891936E-2</v>
      </c>
      <c r="D43" s="30">
        <f>+D39+D42</f>
        <v>288539</v>
      </c>
      <c r="E43" s="42">
        <f t="shared" si="4"/>
        <v>0.11718971160606186</v>
      </c>
      <c r="F43" s="42">
        <f t="shared" si="3"/>
        <v>0.4290334403106304</v>
      </c>
      <c r="G43" s="8"/>
    </row>
    <row r="44" spans="1:7" x14ac:dyDescent="0.3">
      <c r="A44" s="14" t="s">
        <v>51</v>
      </c>
      <c r="B44" s="14">
        <v>9510</v>
      </c>
      <c r="C44" s="17">
        <f t="shared" si="2"/>
        <v>4.6934408300727658E-3</v>
      </c>
      <c r="D44" s="14">
        <v>7971</v>
      </c>
      <c r="E44" s="17">
        <f t="shared" si="4"/>
        <v>3.2374105102323048E-3</v>
      </c>
      <c r="F44" s="17">
        <f t="shared" si="3"/>
        <v>-0.16182965299684543</v>
      </c>
    </row>
    <row r="45" spans="1:7" x14ac:dyDescent="0.3">
      <c r="A45" s="14" t="s">
        <v>11</v>
      </c>
      <c r="B45" s="14">
        <v>-41408</v>
      </c>
      <c r="C45" s="17">
        <f t="shared" si="2"/>
        <v>-2.0435961923412523E-2</v>
      </c>
      <c r="D45" s="14">
        <v>-87746</v>
      </c>
      <c r="E45" s="17">
        <f t="shared" si="4"/>
        <v>-3.5637915271715448E-2</v>
      </c>
      <c r="F45" s="17">
        <f t="shared" si="3"/>
        <v>1.1190591190108192</v>
      </c>
    </row>
    <row r="46" spans="1:7" x14ac:dyDescent="0.3">
      <c r="A46" s="14" t="s">
        <v>12</v>
      </c>
      <c r="B46" s="14">
        <v>-8533</v>
      </c>
      <c r="C46" s="17">
        <f t="shared" si="2"/>
        <v>-4.2112650476352166E-3</v>
      </c>
      <c r="D46" s="14">
        <v>-35289</v>
      </c>
      <c r="E46" s="17">
        <f t="shared" si="4"/>
        <v>-1.4332578032315619E-2</v>
      </c>
      <c r="F46" s="17">
        <f t="shared" si="3"/>
        <v>3.1355912340325793</v>
      </c>
    </row>
    <row r="47" spans="1:7" x14ac:dyDescent="0.3">
      <c r="A47" s="14" t="s">
        <v>52</v>
      </c>
      <c r="B47" s="14">
        <f>-60348+5528</f>
        <v>-54820</v>
      </c>
      <c r="C47" s="17">
        <f t="shared" si="2"/>
        <v>-2.7055144721828496E-2</v>
      </c>
      <c r="D47" s="14">
        <v>-23025</v>
      </c>
      <c r="E47" s="17">
        <f t="shared" si="4"/>
        <v>-9.3515715717098005E-3</v>
      </c>
      <c r="F47" s="17">
        <f t="shared" si="3"/>
        <v>-0.57998905508938348</v>
      </c>
    </row>
    <row r="48" spans="1:7" x14ac:dyDescent="0.3">
      <c r="A48" s="14" t="s">
        <v>14</v>
      </c>
      <c r="B48" s="14">
        <v>23659</v>
      </c>
      <c r="C48" s="17">
        <f t="shared" si="2"/>
        <v>1.1676352954646852E-2</v>
      </c>
      <c r="D48" s="14">
        <v>20010</v>
      </c>
      <c r="E48" s="17">
        <f t="shared" si="4"/>
        <v>8.1270335352839566E-3</v>
      </c>
      <c r="F48" s="17">
        <f t="shared" si="3"/>
        <v>-0.15423306141426096</v>
      </c>
    </row>
    <row r="49" spans="1:7" x14ac:dyDescent="0.3">
      <c r="A49" s="14" t="s">
        <v>16</v>
      </c>
      <c r="B49" s="14">
        <v>67913</v>
      </c>
      <c r="C49" s="17">
        <f t="shared" si="2"/>
        <v>3.3516892438773052E-2</v>
      </c>
      <c r="D49" s="14">
        <v>6542</v>
      </c>
      <c r="E49" s="17">
        <f t="shared" si="4"/>
        <v>2.6570241573127258E-3</v>
      </c>
      <c r="F49" s="17">
        <f t="shared" si="3"/>
        <v>-0.90367087302872795</v>
      </c>
    </row>
    <row r="50" spans="1:7" s="9" customFormat="1" x14ac:dyDescent="0.3">
      <c r="A50" s="30" t="s">
        <v>2</v>
      </c>
      <c r="B50" s="30">
        <f>SUM(B44:B49)</f>
        <v>-3679</v>
      </c>
      <c r="C50" s="42">
        <f t="shared" si="2"/>
        <v>-1.8156854693835653E-3</v>
      </c>
      <c r="D50" s="30">
        <f>SUM(D44:D49)</f>
        <v>-111537</v>
      </c>
      <c r="E50" s="42">
        <f t="shared" si="4"/>
        <v>-4.5300596672911878E-2</v>
      </c>
      <c r="F50" s="42">
        <f t="shared" si="3"/>
        <v>29.317205762435446</v>
      </c>
      <c r="G50" s="8"/>
    </row>
    <row r="51" spans="1:7" s="9" customFormat="1" x14ac:dyDescent="0.3">
      <c r="A51" s="30" t="s">
        <v>41</v>
      </c>
      <c r="B51" s="30">
        <f>+B43+B50</f>
        <v>198233</v>
      </c>
      <c r="C51" s="42">
        <f t="shared" si="2"/>
        <v>9.7833318198508365E-2</v>
      </c>
      <c r="D51" s="30">
        <f>+D43+D50</f>
        <v>177002</v>
      </c>
      <c r="E51" s="42">
        <f t="shared" si="4"/>
        <v>7.1889114933149964E-2</v>
      </c>
      <c r="F51" s="42">
        <f t="shared" si="3"/>
        <v>-0.10710123945054557</v>
      </c>
      <c r="G51" s="8"/>
    </row>
    <row r="52" spans="1:7" x14ac:dyDescent="0.3">
      <c r="A52" s="14" t="s">
        <v>15</v>
      </c>
      <c r="B52" s="14">
        <v>-57085</v>
      </c>
      <c r="C52" s="17">
        <f t="shared" si="2"/>
        <v>-2.8172983152965701E-2</v>
      </c>
      <c r="D52" s="14">
        <v>-53359</v>
      </c>
      <c r="E52" s="17">
        <f t="shared" si="4"/>
        <v>-2.1671683278821421E-2</v>
      </c>
      <c r="F52" s="17">
        <f t="shared" si="3"/>
        <v>-6.5271086975562762E-2</v>
      </c>
    </row>
    <row r="53" spans="1:7" x14ac:dyDescent="0.3">
      <c r="A53" s="14" t="s">
        <v>18</v>
      </c>
      <c r="B53" s="14">
        <v>-262</v>
      </c>
      <c r="C53" s="17">
        <f t="shared" si="2"/>
        <v>-1.293040481050541E-4</v>
      </c>
      <c r="D53" s="14">
        <v>-299</v>
      </c>
      <c r="E53" s="17">
        <f t="shared" si="4"/>
        <v>-1.2143843213642694E-4</v>
      </c>
      <c r="F53" s="17">
        <f t="shared" si="3"/>
        <v>0.14122137404580154</v>
      </c>
    </row>
    <row r="54" spans="1:7" s="9" customFormat="1" x14ac:dyDescent="0.3">
      <c r="A54" s="43" t="s">
        <v>17</v>
      </c>
      <c r="B54" s="43">
        <f>+B51+B52+B53</f>
        <v>140886</v>
      </c>
      <c r="C54" s="44">
        <f t="shared" si="2"/>
        <v>6.9531030997437612E-2</v>
      </c>
      <c r="D54" s="43">
        <f>+D51+D52+D53</f>
        <v>123344</v>
      </c>
      <c r="E54" s="44">
        <f t="shared" si="4"/>
        <v>5.0095993222192124E-2</v>
      </c>
      <c r="F54" s="44">
        <f t="shared" si="3"/>
        <v>-0.12451201680791563</v>
      </c>
      <c r="G54" s="8"/>
    </row>
    <row r="55" spans="1:7" s="9" customFormat="1" ht="15.75" thickBot="1" x14ac:dyDescent="0.35">
      <c r="A55" s="27" t="s">
        <v>19</v>
      </c>
      <c r="B55" s="27">
        <v>267224</v>
      </c>
      <c r="C55" s="45">
        <f t="shared" si="2"/>
        <v>0.13188223263673657</v>
      </c>
      <c r="D55" s="27">
        <v>359195</v>
      </c>
      <c r="E55" s="45">
        <f t="shared" si="4"/>
        <v>0.14588654726168521</v>
      </c>
      <c r="F55" s="45">
        <f t="shared" si="3"/>
        <v>0.34417193066491036</v>
      </c>
      <c r="G55" s="8"/>
    </row>
    <row r="56" spans="1:7" x14ac:dyDescent="0.3">
      <c r="A56" s="2"/>
      <c r="C56" s="3"/>
      <c r="D56" s="10"/>
    </row>
    <row r="57" spans="1:7" x14ac:dyDescent="0.3">
      <c r="A57" s="19" t="s">
        <v>53</v>
      </c>
      <c r="B57" s="14"/>
      <c r="C57" s="14"/>
      <c r="D57" s="17"/>
    </row>
    <row r="58" spans="1:7" x14ac:dyDescent="0.3">
      <c r="D58" s="10"/>
    </row>
  </sheetData>
  <phoneticPr fontId="0" type="noConversion"/>
  <pageMargins left="0.70866141732283472" right="0.43307086614173229" top="0.43307086614173229" bottom="0.51181102362204722" header="0.31496062992125984" footer="0.31496062992125984"/>
  <pageSetup scale="87" orientation="portrait" r:id="rId1"/>
  <headerFooter>
    <oddFooter>&amp;C&amp;A</oddFooter>
  </headerFooter>
  <customProperties>
    <customPr name="_pios_id" r:id="rId2"/>
  </customProperties>
  <legacyDrawing r:id="rId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7"/>
  <sheetViews>
    <sheetView zoomScaleNormal="100" workbookViewId="0">
      <selection activeCell="J16" sqref="J16"/>
    </sheetView>
  </sheetViews>
  <sheetFormatPr baseColWidth="10" defaultColWidth="11.42578125" defaultRowHeight="15" x14ac:dyDescent="0.25"/>
  <cols>
    <col min="1" max="1" width="50.85546875" style="229" bestFit="1" customWidth="1"/>
    <col min="2" max="6" width="11.42578125" style="229" customWidth="1"/>
    <col min="7" max="16384" width="11.42578125" style="229"/>
  </cols>
  <sheetData>
    <row r="1" spans="1:7" ht="18.75" x14ac:dyDescent="0.3">
      <c r="A1" s="228" t="s">
        <v>157</v>
      </c>
      <c r="B1" s="362"/>
      <c r="C1" s="362"/>
      <c r="D1" s="362"/>
      <c r="E1" s="362"/>
    </row>
    <row r="2" spans="1:7" x14ac:dyDescent="0.25">
      <c r="A2" s="332" t="s">
        <v>276</v>
      </c>
      <c r="B2" s="362"/>
      <c r="C2" s="362"/>
      <c r="D2" s="362"/>
      <c r="E2" s="362"/>
    </row>
    <row r="3" spans="1:7" x14ac:dyDescent="0.25">
      <c r="A3" s="332" t="s">
        <v>88</v>
      </c>
      <c r="B3" s="362"/>
      <c r="C3" s="362"/>
      <c r="D3" s="362"/>
      <c r="E3" s="362"/>
    </row>
    <row r="4" spans="1:7" x14ac:dyDescent="0.25">
      <c r="A4" s="231" t="s">
        <v>159</v>
      </c>
      <c r="B4" s="362"/>
      <c r="C4" s="362"/>
      <c r="D4" s="362"/>
      <c r="E4" s="362"/>
    </row>
    <row r="5" spans="1:7" ht="15.75" thickBot="1" x14ac:dyDescent="0.3"/>
    <row r="6" spans="1:7" ht="23.25" thickBot="1" x14ac:dyDescent="0.3">
      <c r="A6" s="337"/>
      <c r="B6" s="338" t="s">
        <v>267</v>
      </c>
      <c r="C6" s="410" t="s">
        <v>268</v>
      </c>
      <c r="D6" s="420" t="s">
        <v>140</v>
      </c>
      <c r="E6" s="338" t="s">
        <v>267</v>
      </c>
      <c r="F6" s="410" t="s">
        <v>279</v>
      </c>
      <c r="G6" s="420" t="s">
        <v>140</v>
      </c>
    </row>
    <row r="7" spans="1:7" ht="15.75" thickTop="1" x14ac:dyDescent="0.25">
      <c r="A7" s="376" t="s">
        <v>20</v>
      </c>
      <c r="B7" s="377"/>
      <c r="C7" s="411"/>
      <c r="D7" s="411"/>
      <c r="E7" s="377"/>
      <c r="F7" s="411"/>
      <c r="G7" s="411"/>
    </row>
    <row r="8" spans="1:7" x14ac:dyDescent="0.25">
      <c r="A8" s="378" t="s">
        <v>160</v>
      </c>
      <c r="B8" s="379"/>
      <c r="C8" s="412"/>
      <c r="D8" s="421"/>
      <c r="E8" s="379"/>
      <c r="F8" s="412"/>
      <c r="G8" s="421"/>
    </row>
    <row r="9" spans="1:7" ht="15.75" thickBot="1" x14ac:dyDescent="0.3">
      <c r="A9" s="240" t="s">
        <v>161</v>
      </c>
      <c r="B9" s="242">
        <v>435643</v>
      </c>
      <c r="C9" s="413">
        <v>301229</v>
      </c>
      <c r="D9" s="422">
        <f t="shared" ref="D9:D15" si="0">(C9-B9)/B9</f>
        <v>-0.30854162697438042</v>
      </c>
      <c r="E9" s="242">
        <v>435643</v>
      </c>
      <c r="F9" s="413">
        <v>323015</v>
      </c>
      <c r="G9" s="422">
        <f>(F9-E9)/E9</f>
        <v>-0.25853278946293179</v>
      </c>
    </row>
    <row r="10" spans="1:7" ht="15.75" thickBot="1" x14ac:dyDescent="0.3">
      <c r="A10" s="240" t="s">
        <v>162</v>
      </c>
      <c r="B10" s="242">
        <v>957568</v>
      </c>
      <c r="C10" s="413">
        <v>971734</v>
      </c>
      <c r="D10" s="422">
        <f t="shared" si="0"/>
        <v>1.4793727442855233E-2</v>
      </c>
      <c r="E10" s="242">
        <v>957568</v>
      </c>
      <c r="F10" s="413">
        <v>982429</v>
      </c>
      <c r="G10" s="422">
        <f t="shared" ref="G10:G15" si="1">(F10-E10)/E10</f>
        <v>2.5962647039165888E-2</v>
      </c>
    </row>
    <row r="11" spans="1:7" ht="15.75" thickBot="1" x14ac:dyDescent="0.3">
      <c r="A11" s="240" t="s">
        <v>36</v>
      </c>
      <c r="B11" s="242">
        <v>982816</v>
      </c>
      <c r="C11" s="413">
        <v>993585</v>
      </c>
      <c r="D11" s="422">
        <f t="shared" si="0"/>
        <v>1.095729007260769E-2</v>
      </c>
      <c r="E11" s="242">
        <v>982816</v>
      </c>
      <c r="F11" s="413">
        <v>985572</v>
      </c>
      <c r="G11" s="422">
        <f t="shared" si="1"/>
        <v>2.804187152020317E-3</v>
      </c>
    </row>
    <row r="12" spans="1:7" ht="15.75" thickBot="1" x14ac:dyDescent="0.3">
      <c r="A12" s="240" t="s">
        <v>163</v>
      </c>
      <c r="B12" s="242">
        <v>81518</v>
      </c>
      <c r="C12" s="413">
        <v>79715</v>
      </c>
      <c r="D12" s="422">
        <f t="shared" si="0"/>
        <v>-2.211781447042371E-2</v>
      </c>
      <c r="E12" s="242">
        <v>81518</v>
      </c>
      <c r="F12" s="413">
        <v>80952</v>
      </c>
      <c r="G12" s="422">
        <f t="shared" si="1"/>
        <v>-6.943251797149096E-3</v>
      </c>
    </row>
    <row r="13" spans="1:7" ht="15.75" thickBot="1" x14ac:dyDescent="0.3">
      <c r="A13" s="240" t="s">
        <v>164</v>
      </c>
      <c r="B13" s="242">
        <v>221475</v>
      </c>
      <c r="C13" s="413">
        <v>244400</v>
      </c>
      <c r="D13" s="422">
        <f t="shared" si="0"/>
        <v>0.10351055423862739</v>
      </c>
      <c r="E13" s="242">
        <v>221475</v>
      </c>
      <c r="F13" s="413">
        <v>282116</v>
      </c>
      <c r="G13" s="422">
        <f t="shared" si="1"/>
        <v>0.27380516988373405</v>
      </c>
    </row>
    <row r="14" spans="1:7" ht="15.75" thickBot="1" x14ac:dyDescent="0.3">
      <c r="A14" s="245" t="s">
        <v>165</v>
      </c>
      <c r="B14" s="247">
        <v>6557</v>
      </c>
      <c r="C14" s="414">
        <v>6385</v>
      </c>
      <c r="D14" s="422">
        <f t="shared" si="0"/>
        <v>-2.6231508311727925E-2</v>
      </c>
      <c r="E14" s="247">
        <v>6557</v>
      </c>
      <c r="F14" s="414">
        <v>6585</v>
      </c>
      <c r="G14" s="422">
        <f t="shared" si="1"/>
        <v>4.2702455391184996E-3</v>
      </c>
    </row>
    <row r="15" spans="1:7" ht="15.75" thickBot="1" x14ac:dyDescent="0.3">
      <c r="A15" s="249" t="s">
        <v>166</v>
      </c>
      <c r="B15" s="250">
        <f>SUM(B9:B14)</f>
        <v>2685577</v>
      </c>
      <c r="C15" s="415">
        <f>SUM(C9:C14)</f>
        <v>2597048</v>
      </c>
      <c r="D15" s="422">
        <f t="shared" si="0"/>
        <v>-3.2964610584615521E-2</v>
      </c>
      <c r="E15" s="250">
        <f>SUM(E9:E14)</f>
        <v>2685577</v>
      </c>
      <c r="F15" s="415">
        <f>SUM(F9:F14)</f>
        <v>2660669</v>
      </c>
      <c r="G15" s="422">
        <f t="shared" si="1"/>
        <v>-9.2747294156898131E-3</v>
      </c>
    </row>
    <row r="16" spans="1:7" x14ac:dyDescent="0.25">
      <c r="A16" s="378" t="s">
        <v>167</v>
      </c>
      <c r="B16" s="379"/>
      <c r="C16" s="412"/>
      <c r="D16" s="421"/>
      <c r="E16" s="379"/>
      <c r="F16" s="412"/>
      <c r="G16" s="421"/>
    </row>
    <row r="17" spans="1:7" ht="15.75" thickBot="1" x14ac:dyDescent="0.3">
      <c r="A17" s="240" t="s">
        <v>162</v>
      </c>
      <c r="B17" s="242">
        <v>26509</v>
      </c>
      <c r="C17" s="413">
        <v>25388</v>
      </c>
      <c r="D17" s="422">
        <f t="shared" ref="D17:D27" si="2">(C17-B17)/B17</f>
        <v>-4.2287524991512317E-2</v>
      </c>
      <c r="E17" s="242">
        <v>26509</v>
      </c>
      <c r="F17" s="413">
        <v>26277</v>
      </c>
      <c r="G17" s="422">
        <f t="shared" ref="G17:G27" si="3">(F17-E17)/E17</f>
        <v>-8.7517446904824773E-3</v>
      </c>
    </row>
    <row r="18" spans="1:7" ht="15.75" thickBot="1" x14ac:dyDescent="0.3">
      <c r="A18" s="240" t="s">
        <v>169</v>
      </c>
      <c r="B18" s="242">
        <v>180451</v>
      </c>
      <c r="C18" s="413">
        <v>176658</v>
      </c>
      <c r="D18" s="422">
        <f t="shared" si="2"/>
        <v>-2.1019556555519226E-2</v>
      </c>
      <c r="E18" s="242">
        <v>180451</v>
      </c>
      <c r="F18" s="413">
        <v>177513</v>
      </c>
      <c r="G18" s="422">
        <f t="shared" si="3"/>
        <v>-1.6281428199344975E-2</v>
      </c>
    </row>
    <row r="19" spans="1:7" ht="15.75" thickBot="1" x14ac:dyDescent="0.3">
      <c r="A19" s="240" t="s">
        <v>170</v>
      </c>
      <c r="B19" s="242">
        <v>4133963</v>
      </c>
      <c r="C19" s="413">
        <v>3718895</v>
      </c>
      <c r="D19" s="422">
        <f t="shared" si="2"/>
        <v>-0.10040438194536333</v>
      </c>
      <c r="E19" s="242">
        <v>4133963</v>
      </c>
      <c r="F19" s="413">
        <v>3820160</v>
      </c>
      <c r="G19" s="422">
        <f t="shared" si="3"/>
        <v>-7.5908516839652412E-2</v>
      </c>
    </row>
    <row r="20" spans="1:7" ht="15.75" thickBot="1" x14ac:dyDescent="0.3">
      <c r="A20" s="240" t="s">
        <v>171</v>
      </c>
      <c r="B20" s="242">
        <v>3395671</v>
      </c>
      <c r="C20" s="413">
        <v>3288035</v>
      </c>
      <c r="D20" s="422">
        <f t="shared" si="2"/>
        <v>-3.169800607891636E-2</v>
      </c>
      <c r="E20" s="242">
        <v>3395671</v>
      </c>
      <c r="F20" s="413">
        <v>3290669</v>
      </c>
      <c r="G20" s="422">
        <f t="shared" si="3"/>
        <v>-3.092231255619287E-2</v>
      </c>
    </row>
    <row r="21" spans="1:7" ht="15.75" thickBot="1" x14ac:dyDescent="0.3">
      <c r="A21" s="240" t="s">
        <v>141</v>
      </c>
      <c r="B21" s="242">
        <v>72306</v>
      </c>
      <c r="C21" s="413">
        <v>77337</v>
      </c>
      <c r="D21" s="422">
        <f t="shared" si="2"/>
        <v>6.9579288025889974E-2</v>
      </c>
      <c r="E21" s="242">
        <v>72306</v>
      </c>
      <c r="F21" s="413">
        <v>77245</v>
      </c>
      <c r="G21" s="422">
        <f t="shared" si="3"/>
        <v>6.8306917821480934E-2</v>
      </c>
    </row>
    <row r="22" spans="1:7" ht="15.75" thickBot="1" x14ac:dyDescent="0.3">
      <c r="A22" s="240" t="s">
        <v>247</v>
      </c>
      <c r="B22" s="242">
        <v>2118226</v>
      </c>
      <c r="C22" s="413">
        <v>2058314</v>
      </c>
      <c r="D22" s="422">
        <f t="shared" si="2"/>
        <v>-2.8284045234077949E-2</v>
      </c>
      <c r="E22" s="242">
        <v>2118226</v>
      </c>
      <c r="F22" s="413">
        <v>2039695</v>
      </c>
      <c r="G22" s="422">
        <f t="shared" si="3"/>
        <v>-3.707394772795726E-2</v>
      </c>
    </row>
    <row r="23" spans="1:7" ht="15.75" thickBot="1" x14ac:dyDescent="0.3">
      <c r="A23" s="240" t="s">
        <v>173</v>
      </c>
      <c r="B23" s="242">
        <v>1181350</v>
      </c>
      <c r="C23" s="413">
        <v>1149138</v>
      </c>
      <c r="D23" s="422">
        <f t="shared" si="2"/>
        <v>-2.7267109662674059E-2</v>
      </c>
      <c r="E23" s="242">
        <v>1181350</v>
      </c>
      <c r="F23" s="413">
        <v>1148745</v>
      </c>
      <c r="G23" s="422">
        <f t="shared" si="3"/>
        <v>-2.7599779912811612E-2</v>
      </c>
    </row>
    <row r="24" spans="1:7" ht="15.75" thickBot="1" x14ac:dyDescent="0.3">
      <c r="A24" s="240" t="s">
        <v>280</v>
      </c>
      <c r="B24" s="242">
        <v>415072</v>
      </c>
      <c r="C24" s="413">
        <v>403858</v>
      </c>
      <c r="D24" s="422">
        <f t="shared" si="2"/>
        <v>-2.7016999460334593E-2</v>
      </c>
      <c r="E24" s="242">
        <v>415072</v>
      </c>
      <c r="F24" s="413">
        <v>386564</v>
      </c>
      <c r="G24" s="422">
        <f t="shared" si="3"/>
        <v>-6.8682059979955287E-2</v>
      </c>
    </row>
    <row r="25" spans="1:7" ht="15.75" thickBot="1" x14ac:dyDescent="0.3">
      <c r="A25" s="245" t="s">
        <v>259</v>
      </c>
      <c r="B25" s="247">
        <v>100352</v>
      </c>
      <c r="C25" s="414">
        <v>73714</v>
      </c>
      <c r="D25" s="423">
        <f t="shared" si="2"/>
        <v>-0.26544563137755101</v>
      </c>
      <c r="E25" s="247">
        <v>100352</v>
      </c>
      <c r="F25" s="414">
        <v>68050</v>
      </c>
      <c r="G25" s="423">
        <f t="shared" si="3"/>
        <v>-0.32188695790816324</v>
      </c>
    </row>
    <row r="26" spans="1:7" ht="15.75" thickBot="1" x14ac:dyDescent="0.3">
      <c r="A26" s="249" t="s">
        <v>175</v>
      </c>
      <c r="B26" s="250">
        <f>SUM(B17:B25)</f>
        <v>11623900</v>
      </c>
      <c r="C26" s="415">
        <f>SUM(C17:C25)</f>
        <v>10971337</v>
      </c>
      <c r="D26" s="424">
        <f t="shared" si="2"/>
        <v>-5.6139763762592589E-2</v>
      </c>
      <c r="E26" s="250">
        <f>SUM(E17:E25)</f>
        <v>11623900</v>
      </c>
      <c r="F26" s="415">
        <f>SUM(F17:F25)</f>
        <v>11034918</v>
      </c>
      <c r="G26" s="424">
        <f t="shared" si="3"/>
        <v>-5.0669912851968792E-2</v>
      </c>
    </row>
    <row r="27" spans="1:7" ht="15.75" thickBot="1" x14ac:dyDescent="0.3">
      <c r="A27" s="382" t="s">
        <v>176</v>
      </c>
      <c r="B27" s="383">
        <f>+B15+B26</f>
        <v>14309477</v>
      </c>
      <c r="C27" s="416">
        <f>+C15+C26</f>
        <v>13568385</v>
      </c>
      <c r="D27" s="425">
        <f t="shared" si="2"/>
        <v>-5.1790292545283098E-2</v>
      </c>
      <c r="E27" s="383">
        <f>+E15+E26</f>
        <v>14309477</v>
      </c>
      <c r="F27" s="416">
        <f>+F15+F26</f>
        <v>13695587</v>
      </c>
      <c r="G27" s="425">
        <f t="shared" si="3"/>
        <v>-4.2900939007065035E-2</v>
      </c>
    </row>
    <row r="28" spans="1:7" x14ac:dyDescent="0.25">
      <c r="A28" s="376" t="s">
        <v>142</v>
      </c>
      <c r="B28" s="377"/>
      <c r="C28" s="411"/>
      <c r="D28" s="411"/>
      <c r="E28" s="377"/>
      <c r="F28" s="411"/>
      <c r="G28" s="411"/>
    </row>
    <row r="29" spans="1:7" x14ac:dyDescent="0.25">
      <c r="A29" s="378" t="s">
        <v>177</v>
      </c>
      <c r="B29" s="379"/>
      <c r="C29" s="412"/>
      <c r="D29" s="421"/>
      <c r="E29" s="379"/>
      <c r="F29" s="412"/>
      <c r="G29" s="421"/>
    </row>
    <row r="30" spans="1:7" ht="15.75" thickBot="1" x14ac:dyDescent="0.3">
      <c r="A30" s="240" t="s">
        <v>28</v>
      </c>
      <c r="B30" s="242">
        <v>557133</v>
      </c>
      <c r="C30" s="413">
        <v>718979</v>
      </c>
      <c r="D30" s="422">
        <f t="shared" ref="D30:D36" si="4">(C30-B30)/B30</f>
        <v>0.29049796009211443</v>
      </c>
      <c r="E30" s="242">
        <v>557133</v>
      </c>
      <c r="F30" s="413">
        <v>360929</v>
      </c>
      <c r="G30" s="422">
        <f t="shared" ref="G30:G36" si="5">(F30-E30)/E30</f>
        <v>-0.35216725629248313</v>
      </c>
    </row>
    <row r="31" spans="1:7" ht="15.75" thickBot="1" x14ac:dyDescent="0.3">
      <c r="A31" s="240" t="s">
        <v>178</v>
      </c>
      <c r="B31" s="242">
        <v>993241</v>
      </c>
      <c r="C31" s="413">
        <v>995912</v>
      </c>
      <c r="D31" s="422">
        <f t="shared" si="4"/>
        <v>2.6891761415406734E-3</v>
      </c>
      <c r="E31" s="242">
        <v>993241</v>
      </c>
      <c r="F31" s="413">
        <v>960300</v>
      </c>
      <c r="G31" s="422">
        <f t="shared" si="5"/>
        <v>-3.3165163339008361E-2</v>
      </c>
    </row>
    <row r="32" spans="1:7" ht="15.75" thickBot="1" x14ac:dyDescent="0.3">
      <c r="A32" s="240" t="s">
        <v>257</v>
      </c>
      <c r="B32" s="242">
        <v>207776</v>
      </c>
      <c r="C32" s="413">
        <v>173161</v>
      </c>
      <c r="D32" s="422">
        <f t="shared" si="4"/>
        <v>-0.16659768211920531</v>
      </c>
      <c r="E32" s="242">
        <v>207776</v>
      </c>
      <c r="F32" s="413">
        <v>254457</v>
      </c>
      <c r="G32" s="422">
        <f t="shared" si="5"/>
        <v>0.22466983674726629</v>
      </c>
    </row>
    <row r="33" spans="1:7" ht="15.75" thickBot="1" x14ac:dyDescent="0.3">
      <c r="A33" s="240" t="s">
        <v>179</v>
      </c>
      <c r="B33" s="242">
        <v>172730</v>
      </c>
      <c r="C33" s="413">
        <v>150309</v>
      </c>
      <c r="D33" s="422">
        <f t="shared" si="4"/>
        <v>-0.12980373994094829</v>
      </c>
      <c r="E33" s="242">
        <v>172730</v>
      </c>
      <c r="F33" s="413">
        <v>161420</v>
      </c>
      <c r="G33" s="422">
        <f t="shared" si="5"/>
        <v>-6.5477913506628849E-2</v>
      </c>
    </row>
    <row r="34" spans="1:7" ht="15.75" thickBot="1" x14ac:dyDescent="0.3">
      <c r="A34" s="240" t="s">
        <v>180</v>
      </c>
      <c r="B34" s="242">
        <v>9820</v>
      </c>
      <c r="C34" s="413">
        <v>4186</v>
      </c>
      <c r="D34" s="422">
        <f t="shared" si="4"/>
        <v>-0.57372708757637469</v>
      </c>
      <c r="E34" s="242">
        <v>9820</v>
      </c>
      <c r="F34" s="413">
        <v>4005</v>
      </c>
      <c r="G34" s="422">
        <f t="shared" si="5"/>
        <v>-0.59215885947046842</v>
      </c>
    </row>
    <row r="35" spans="1:7" ht="15.75" thickBot="1" x14ac:dyDescent="0.3">
      <c r="A35" s="245" t="s">
        <v>260</v>
      </c>
      <c r="B35" s="247">
        <v>14261</v>
      </c>
      <c r="C35" s="414">
        <v>23398</v>
      </c>
      <c r="D35" s="423">
        <f t="shared" si="4"/>
        <v>0.640698408246266</v>
      </c>
      <c r="E35" s="247">
        <v>14261</v>
      </c>
      <c r="F35" s="414">
        <v>16593</v>
      </c>
      <c r="G35" s="423">
        <f t="shared" si="5"/>
        <v>0.16352289460767128</v>
      </c>
    </row>
    <row r="36" spans="1:7" ht="15.75" thickBot="1" x14ac:dyDescent="0.3">
      <c r="A36" s="249" t="s">
        <v>181</v>
      </c>
      <c r="B36" s="250">
        <f>SUM(B30:B35)</f>
        <v>1954961</v>
      </c>
      <c r="C36" s="415">
        <f>SUM(C30:C35)</f>
        <v>2065945</v>
      </c>
      <c r="D36" s="424">
        <f t="shared" si="4"/>
        <v>5.6770441967896032E-2</v>
      </c>
      <c r="E36" s="250">
        <f>SUM(E30:E35)</f>
        <v>1954961</v>
      </c>
      <c r="F36" s="415">
        <f>SUM(F30:F35)</f>
        <v>1757704</v>
      </c>
      <c r="G36" s="424">
        <f t="shared" si="5"/>
        <v>-0.10090073408114024</v>
      </c>
    </row>
    <row r="37" spans="1:7" x14ac:dyDescent="0.25">
      <c r="A37" s="378" t="s">
        <v>182</v>
      </c>
      <c r="B37" s="379"/>
      <c r="C37" s="412"/>
      <c r="D37" s="421"/>
      <c r="E37" s="379"/>
      <c r="F37" s="412"/>
      <c r="G37" s="421"/>
    </row>
    <row r="38" spans="1:7" ht="15.75" thickBot="1" x14ac:dyDescent="0.3">
      <c r="A38" s="240" t="s">
        <v>28</v>
      </c>
      <c r="B38" s="242">
        <v>2474077</v>
      </c>
      <c r="C38" s="413">
        <v>2362473</v>
      </c>
      <c r="D38" s="422">
        <f t="shared" ref="D38:D44" si="6">(C38-B38)/B38</f>
        <v>-4.5109347849723348E-2</v>
      </c>
      <c r="E38" s="242">
        <v>2474077</v>
      </c>
      <c r="F38" s="413">
        <v>2564220</v>
      </c>
      <c r="G38" s="422">
        <f t="shared" ref="G38:G44" si="7">(F38-E38)/E38</f>
        <v>3.643500182088108E-2</v>
      </c>
    </row>
    <row r="39" spans="1:7" ht="15.75" thickBot="1" x14ac:dyDescent="0.3">
      <c r="A39" s="240" t="s">
        <v>178</v>
      </c>
      <c r="B39" s="241">
        <v>158</v>
      </c>
      <c r="C39" s="417">
        <v>158</v>
      </c>
      <c r="D39" s="422">
        <f t="shared" si="6"/>
        <v>0</v>
      </c>
      <c r="E39" s="241">
        <v>158</v>
      </c>
      <c r="F39" s="417">
        <v>158</v>
      </c>
      <c r="G39" s="422">
        <f t="shared" si="7"/>
        <v>0</v>
      </c>
    </row>
    <row r="40" spans="1:7" ht="15.75" thickBot="1" x14ac:dyDescent="0.3">
      <c r="A40" s="240" t="s">
        <v>179</v>
      </c>
      <c r="B40" s="242">
        <v>226574</v>
      </c>
      <c r="C40" s="413">
        <v>225014</v>
      </c>
      <c r="D40" s="422">
        <f t="shared" si="6"/>
        <v>-6.8851677597606079E-3</v>
      </c>
      <c r="E40" s="242">
        <v>226574</v>
      </c>
      <c r="F40" s="413">
        <v>221454</v>
      </c>
      <c r="G40" s="422">
        <f t="shared" si="7"/>
        <v>-2.2597473673060458E-2</v>
      </c>
    </row>
    <row r="41" spans="1:7" ht="15.75" thickBot="1" x14ac:dyDescent="0.3">
      <c r="A41" s="240" t="s">
        <v>183</v>
      </c>
      <c r="B41" s="242">
        <v>702967</v>
      </c>
      <c r="C41" s="413">
        <v>694042</v>
      </c>
      <c r="D41" s="422">
        <f t="shared" si="6"/>
        <v>-1.2696186307465357E-2</v>
      </c>
      <c r="E41" s="242">
        <v>702967</v>
      </c>
      <c r="F41" s="413">
        <v>694741</v>
      </c>
      <c r="G41" s="422">
        <f t="shared" si="7"/>
        <v>-1.1701829531115969E-2</v>
      </c>
    </row>
    <row r="42" spans="1:7" ht="15.75" thickBot="1" x14ac:dyDescent="0.3">
      <c r="A42" s="245" t="s">
        <v>261</v>
      </c>
      <c r="B42" s="246">
        <v>559</v>
      </c>
      <c r="C42" s="418">
        <v>544</v>
      </c>
      <c r="D42" s="422">
        <f t="shared" si="6"/>
        <v>-2.6833631484794274E-2</v>
      </c>
      <c r="E42" s="246">
        <v>559</v>
      </c>
      <c r="F42" s="418">
        <v>516</v>
      </c>
      <c r="G42" s="422">
        <f t="shared" si="7"/>
        <v>-7.6923076923076927E-2</v>
      </c>
    </row>
    <row r="43" spans="1:7" ht="15.75" thickBot="1" x14ac:dyDescent="0.3">
      <c r="A43" s="249" t="s">
        <v>185</v>
      </c>
      <c r="B43" s="250">
        <f>SUM(B38:B42)</f>
        <v>3404335</v>
      </c>
      <c r="C43" s="415">
        <f>SUM(C38:C42)</f>
        <v>3282231</v>
      </c>
      <c r="D43" s="424">
        <f t="shared" si="6"/>
        <v>-3.5867210483104629E-2</v>
      </c>
      <c r="E43" s="250">
        <f>SUM(E38:E42)</f>
        <v>3404335</v>
      </c>
      <c r="F43" s="415">
        <f>SUM(F38:F42)</f>
        <v>3481089</v>
      </c>
      <c r="G43" s="424">
        <f t="shared" si="7"/>
        <v>2.2545959783628815E-2</v>
      </c>
    </row>
    <row r="44" spans="1:7" ht="15.75" thickBot="1" x14ac:dyDescent="0.3">
      <c r="A44" s="382" t="s">
        <v>186</v>
      </c>
      <c r="B44" s="383">
        <f>+B36+B43</f>
        <v>5359296</v>
      </c>
      <c r="C44" s="416">
        <f>+C36+C43</f>
        <v>5348176</v>
      </c>
      <c r="D44" s="425">
        <f t="shared" si="6"/>
        <v>-2.0748993897705967E-3</v>
      </c>
      <c r="E44" s="383">
        <f>+E36+E43</f>
        <v>5359296</v>
      </c>
      <c r="F44" s="416">
        <f>+F36+F43</f>
        <v>5238793</v>
      </c>
      <c r="G44" s="425">
        <f t="shared" si="7"/>
        <v>-2.2484856219921422E-2</v>
      </c>
    </row>
    <row r="45" spans="1:7" x14ac:dyDescent="0.25">
      <c r="A45" s="376" t="s">
        <v>34</v>
      </c>
      <c r="B45" s="377"/>
      <c r="C45" s="411"/>
      <c r="D45" s="411"/>
      <c r="E45" s="377"/>
      <c r="F45" s="411"/>
      <c r="G45" s="411"/>
    </row>
    <row r="46" spans="1:7" ht="15.75" thickBot="1" x14ac:dyDescent="0.3">
      <c r="A46" s="249" t="s">
        <v>187</v>
      </c>
      <c r="B46" s="250">
        <v>8907656</v>
      </c>
      <c r="C46" s="415">
        <v>8180319</v>
      </c>
      <c r="D46" s="424">
        <f>(C46-B46)/B46</f>
        <v>-8.1653018482078787E-2</v>
      </c>
      <c r="E46" s="250">
        <v>8907656</v>
      </c>
      <c r="F46" s="415">
        <v>8417112</v>
      </c>
      <c r="G46" s="424">
        <f>(F46-E46)/E46</f>
        <v>-5.506993085498587E-2</v>
      </c>
    </row>
    <row r="47" spans="1:7" ht="15.75" thickBot="1" x14ac:dyDescent="0.3">
      <c r="A47" s="259" t="s">
        <v>188</v>
      </c>
      <c r="B47" s="247">
        <v>42525</v>
      </c>
      <c r="C47" s="414">
        <v>39890</v>
      </c>
      <c r="D47" s="423">
        <f>(C47-B47)/B47</f>
        <v>-6.1963550852439743E-2</v>
      </c>
      <c r="E47" s="247">
        <v>42525</v>
      </c>
      <c r="F47" s="414">
        <v>39682</v>
      </c>
      <c r="G47" s="423">
        <f>(F47-E47)/E47</f>
        <v>-6.6854791299235744E-2</v>
      </c>
    </row>
    <row r="48" spans="1:7" ht="15.75" thickBot="1" x14ac:dyDescent="0.3">
      <c r="A48" s="382" t="s">
        <v>189</v>
      </c>
      <c r="B48" s="383">
        <f>SUM(B46:B47)</f>
        <v>8950181</v>
      </c>
      <c r="C48" s="416">
        <f>SUM(C46:C47)</f>
        <v>8220209</v>
      </c>
      <c r="D48" s="425">
        <f>(C48-B48)/B48</f>
        <v>-8.1559467903498259E-2</v>
      </c>
      <c r="E48" s="383">
        <f>SUM(E46:E47)</f>
        <v>8950181</v>
      </c>
      <c r="F48" s="416">
        <f>SUM(F46:F47)</f>
        <v>8456794</v>
      </c>
      <c r="G48" s="425">
        <f>(F48-E48)/E48</f>
        <v>-5.5125924269017579E-2</v>
      </c>
    </row>
    <row r="49" spans="1:20" ht="15.75" thickBot="1" x14ac:dyDescent="0.3">
      <c r="A49" s="380" t="s">
        <v>190</v>
      </c>
      <c r="B49" s="381">
        <f>+B44+B48</f>
        <v>14309477</v>
      </c>
      <c r="C49" s="419">
        <f>+C44+C48</f>
        <v>13568385</v>
      </c>
      <c r="D49" s="426">
        <f>(C49-B49)/B49</f>
        <v>-5.1790292545283098E-2</v>
      </c>
      <c r="E49" s="381">
        <f>+E44+E48</f>
        <v>14309477</v>
      </c>
      <c r="F49" s="419">
        <f>+F44+F48</f>
        <v>13695587</v>
      </c>
      <c r="G49" s="426">
        <f>(F49-E49)/E49</f>
        <v>-4.2900939007065035E-2</v>
      </c>
    </row>
    <row r="51" spans="1:20" x14ac:dyDescent="0.25">
      <c r="B51" s="263"/>
      <c r="C51" s="263"/>
      <c r="D51" s="263"/>
      <c r="E51" s="263"/>
      <c r="F51" s="263"/>
      <c r="H51" s="263"/>
      <c r="J51" s="263"/>
      <c r="M51" s="263"/>
      <c r="O51" s="263"/>
      <c r="R51" s="263"/>
      <c r="T51" s="263"/>
    </row>
    <row r="52" spans="1:20" ht="18.75" x14ac:dyDescent="0.3">
      <c r="A52" s="264" t="s">
        <v>191</v>
      </c>
      <c r="B52" s="362"/>
      <c r="C52" s="362"/>
      <c r="D52" s="362"/>
      <c r="E52" s="362"/>
    </row>
    <row r="53" spans="1:20" x14ac:dyDescent="0.25">
      <c r="A53" s="332" t="s">
        <v>215</v>
      </c>
      <c r="B53" s="362"/>
      <c r="C53" s="362"/>
      <c r="D53" s="362"/>
      <c r="E53" s="362"/>
    </row>
    <row r="54" spans="1:20" x14ac:dyDescent="0.25">
      <c r="A54" s="332" t="s">
        <v>88</v>
      </c>
      <c r="B54" s="362"/>
      <c r="C54" s="362"/>
      <c r="D54" s="362"/>
      <c r="E54" s="362"/>
    </row>
    <row r="55" spans="1:20" x14ac:dyDescent="0.25">
      <c r="A55" s="265" t="s">
        <v>159</v>
      </c>
      <c r="B55" s="362"/>
      <c r="C55" s="362"/>
      <c r="D55" s="362"/>
      <c r="E55" s="362"/>
    </row>
    <row r="56" spans="1:20" ht="15.75" thickBot="1" x14ac:dyDescent="0.3">
      <c r="B56" s="364"/>
      <c r="C56" s="364"/>
      <c r="D56" s="364"/>
      <c r="E56" s="364"/>
    </row>
    <row r="57" spans="1:20" ht="15.75" customHeight="1" thickBot="1" x14ac:dyDescent="0.3">
      <c r="A57" s="353"/>
      <c r="B57" s="388" t="s">
        <v>245</v>
      </c>
      <c r="C57" s="388" t="s">
        <v>55</v>
      </c>
      <c r="D57" s="400" t="s">
        <v>270</v>
      </c>
      <c r="E57" s="400" t="s">
        <v>55</v>
      </c>
      <c r="F57" s="388" t="s">
        <v>46</v>
      </c>
      <c r="G57" s="388" t="s">
        <v>245</v>
      </c>
      <c r="H57" s="400" t="s">
        <v>270</v>
      </c>
      <c r="I57" s="388" t="s">
        <v>250</v>
      </c>
      <c r="J57" s="388" t="s">
        <v>55</v>
      </c>
      <c r="K57" s="400" t="s">
        <v>277</v>
      </c>
      <c r="L57" s="400" t="s">
        <v>55</v>
      </c>
      <c r="M57" s="388" t="s">
        <v>46</v>
      </c>
      <c r="N57" s="388" t="s">
        <v>251</v>
      </c>
      <c r="O57" s="388" t="s">
        <v>55</v>
      </c>
      <c r="P57" s="400" t="s">
        <v>278</v>
      </c>
      <c r="Q57" s="400" t="s">
        <v>55</v>
      </c>
      <c r="R57" s="388" t="s">
        <v>46</v>
      </c>
    </row>
    <row r="58" spans="1:20" ht="15.75" thickTop="1" x14ac:dyDescent="0.25">
      <c r="A58" s="390" t="s">
        <v>193</v>
      </c>
      <c r="B58" s="389"/>
      <c r="C58" s="389"/>
      <c r="D58" s="401"/>
      <c r="E58" s="406"/>
      <c r="F58" s="389"/>
      <c r="G58" s="389"/>
      <c r="H58" s="401"/>
      <c r="I58" s="389"/>
      <c r="J58" s="389"/>
      <c r="K58" s="401"/>
      <c r="L58" s="406"/>
      <c r="M58" s="389"/>
      <c r="N58" s="389"/>
      <c r="O58" s="389"/>
      <c r="P58" s="401"/>
      <c r="Q58" s="406"/>
      <c r="R58" s="389"/>
    </row>
    <row r="59" spans="1:20" ht="15.75" thickBot="1" x14ac:dyDescent="0.3">
      <c r="A59" s="391" t="s">
        <v>194</v>
      </c>
      <c r="B59" s="458">
        <v>2041823</v>
      </c>
      <c r="C59" s="387">
        <f t="shared" ref="C59:C79" si="8">+B59/$B$59</f>
        <v>1</v>
      </c>
      <c r="D59" s="395">
        <v>2104345</v>
      </c>
      <c r="E59" s="387">
        <f t="shared" ref="E59:E79" si="9">+D59/$D$59</f>
        <v>1</v>
      </c>
      <c r="F59" s="387">
        <f t="shared" ref="F59:F79" si="10">(D59-B59)/B59</f>
        <v>3.0620675739278087E-2</v>
      </c>
      <c r="G59" s="458">
        <v>2041823</v>
      </c>
      <c r="H59" s="395">
        <v>2104345</v>
      </c>
      <c r="I59" s="395">
        <v>2117243</v>
      </c>
      <c r="J59" s="387">
        <f t="shared" ref="J59:J79" si="11">+I59/$I$59</f>
        <v>1</v>
      </c>
      <c r="K59" s="395">
        <v>2222169</v>
      </c>
      <c r="L59" s="387">
        <f t="shared" ref="L59:L79" si="12">+K59/$K$59</f>
        <v>1</v>
      </c>
      <c r="M59" s="387">
        <f>(K59-I59)/I59</f>
        <v>4.9557844800998278E-2</v>
      </c>
      <c r="N59" s="395">
        <f>+G59+I59</f>
        <v>4159066</v>
      </c>
      <c r="O59" s="387">
        <f t="shared" ref="O59:O79" si="13">+N59/$N$59</f>
        <v>1</v>
      </c>
      <c r="P59" s="395">
        <f>+H59+K59</f>
        <v>4326514</v>
      </c>
      <c r="Q59" s="387">
        <f t="shared" ref="Q59:Q79" si="14">+P59/$P$59</f>
        <v>1</v>
      </c>
      <c r="R59" s="387">
        <f>(P59-N59)/N59</f>
        <v>4.0260962437239513E-2</v>
      </c>
    </row>
    <row r="60" spans="1:20" ht="15.75" thickBot="1" x14ac:dyDescent="0.3">
      <c r="A60" s="392" t="s">
        <v>262</v>
      </c>
      <c r="B60" s="460">
        <v>-1150561</v>
      </c>
      <c r="C60" s="384">
        <f t="shared" si="8"/>
        <v>-0.56349693386743116</v>
      </c>
      <c r="D60" s="456">
        <v>-1168715</v>
      </c>
      <c r="E60" s="407">
        <f t="shared" si="9"/>
        <v>-0.5553818409053648</v>
      </c>
      <c r="F60" s="384">
        <f t="shared" si="10"/>
        <v>1.5778389846344523E-2</v>
      </c>
      <c r="G60" s="460">
        <v>-1150561</v>
      </c>
      <c r="H60" s="456">
        <v>-1168715</v>
      </c>
      <c r="I60" s="460">
        <v>-1182469</v>
      </c>
      <c r="J60" s="384">
        <f t="shared" si="11"/>
        <v>-0.55849470278092783</v>
      </c>
      <c r="K60" s="456">
        <v>-1229625</v>
      </c>
      <c r="L60" s="407">
        <f t="shared" si="12"/>
        <v>-0.55334450260083734</v>
      </c>
      <c r="M60" s="384">
        <f t="shared" ref="M60:M79" si="15">(K60-I60)/I60</f>
        <v>3.9879269562246453E-2</v>
      </c>
      <c r="N60" s="460">
        <f t="shared" ref="N60:N85" si="16">+G60+I60</f>
        <v>-2333030</v>
      </c>
      <c r="O60" s="384">
        <f t="shared" si="13"/>
        <v>-0.56095046339731081</v>
      </c>
      <c r="P60" s="402">
        <f t="shared" ref="P60:P85" si="17">+H60+K60</f>
        <v>-2398340</v>
      </c>
      <c r="Q60" s="407">
        <f t="shared" si="14"/>
        <v>-0.55433543032566168</v>
      </c>
      <c r="R60" s="384">
        <f t="shared" ref="R60:R79" si="18">(P60-N60)/N60</f>
        <v>2.7993639173092503E-2</v>
      </c>
    </row>
    <row r="61" spans="1:20" ht="15.75" thickBot="1" x14ac:dyDescent="0.3">
      <c r="A61" s="393" t="s">
        <v>196</v>
      </c>
      <c r="B61" s="461">
        <f>SUM(B59:B60)</f>
        <v>891262</v>
      </c>
      <c r="C61" s="386">
        <f t="shared" si="8"/>
        <v>0.43650306613256878</v>
      </c>
      <c r="D61" s="457">
        <f>SUM(D59:D60)</f>
        <v>935630</v>
      </c>
      <c r="E61" s="408">
        <f t="shared" si="9"/>
        <v>0.44461815909463515</v>
      </c>
      <c r="F61" s="386">
        <f t="shared" si="10"/>
        <v>4.9781096916507152E-2</v>
      </c>
      <c r="G61" s="461">
        <f>SUM(G59:G60)</f>
        <v>891262</v>
      </c>
      <c r="H61" s="457">
        <f>SUM(H59:H60)</f>
        <v>935630</v>
      </c>
      <c r="I61" s="397">
        <f>SUM(I59:I60)</f>
        <v>934774</v>
      </c>
      <c r="J61" s="386">
        <f t="shared" si="11"/>
        <v>0.44150529721907217</v>
      </c>
      <c r="K61" s="403">
        <f>SUM(K59:K60)</f>
        <v>992544</v>
      </c>
      <c r="L61" s="408">
        <f t="shared" si="12"/>
        <v>0.44665549739916272</v>
      </c>
      <c r="M61" s="386">
        <f t="shared" si="15"/>
        <v>6.1801034260687608E-2</v>
      </c>
      <c r="N61" s="397">
        <f t="shared" si="16"/>
        <v>1826036</v>
      </c>
      <c r="O61" s="386">
        <f t="shared" si="13"/>
        <v>0.43904953660268914</v>
      </c>
      <c r="P61" s="403">
        <f t="shared" si="17"/>
        <v>1928174</v>
      </c>
      <c r="Q61" s="408">
        <f t="shared" si="14"/>
        <v>0.44566456967433826</v>
      </c>
      <c r="R61" s="386">
        <f t="shared" si="18"/>
        <v>5.5934275118343778E-2</v>
      </c>
    </row>
    <row r="62" spans="1:20" ht="15.75" thickBot="1" x14ac:dyDescent="0.3">
      <c r="A62" s="392" t="s">
        <v>7</v>
      </c>
      <c r="B62" s="460">
        <v>-100251</v>
      </c>
      <c r="C62" s="384">
        <f t="shared" si="8"/>
        <v>-4.9098771049204556E-2</v>
      </c>
      <c r="D62" s="456">
        <v>-99417</v>
      </c>
      <c r="E62" s="407">
        <f t="shared" si="9"/>
        <v>-4.7243679149569104E-2</v>
      </c>
      <c r="F62" s="384">
        <f t="shared" si="10"/>
        <v>-8.3191190112816837E-3</v>
      </c>
      <c r="G62" s="460">
        <v>-100251</v>
      </c>
      <c r="H62" s="456">
        <v>-99417</v>
      </c>
      <c r="I62" s="460">
        <v>-95340</v>
      </c>
      <c r="J62" s="384">
        <f t="shared" si="11"/>
        <v>-4.5030258690192858E-2</v>
      </c>
      <c r="K62" s="456">
        <v>-97486</v>
      </c>
      <c r="L62" s="407">
        <f t="shared" si="12"/>
        <v>-4.3869750680528799E-2</v>
      </c>
      <c r="M62" s="384">
        <f t="shared" si="15"/>
        <v>2.2508915460457312E-2</v>
      </c>
      <c r="N62" s="460">
        <f t="shared" si="16"/>
        <v>-195591</v>
      </c>
      <c r="O62" s="384">
        <f t="shared" si="13"/>
        <v>-4.7027625914087441E-2</v>
      </c>
      <c r="P62" s="402">
        <f t="shared" si="17"/>
        <v>-196903</v>
      </c>
      <c r="Q62" s="407">
        <f t="shared" si="14"/>
        <v>-4.5510773800801291E-2</v>
      </c>
      <c r="R62" s="384">
        <f t="shared" si="18"/>
        <v>6.7078751067278144E-3</v>
      </c>
    </row>
    <row r="63" spans="1:20" ht="15.75" thickBot="1" x14ac:dyDescent="0.3">
      <c r="A63" s="392" t="s">
        <v>8</v>
      </c>
      <c r="B63" s="460">
        <v>-563544</v>
      </c>
      <c r="C63" s="384">
        <f t="shared" si="8"/>
        <v>-0.27600041727417118</v>
      </c>
      <c r="D63" s="456">
        <v>-607913</v>
      </c>
      <c r="E63" s="407">
        <f t="shared" si="9"/>
        <v>-0.28888466482444658</v>
      </c>
      <c r="F63" s="384">
        <f t="shared" si="10"/>
        <v>7.873209545306134E-2</v>
      </c>
      <c r="G63" s="460">
        <v>-563544</v>
      </c>
      <c r="H63" s="456">
        <v>-607913</v>
      </c>
      <c r="I63" s="460">
        <v>-624951</v>
      </c>
      <c r="J63" s="384">
        <f t="shared" si="11"/>
        <v>-0.29517207047089067</v>
      </c>
      <c r="K63" s="456">
        <v>-655615</v>
      </c>
      <c r="L63" s="407">
        <f t="shared" si="12"/>
        <v>-0.29503381605989465</v>
      </c>
      <c r="M63" s="384">
        <f t="shared" si="15"/>
        <v>4.906624679374863E-2</v>
      </c>
      <c r="N63" s="460">
        <f t="shared" si="16"/>
        <v>-1188495</v>
      </c>
      <c r="O63" s="384">
        <f t="shared" si="13"/>
        <v>-0.28576007209310939</v>
      </c>
      <c r="P63" s="402">
        <f t="shared" si="17"/>
        <v>-1263528</v>
      </c>
      <c r="Q63" s="407">
        <f t="shared" si="14"/>
        <v>-0.2920429703914052</v>
      </c>
      <c r="R63" s="384">
        <f t="shared" si="18"/>
        <v>6.3132785581765175E-2</v>
      </c>
    </row>
    <row r="64" spans="1:20" ht="15.75" thickBot="1" x14ac:dyDescent="0.3">
      <c r="A64" s="392" t="s">
        <v>84</v>
      </c>
      <c r="B64" s="460">
        <v>-32942</v>
      </c>
      <c r="C64" s="384">
        <f t="shared" si="8"/>
        <v>-1.6133621768390307E-2</v>
      </c>
      <c r="D64" s="456">
        <v>-33212</v>
      </c>
      <c r="E64" s="407">
        <f t="shared" si="9"/>
        <v>-1.5782583179088979E-2</v>
      </c>
      <c r="F64" s="384">
        <f t="shared" si="10"/>
        <v>8.1962236658369263E-3</v>
      </c>
      <c r="G64" s="460">
        <v>-32942</v>
      </c>
      <c r="H64" s="456">
        <v>-33212</v>
      </c>
      <c r="I64" s="460">
        <v>-33440</v>
      </c>
      <c r="J64" s="384">
        <f t="shared" si="11"/>
        <v>-1.5794124717852416E-2</v>
      </c>
      <c r="K64" s="456">
        <v>-35500</v>
      </c>
      <c r="L64" s="407">
        <f t="shared" si="12"/>
        <v>-1.5975382610413518E-2</v>
      </c>
      <c r="M64" s="384">
        <f t="shared" si="15"/>
        <v>6.1602870813397131E-2</v>
      </c>
      <c r="N64" s="460">
        <f t="shared" si="16"/>
        <v>-66382</v>
      </c>
      <c r="O64" s="384">
        <f t="shared" si="13"/>
        <v>-1.5960795043887258E-2</v>
      </c>
      <c r="P64" s="402">
        <f t="shared" si="17"/>
        <v>-68712</v>
      </c>
      <c r="Q64" s="407">
        <f t="shared" si="14"/>
        <v>-1.5881608149193555E-2</v>
      </c>
      <c r="R64" s="384">
        <f t="shared" si="18"/>
        <v>3.5099876472537733E-2</v>
      </c>
    </row>
    <row r="65" spans="1:18" ht="15.75" thickBot="1" x14ac:dyDescent="0.3">
      <c r="A65" s="392" t="s">
        <v>197</v>
      </c>
      <c r="B65" s="460">
        <v>2176</v>
      </c>
      <c r="C65" s="384">
        <f t="shared" si="8"/>
        <v>1.0657143150997908E-3</v>
      </c>
      <c r="D65" s="456">
        <v>1952</v>
      </c>
      <c r="E65" s="407">
        <f t="shared" si="9"/>
        <v>9.2760455153503819E-4</v>
      </c>
      <c r="F65" s="384">
        <f t="shared" si="10"/>
        <v>-0.10294117647058823</v>
      </c>
      <c r="G65" s="460">
        <v>2176</v>
      </c>
      <c r="H65" s="456">
        <v>1952</v>
      </c>
      <c r="I65" s="460">
        <v>-1953</v>
      </c>
      <c r="J65" s="384">
        <f t="shared" si="11"/>
        <v>-9.2242600400615333E-4</v>
      </c>
      <c r="K65" s="456">
        <v>-88</v>
      </c>
      <c r="L65" s="407">
        <f t="shared" si="12"/>
        <v>-3.9600948442715201E-5</v>
      </c>
      <c r="M65" s="384">
        <f t="shared" si="15"/>
        <v>-0.95494111623143885</v>
      </c>
      <c r="N65" s="396">
        <f t="shared" si="16"/>
        <v>223</v>
      </c>
      <c r="O65" s="384">
        <f t="shared" si="13"/>
        <v>5.3617807459655608E-5</v>
      </c>
      <c r="P65" s="402">
        <f t="shared" si="17"/>
        <v>1864</v>
      </c>
      <c r="Q65" s="407">
        <f t="shared" si="14"/>
        <v>4.3083184291094401E-4</v>
      </c>
      <c r="R65" s="384" t="s">
        <v>131</v>
      </c>
    </row>
    <row r="66" spans="1:18" ht="15.75" thickBot="1" x14ac:dyDescent="0.3">
      <c r="A66" s="392" t="s">
        <v>144</v>
      </c>
      <c r="B66" s="460">
        <v>7084</v>
      </c>
      <c r="C66" s="384">
        <f t="shared" si="8"/>
        <v>3.4694486250767083E-3</v>
      </c>
      <c r="D66" s="456">
        <v>4942</v>
      </c>
      <c r="E66" s="407">
        <f t="shared" si="9"/>
        <v>2.3484742283228274E-3</v>
      </c>
      <c r="F66" s="384">
        <f t="shared" si="10"/>
        <v>-0.30237154150197626</v>
      </c>
      <c r="G66" s="460">
        <v>7084</v>
      </c>
      <c r="H66" s="456">
        <v>4942</v>
      </c>
      <c r="I66" s="396">
        <v>14508</v>
      </c>
      <c r="J66" s="384">
        <f t="shared" si="11"/>
        <v>6.8523074583314242E-3</v>
      </c>
      <c r="K66" s="456">
        <v>-5545</v>
      </c>
      <c r="L66" s="407">
        <f t="shared" si="12"/>
        <v>-2.4953097626688159E-3</v>
      </c>
      <c r="M66" s="384">
        <f t="shared" si="15"/>
        <v>-1.3822029225255033</v>
      </c>
      <c r="N66" s="396">
        <f t="shared" si="16"/>
        <v>21592</v>
      </c>
      <c r="O66" s="384">
        <f t="shared" si="13"/>
        <v>5.1915502182461161E-3</v>
      </c>
      <c r="P66" s="402">
        <f t="shared" si="17"/>
        <v>-603</v>
      </c>
      <c r="Q66" s="407">
        <f t="shared" si="14"/>
        <v>-1.3937317664983865E-4</v>
      </c>
      <c r="R66" s="384">
        <f t="shared" si="18"/>
        <v>-1.027927010003705</v>
      </c>
    </row>
    <row r="67" spans="1:18" ht="15.75" thickBot="1" x14ac:dyDescent="0.3">
      <c r="A67" s="391" t="s">
        <v>198</v>
      </c>
      <c r="B67" s="395">
        <f>SUM(B61:B66)</f>
        <v>203785</v>
      </c>
      <c r="C67" s="387">
        <f t="shared" si="8"/>
        <v>9.9805418980979249E-2</v>
      </c>
      <c r="D67" s="395">
        <f>SUM(D61:D66)</f>
        <v>201982</v>
      </c>
      <c r="E67" s="387">
        <f t="shared" si="9"/>
        <v>9.5983310721388368E-2</v>
      </c>
      <c r="F67" s="387">
        <f t="shared" si="10"/>
        <v>-8.8475599283558658E-3</v>
      </c>
      <c r="G67" s="395">
        <f>SUM(G61:G66)</f>
        <v>203785</v>
      </c>
      <c r="H67" s="395">
        <f>SUM(H61:H66)</f>
        <v>201982</v>
      </c>
      <c r="I67" s="395">
        <f>SUM(I61:I66)</f>
        <v>193598</v>
      </c>
      <c r="J67" s="387">
        <f t="shared" si="11"/>
        <v>9.1438724794461482E-2</v>
      </c>
      <c r="K67" s="395">
        <f>SUM(K61:K66)</f>
        <v>198310</v>
      </c>
      <c r="L67" s="387">
        <f t="shared" si="12"/>
        <v>8.9241637337214227E-2</v>
      </c>
      <c r="M67" s="387">
        <f t="shared" si="15"/>
        <v>2.4339094412132358E-2</v>
      </c>
      <c r="N67" s="395">
        <f t="shared" si="16"/>
        <v>397383</v>
      </c>
      <c r="O67" s="387">
        <f t="shared" si="13"/>
        <v>9.5546211577310872E-2</v>
      </c>
      <c r="P67" s="395">
        <f t="shared" si="17"/>
        <v>400292</v>
      </c>
      <c r="Q67" s="387">
        <f t="shared" si="14"/>
        <v>9.2520675999199359E-2</v>
      </c>
      <c r="R67" s="387">
        <f t="shared" si="18"/>
        <v>7.3203936756227623E-3</v>
      </c>
    </row>
    <row r="68" spans="1:18" ht="15.75" thickBot="1" x14ac:dyDescent="0.3">
      <c r="A68" s="392" t="s">
        <v>51</v>
      </c>
      <c r="B68" s="460">
        <v>2452</v>
      </c>
      <c r="C68" s="384">
        <f t="shared" si="8"/>
        <v>1.2008876381547275E-3</v>
      </c>
      <c r="D68" s="456">
        <v>3241</v>
      </c>
      <c r="E68" s="407">
        <f t="shared" si="9"/>
        <v>1.5401466964780014E-3</v>
      </c>
      <c r="F68" s="384">
        <f t="shared" si="10"/>
        <v>0.32177814029363783</v>
      </c>
      <c r="G68" s="460">
        <v>2452</v>
      </c>
      <c r="H68" s="456">
        <v>3241</v>
      </c>
      <c r="I68" s="396">
        <v>4392</v>
      </c>
      <c r="J68" s="384">
        <f t="shared" si="11"/>
        <v>2.0743958062442525E-3</v>
      </c>
      <c r="K68" s="402">
        <v>3793</v>
      </c>
      <c r="L68" s="407">
        <f t="shared" si="12"/>
        <v>1.7068908800365768E-3</v>
      </c>
      <c r="M68" s="384">
        <f t="shared" si="15"/>
        <v>-0.13638433515482695</v>
      </c>
      <c r="N68" s="396">
        <f t="shared" si="16"/>
        <v>6844</v>
      </c>
      <c r="O68" s="384">
        <f t="shared" si="13"/>
        <v>1.6455617679546322E-3</v>
      </c>
      <c r="P68" s="402">
        <f t="shared" si="17"/>
        <v>7034</v>
      </c>
      <c r="Q68" s="407">
        <f t="shared" si="14"/>
        <v>1.6257892612851824E-3</v>
      </c>
      <c r="R68" s="384">
        <f t="shared" si="18"/>
        <v>2.7761542957334892E-2</v>
      </c>
    </row>
    <row r="69" spans="1:18" ht="15.75" thickBot="1" x14ac:dyDescent="0.3">
      <c r="A69" s="392" t="s">
        <v>11</v>
      </c>
      <c r="B69" s="460">
        <v>-82389</v>
      </c>
      <c r="C69" s="384">
        <f t="shared" si="8"/>
        <v>-4.0350706207149201E-2</v>
      </c>
      <c r="D69" s="456">
        <v>-71961</v>
      </c>
      <c r="E69" s="407">
        <f t="shared" si="9"/>
        <v>-3.4196388900109058E-2</v>
      </c>
      <c r="F69" s="384">
        <f t="shared" si="10"/>
        <v>-0.12657029457815971</v>
      </c>
      <c r="G69" s="460">
        <v>-82389</v>
      </c>
      <c r="H69" s="456">
        <v>-71961</v>
      </c>
      <c r="I69" s="460">
        <v>-85584</v>
      </c>
      <c r="J69" s="384">
        <f t="shared" si="11"/>
        <v>-4.0422379481240465E-2</v>
      </c>
      <c r="K69" s="456">
        <v>-61395</v>
      </c>
      <c r="L69" s="407">
        <f t="shared" si="12"/>
        <v>-2.7628411700460227E-2</v>
      </c>
      <c r="M69" s="384">
        <f t="shared" si="15"/>
        <v>-0.28263460459899048</v>
      </c>
      <c r="N69" s="460">
        <f t="shared" si="16"/>
        <v>-167973</v>
      </c>
      <c r="O69" s="384">
        <f t="shared" si="13"/>
        <v>-4.0387192701438257E-2</v>
      </c>
      <c r="P69" s="456">
        <f t="shared" si="17"/>
        <v>-133356</v>
      </c>
      <c r="Q69" s="407">
        <f t="shared" si="14"/>
        <v>-3.0822967405167302E-2</v>
      </c>
      <c r="R69" s="384">
        <f t="shared" si="18"/>
        <v>-0.20608669250415246</v>
      </c>
    </row>
    <row r="70" spans="1:18" ht="15.75" thickBot="1" x14ac:dyDescent="0.3">
      <c r="A70" s="392" t="s">
        <v>272</v>
      </c>
      <c r="B70" s="460">
        <v>54235</v>
      </c>
      <c r="C70" s="384">
        <f t="shared" si="8"/>
        <v>2.6562047738711927E-2</v>
      </c>
      <c r="D70" s="456">
        <v>32336</v>
      </c>
      <c r="E70" s="407">
        <f t="shared" si="9"/>
        <v>1.5366301628297642E-2</v>
      </c>
      <c r="F70" s="384">
        <f t="shared" si="10"/>
        <v>-0.40377984696229374</v>
      </c>
      <c r="G70" s="460">
        <v>54235</v>
      </c>
      <c r="H70" s="456">
        <v>32336</v>
      </c>
      <c r="I70" s="396">
        <v>86</v>
      </c>
      <c r="J70" s="384">
        <f t="shared" si="11"/>
        <v>4.0618861415529534E-5</v>
      </c>
      <c r="K70" s="402">
        <v>26223</v>
      </c>
      <c r="L70" s="407">
        <f t="shared" si="12"/>
        <v>1.1800632625151372E-2</v>
      </c>
      <c r="M70" s="384">
        <f t="shared" si="15"/>
        <v>303.91860465116281</v>
      </c>
      <c r="N70" s="396">
        <f t="shared" si="16"/>
        <v>54321</v>
      </c>
      <c r="O70" s="384">
        <f t="shared" si="13"/>
        <v>1.3060865107694853E-2</v>
      </c>
      <c r="P70" s="456">
        <f t="shared" si="17"/>
        <v>58559</v>
      </c>
      <c r="Q70" s="407">
        <f t="shared" si="14"/>
        <v>1.3534915176513932E-2</v>
      </c>
      <c r="R70" s="384">
        <f t="shared" si="18"/>
        <v>7.8017709541429656E-2</v>
      </c>
    </row>
    <row r="71" spans="1:18" ht="15.75" thickBot="1" x14ac:dyDescent="0.3">
      <c r="A71" s="392" t="s">
        <v>200</v>
      </c>
      <c r="B71" s="460">
        <v>-3118</v>
      </c>
      <c r="C71" s="384">
        <f t="shared" si="8"/>
        <v>-1.5270667437872921E-3</v>
      </c>
      <c r="D71" s="456">
        <v>-2666</v>
      </c>
      <c r="E71" s="407">
        <f t="shared" si="9"/>
        <v>-1.2669025278649652E-3</v>
      </c>
      <c r="F71" s="384">
        <f t="shared" si="10"/>
        <v>-0.14496472097498397</v>
      </c>
      <c r="G71" s="460">
        <v>-3118</v>
      </c>
      <c r="H71" s="456">
        <v>-2666</v>
      </c>
      <c r="I71" s="460">
        <v>-1691</v>
      </c>
      <c r="J71" s="384">
        <f t="shared" si="11"/>
        <v>-7.986801703914005E-4</v>
      </c>
      <c r="K71" s="402">
        <v>13251</v>
      </c>
      <c r="L71" s="407">
        <f t="shared" si="12"/>
        <v>5.963092816072945E-3</v>
      </c>
      <c r="M71" s="384">
        <f t="shared" si="15"/>
        <v>-8.8361916026020104</v>
      </c>
      <c r="N71" s="460">
        <f t="shared" si="16"/>
        <v>-4809</v>
      </c>
      <c r="O71" s="384">
        <f t="shared" si="13"/>
        <v>-1.1562692200604654E-3</v>
      </c>
      <c r="P71" s="456">
        <f t="shared" si="17"/>
        <v>10585</v>
      </c>
      <c r="Q71" s="407">
        <f t="shared" si="14"/>
        <v>2.4465424126675658E-3</v>
      </c>
      <c r="R71" s="384" t="s">
        <v>131</v>
      </c>
    </row>
    <row r="72" spans="1:18" ht="15.75" thickBot="1" x14ac:dyDescent="0.3">
      <c r="A72" s="392" t="s">
        <v>275</v>
      </c>
      <c r="B72" s="460">
        <v>-1600</v>
      </c>
      <c r="C72" s="384">
        <f t="shared" si="8"/>
        <v>-7.8361346698514029E-4</v>
      </c>
      <c r="D72" s="456">
        <v>-2327</v>
      </c>
      <c r="E72" s="407">
        <f t="shared" si="9"/>
        <v>-1.1058072701957142E-3</v>
      </c>
      <c r="F72" s="384">
        <f t="shared" si="10"/>
        <v>0.45437499999999997</v>
      </c>
      <c r="G72" s="460">
        <v>-1600</v>
      </c>
      <c r="H72" s="456">
        <v>-2327</v>
      </c>
      <c r="I72" s="464">
        <v>2816</v>
      </c>
      <c r="J72" s="384">
        <f t="shared" si="11"/>
        <v>1.3300315551875717E-3</v>
      </c>
      <c r="K72" s="465">
        <v>1623</v>
      </c>
      <c r="L72" s="407">
        <f t="shared" si="12"/>
        <v>7.303674923014406E-4</v>
      </c>
      <c r="M72" s="384">
        <f t="shared" si="15"/>
        <v>-0.42365056818181818</v>
      </c>
      <c r="N72" s="464">
        <f t="shared" si="16"/>
        <v>1216</v>
      </c>
      <c r="O72" s="384">
        <f t="shared" si="13"/>
        <v>2.9237333574413102E-4</v>
      </c>
      <c r="P72" s="456">
        <f t="shared" si="17"/>
        <v>-704</v>
      </c>
      <c r="Q72" s="407">
        <f t="shared" si="14"/>
        <v>-1.6271760590627927E-4</v>
      </c>
      <c r="R72" s="384">
        <f t="shared" si="18"/>
        <v>-1.5789473684210527</v>
      </c>
    </row>
    <row r="73" spans="1:18" ht="15.75" thickBot="1" x14ac:dyDescent="0.3">
      <c r="A73" s="392" t="s">
        <v>252</v>
      </c>
      <c r="B73" s="463">
        <v>0</v>
      </c>
      <c r="C73" s="384">
        <f t="shared" si="8"/>
        <v>0</v>
      </c>
      <c r="D73" s="404">
        <v>0</v>
      </c>
      <c r="E73" s="407">
        <f t="shared" si="9"/>
        <v>0</v>
      </c>
      <c r="F73" s="384" t="s">
        <v>131</v>
      </c>
      <c r="G73" s="463">
        <v>0</v>
      </c>
      <c r="H73" s="404">
        <v>0</v>
      </c>
      <c r="I73" s="464">
        <v>3313</v>
      </c>
      <c r="J73" s="384">
        <f t="shared" si="11"/>
        <v>1.5647707891819692E-3</v>
      </c>
      <c r="K73" s="456">
        <v>-2755</v>
      </c>
      <c r="L73" s="407">
        <f t="shared" si="12"/>
        <v>-1.2397796927236407E-3</v>
      </c>
      <c r="M73" s="384">
        <f t="shared" si="15"/>
        <v>-1.8315725928161788</v>
      </c>
      <c r="N73" s="464">
        <f t="shared" si="16"/>
        <v>3313</v>
      </c>
      <c r="O73" s="384">
        <f t="shared" si="13"/>
        <v>7.9657307674367269E-4</v>
      </c>
      <c r="P73" s="456">
        <f t="shared" si="17"/>
        <v>-2755</v>
      </c>
      <c r="Q73" s="407">
        <f t="shared" si="14"/>
        <v>-6.3677131288607876E-4</v>
      </c>
      <c r="R73" s="384">
        <f t="shared" si="18"/>
        <v>-1.8315725928161788</v>
      </c>
    </row>
    <row r="74" spans="1:18" ht="15.75" thickBot="1" x14ac:dyDescent="0.3">
      <c r="A74" s="393" t="s">
        <v>204</v>
      </c>
      <c r="B74" s="397">
        <f>SUM(B67:B73)</f>
        <v>173365</v>
      </c>
      <c r="C74" s="386">
        <f t="shared" si="8"/>
        <v>8.4906967939924277E-2</v>
      </c>
      <c r="D74" s="403">
        <f>SUM(D67:D73)</f>
        <v>160605</v>
      </c>
      <c r="E74" s="408">
        <f t="shared" si="9"/>
        <v>7.6320660347994271E-2</v>
      </c>
      <c r="F74" s="386">
        <f t="shared" si="10"/>
        <v>-7.3601938107461143E-2</v>
      </c>
      <c r="G74" s="397">
        <f>SUM(G67:G73)</f>
        <v>173365</v>
      </c>
      <c r="H74" s="403">
        <f>SUM(H67:H73)</f>
        <v>160605</v>
      </c>
      <c r="I74" s="397">
        <f>SUM(I67:I73)</f>
        <v>116930</v>
      </c>
      <c r="J74" s="386">
        <f t="shared" si="11"/>
        <v>5.522748215485894E-2</v>
      </c>
      <c r="K74" s="403">
        <f>SUM(K67:K73)</f>
        <v>179050</v>
      </c>
      <c r="L74" s="408">
        <f t="shared" si="12"/>
        <v>8.05744297575927E-2</v>
      </c>
      <c r="M74" s="386">
        <f t="shared" si="15"/>
        <v>0.5312580176173779</v>
      </c>
      <c r="N74" s="397">
        <f t="shared" si="16"/>
        <v>290295</v>
      </c>
      <c r="O74" s="386">
        <f t="shared" si="13"/>
        <v>6.9798122943949437E-2</v>
      </c>
      <c r="P74" s="403">
        <f t="shared" si="17"/>
        <v>339655</v>
      </c>
      <c r="Q74" s="408">
        <f t="shared" si="14"/>
        <v>7.8505466525706377E-2</v>
      </c>
      <c r="R74" s="386">
        <f t="shared" si="18"/>
        <v>0.17003393100122288</v>
      </c>
    </row>
    <row r="75" spans="1:18" ht="15.75" thickBot="1" x14ac:dyDescent="0.3">
      <c r="A75" s="392" t="s">
        <v>205</v>
      </c>
      <c r="B75" s="460">
        <v>-40723</v>
      </c>
      <c r="C75" s="384">
        <f t="shared" si="8"/>
        <v>-1.9944432010022415E-2</v>
      </c>
      <c r="D75" s="456">
        <v>-44069</v>
      </c>
      <c r="E75" s="407">
        <f t="shared" si="9"/>
        <v>-2.094190828975287E-2</v>
      </c>
      <c r="F75" s="384">
        <f t="shared" si="10"/>
        <v>8.2164869975198285E-2</v>
      </c>
      <c r="G75" s="460">
        <v>-40723</v>
      </c>
      <c r="H75" s="456">
        <v>-44069</v>
      </c>
      <c r="I75" s="460">
        <v>-29714</v>
      </c>
      <c r="J75" s="384">
        <f t="shared" si="11"/>
        <v>-1.4034288931407495E-2</v>
      </c>
      <c r="K75" s="456">
        <v>-43360</v>
      </c>
      <c r="L75" s="407">
        <f t="shared" si="12"/>
        <v>-1.9512467323592401E-2</v>
      </c>
      <c r="M75" s="384">
        <f t="shared" si="15"/>
        <v>0.45924480043077337</v>
      </c>
      <c r="N75" s="460">
        <f t="shared" si="16"/>
        <v>-70437</v>
      </c>
      <c r="O75" s="384">
        <f t="shared" si="13"/>
        <v>-1.6935773560698485E-2</v>
      </c>
      <c r="P75" s="456">
        <f t="shared" si="17"/>
        <v>-87429</v>
      </c>
      <c r="Q75" s="407">
        <f t="shared" si="14"/>
        <v>-2.0207723816448992E-2</v>
      </c>
      <c r="R75" s="384">
        <f t="shared" si="18"/>
        <v>0.24123684995102007</v>
      </c>
    </row>
    <row r="76" spans="1:18" ht="15.75" thickBot="1" x14ac:dyDescent="0.3">
      <c r="A76" s="394" t="s">
        <v>206</v>
      </c>
      <c r="B76" s="462">
        <v>8078</v>
      </c>
      <c r="C76" s="385">
        <f t="shared" si="8"/>
        <v>3.9562684914412269E-3</v>
      </c>
      <c r="D76" s="459">
        <v>5479</v>
      </c>
      <c r="E76" s="409">
        <f t="shared" si="9"/>
        <v>2.6036605214449153E-3</v>
      </c>
      <c r="F76" s="385">
        <f t="shared" si="10"/>
        <v>-0.32173805397375588</v>
      </c>
      <c r="G76" s="462">
        <v>8078</v>
      </c>
      <c r="H76" s="459">
        <v>5479</v>
      </c>
      <c r="I76" s="399">
        <v>10599</v>
      </c>
      <c r="J76" s="385">
        <f t="shared" si="11"/>
        <v>5.0060385132929949E-3</v>
      </c>
      <c r="K76" s="456">
        <v>-10591</v>
      </c>
      <c r="L76" s="409">
        <f t="shared" si="12"/>
        <v>-4.766064147236326E-3</v>
      </c>
      <c r="M76" s="385">
        <f t="shared" si="15"/>
        <v>-1.9992452118124351</v>
      </c>
      <c r="N76" s="399">
        <f t="shared" si="16"/>
        <v>18677</v>
      </c>
      <c r="O76" s="385">
        <f t="shared" si="13"/>
        <v>4.4906717036950119E-3</v>
      </c>
      <c r="P76" s="456">
        <f t="shared" si="17"/>
        <v>-5112</v>
      </c>
      <c r="Q76" s="409">
        <f t="shared" si="14"/>
        <v>-1.1815517065240052E-3</v>
      </c>
      <c r="R76" s="385">
        <f t="shared" si="18"/>
        <v>-1.2737056272420624</v>
      </c>
    </row>
    <row r="77" spans="1:18" ht="15.75" thickBot="1" x14ac:dyDescent="0.3">
      <c r="A77" s="393" t="s">
        <v>207</v>
      </c>
      <c r="B77" s="397">
        <f>SUM(B74:B76)</f>
        <v>140720</v>
      </c>
      <c r="C77" s="386">
        <f t="shared" si="8"/>
        <v>6.8918804421343086E-2</v>
      </c>
      <c r="D77" s="403">
        <f>SUM(D74:D76)</f>
        <v>122015</v>
      </c>
      <c r="E77" s="408">
        <f t="shared" si="9"/>
        <v>5.7982412579686317E-2</v>
      </c>
      <c r="F77" s="386">
        <f t="shared" si="10"/>
        <v>-0.13292353610005686</v>
      </c>
      <c r="G77" s="397">
        <f>SUM(G74:G76)</f>
        <v>140720</v>
      </c>
      <c r="H77" s="403">
        <f>SUM(H74:H76)</f>
        <v>122015</v>
      </c>
      <c r="I77" s="397">
        <f>SUM(I74:I76)</f>
        <v>97815</v>
      </c>
      <c r="J77" s="386">
        <f t="shared" si="11"/>
        <v>4.6199231736744437E-2</v>
      </c>
      <c r="K77" s="403">
        <f>SUM(K74:K76)</f>
        <v>125099</v>
      </c>
      <c r="L77" s="408">
        <f t="shared" si="12"/>
        <v>5.6295898286763971E-2</v>
      </c>
      <c r="M77" s="386">
        <f t="shared" si="15"/>
        <v>0.27893472371313194</v>
      </c>
      <c r="N77" s="397">
        <f t="shared" si="16"/>
        <v>238535</v>
      </c>
      <c r="O77" s="386">
        <f t="shared" si="13"/>
        <v>5.7353021086945961E-2</v>
      </c>
      <c r="P77" s="403">
        <f t="shared" si="17"/>
        <v>247114</v>
      </c>
      <c r="Q77" s="408">
        <f t="shared" si="14"/>
        <v>5.711619100273338E-2</v>
      </c>
      <c r="R77" s="386">
        <f t="shared" si="18"/>
        <v>3.5965371957993583E-2</v>
      </c>
    </row>
    <row r="78" spans="1:18" ht="15.75" thickBot="1" x14ac:dyDescent="0.3">
      <c r="A78" s="392" t="s">
        <v>208</v>
      </c>
      <c r="B78" s="460">
        <v>-892</v>
      </c>
      <c r="C78" s="384">
        <f t="shared" si="8"/>
        <v>-4.3686450784421571E-4</v>
      </c>
      <c r="D78" s="456">
        <v>-226</v>
      </c>
      <c r="E78" s="407">
        <f t="shared" si="9"/>
        <v>-1.0739683844616734E-4</v>
      </c>
      <c r="F78" s="467">
        <f t="shared" si="10"/>
        <v>-0.74663677130044848</v>
      </c>
      <c r="G78" s="460">
        <v>-892</v>
      </c>
      <c r="H78" s="456">
        <v>-226</v>
      </c>
      <c r="I78" s="460">
        <v>-142</v>
      </c>
      <c r="J78" s="467">
        <f t="shared" si="11"/>
        <v>-6.7068352569827841E-5</v>
      </c>
      <c r="K78" s="456">
        <v>-617</v>
      </c>
      <c r="L78" s="407">
        <f t="shared" si="12"/>
        <v>-2.7765664987676453E-4</v>
      </c>
      <c r="M78" s="384">
        <f t="shared" si="15"/>
        <v>3.3450704225352115</v>
      </c>
      <c r="N78" s="460">
        <f t="shared" si="16"/>
        <v>-1034</v>
      </c>
      <c r="O78" s="384">
        <f t="shared" si="13"/>
        <v>-2.4861351082190091E-4</v>
      </c>
      <c r="P78" s="456">
        <f t="shared" si="17"/>
        <v>-843</v>
      </c>
      <c r="Q78" s="407">
        <f t="shared" si="14"/>
        <v>-1.9484508775425205E-4</v>
      </c>
      <c r="R78" s="467">
        <f t="shared" si="18"/>
        <v>-0.18471953578336556</v>
      </c>
    </row>
    <row r="79" spans="1:18" ht="15.75" thickBot="1" x14ac:dyDescent="0.3">
      <c r="A79" s="391" t="s">
        <v>209</v>
      </c>
      <c r="B79" s="395">
        <f>SUM(B77:B78)</f>
        <v>139828</v>
      </c>
      <c r="C79" s="387">
        <f t="shared" si="8"/>
        <v>6.8481939913498865E-2</v>
      </c>
      <c r="D79" s="395">
        <f>SUM(D77:D78)</f>
        <v>121789</v>
      </c>
      <c r="E79" s="387">
        <f t="shared" si="9"/>
        <v>5.7875015741240148E-2</v>
      </c>
      <c r="F79" s="387">
        <f t="shared" si="10"/>
        <v>-0.12900849615241583</v>
      </c>
      <c r="G79" s="395">
        <f>SUM(G77:G78)</f>
        <v>139828</v>
      </c>
      <c r="H79" s="395">
        <f>SUM(H77:H78)</f>
        <v>121789</v>
      </c>
      <c r="I79" s="395">
        <f>SUM(I77:I78)</f>
        <v>97673</v>
      </c>
      <c r="J79" s="387">
        <f t="shared" si="11"/>
        <v>4.6132163384174606E-2</v>
      </c>
      <c r="K79" s="395">
        <f>SUM(K77:K78)</f>
        <v>124482</v>
      </c>
      <c r="L79" s="387">
        <f t="shared" si="12"/>
        <v>5.6018241636887206E-2</v>
      </c>
      <c r="M79" s="387">
        <f t="shared" si="15"/>
        <v>0.27447708169094837</v>
      </c>
      <c r="N79" s="395">
        <f t="shared" si="16"/>
        <v>237501</v>
      </c>
      <c r="O79" s="387">
        <f t="shared" si="13"/>
        <v>5.7104407576124061E-2</v>
      </c>
      <c r="P79" s="395">
        <f t="shared" si="17"/>
        <v>246271</v>
      </c>
      <c r="Q79" s="387">
        <f t="shared" si="14"/>
        <v>5.6921345914979125E-2</v>
      </c>
      <c r="R79" s="387">
        <f t="shared" si="18"/>
        <v>3.6926160310903955E-2</v>
      </c>
    </row>
    <row r="80" spans="1:18" x14ac:dyDescent="0.25">
      <c r="A80" s="289"/>
      <c r="B80" s="291"/>
      <c r="C80" s="292"/>
      <c r="D80" s="294"/>
      <c r="E80" s="292"/>
      <c r="F80" s="292"/>
      <c r="G80" s="291"/>
      <c r="H80" s="294"/>
      <c r="I80" s="263"/>
      <c r="K80" s="263"/>
    </row>
    <row r="81" spans="1:18" x14ac:dyDescent="0.25">
      <c r="A81" s="295" t="s">
        <v>210</v>
      </c>
      <c r="B81" s="297"/>
      <c r="C81" s="298"/>
      <c r="D81" s="300"/>
      <c r="E81" s="298"/>
      <c r="F81" s="298"/>
      <c r="G81" s="297"/>
      <c r="H81" s="300"/>
    </row>
    <row r="82" spans="1:18" ht="15.75" thickBot="1" x14ac:dyDescent="0.3">
      <c r="A82" s="301" t="s">
        <v>211</v>
      </c>
      <c r="B82" s="274">
        <v>139150</v>
      </c>
      <c r="C82" s="384">
        <f>+B82/$B$59</f>
        <v>6.8149883706863909E-2</v>
      </c>
      <c r="D82" s="373">
        <v>120867</v>
      </c>
      <c r="E82" s="366">
        <f>+D82/$D$59</f>
        <v>5.7436874656959763E-2</v>
      </c>
      <c r="F82" s="384">
        <f>(D82-B82)/B82</f>
        <v>-0.13139058569888609</v>
      </c>
      <c r="G82" s="274">
        <v>139150</v>
      </c>
      <c r="H82" s="373">
        <v>120867</v>
      </c>
      <c r="I82" s="274">
        <v>96529</v>
      </c>
      <c r="J82" s="384">
        <f>+I82/$I$59</f>
        <v>4.559183806487966E-2</v>
      </c>
      <c r="K82" s="373">
        <v>124270</v>
      </c>
      <c r="L82" s="366">
        <f>+K82/$K$59</f>
        <v>5.5922839352002478E-2</v>
      </c>
      <c r="M82" s="384">
        <f>(K82-I82)/I82</f>
        <v>0.28738513814501343</v>
      </c>
      <c r="N82" s="274">
        <f t="shared" si="16"/>
        <v>235679</v>
      </c>
      <c r="O82" s="384">
        <f>+N82/$N$59</f>
        <v>5.6666328449704817E-2</v>
      </c>
      <c r="P82" s="373">
        <f t="shared" si="17"/>
        <v>245137</v>
      </c>
      <c r="Q82" s="366">
        <f>+P82/$P$59</f>
        <v>5.6659241135010772E-2</v>
      </c>
      <c r="R82" s="384">
        <f>(P82-N82)/N82</f>
        <v>4.01308559523759E-2</v>
      </c>
    </row>
    <row r="83" spans="1:18" ht="15.75" thickBot="1" x14ac:dyDescent="0.3">
      <c r="A83" s="303" t="s">
        <v>188</v>
      </c>
      <c r="B83" s="304">
        <v>678</v>
      </c>
      <c r="C83" s="385">
        <f>+B83/$B$59</f>
        <v>3.3205620663495319E-4</v>
      </c>
      <c r="D83" s="374">
        <v>922</v>
      </c>
      <c r="E83" s="368">
        <f>+D83/$D$59</f>
        <v>4.3814108428038179E-4</v>
      </c>
      <c r="F83" s="385">
        <f>(D83-B83)/B83</f>
        <v>0.35988200589970504</v>
      </c>
      <c r="G83" s="304">
        <v>678</v>
      </c>
      <c r="H83" s="374">
        <v>922</v>
      </c>
      <c r="I83" s="304">
        <v>1144</v>
      </c>
      <c r="J83" s="385">
        <f>+I83/$I$59</f>
        <v>5.4032531929495108E-4</v>
      </c>
      <c r="K83" s="374">
        <v>212</v>
      </c>
      <c r="L83" s="368">
        <f>+K83/$K$59</f>
        <v>9.5402284884722995E-5</v>
      </c>
      <c r="M83" s="385">
        <f>(K83-I83)/I83</f>
        <v>-0.81468531468531469</v>
      </c>
      <c r="N83" s="319">
        <f t="shared" si="16"/>
        <v>1822</v>
      </c>
      <c r="O83" s="385">
        <f>+N83/$N$59</f>
        <v>4.3807912641924895E-4</v>
      </c>
      <c r="P83" s="466">
        <f t="shared" si="17"/>
        <v>1134</v>
      </c>
      <c r="Q83" s="368">
        <f>+P83/$P$59</f>
        <v>2.6210477996835329E-4</v>
      </c>
      <c r="R83" s="385">
        <f>(P83-N83)/N83</f>
        <v>-0.37760702524698136</v>
      </c>
    </row>
    <row r="84" spans="1:18" ht="15.75" thickBot="1" x14ac:dyDescent="0.3">
      <c r="A84" s="306" t="s">
        <v>212</v>
      </c>
      <c r="B84" s="278">
        <f>SUM(B82:B83)</f>
        <v>139828</v>
      </c>
      <c r="C84" s="386">
        <f>+B84/$B$59</f>
        <v>6.8481939913498865E-2</v>
      </c>
      <c r="D84" s="375">
        <f>SUM(D82:D83)</f>
        <v>121789</v>
      </c>
      <c r="E84" s="367">
        <f>+D84/$D$59</f>
        <v>5.7875015741240148E-2</v>
      </c>
      <c r="F84" s="386">
        <f>(D84-B84)/B84</f>
        <v>-0.12900849615241583</v>
      </c>
      <c r="G84" s="278">
        <f>SUM(G82:G83)</f>
        <v>139828</v>
      </c>
      <c r="H84" s="375">
        <f>SUM(H82:H83)</f>
        <v>121789</v>
      </c>
      <c r="I84" s="278">
        <f>SUM(I82:I83)</f>
        <v>97673</v>
      </c>
      <c r="J84" s="386">
        <f>+I84/$I$59</f>
        <v>4.6132163384174606E-2</v>
      </c>
      <c r="K84" s="375">
        <f>SUM(K82:K83)</f>
        <v>124482</v>
      </c>
      <c r="L84" s="367">
        <f>+K84/$K$59</f>
        <v>5.6018241636887206E-2</v>
      </c>
      <c r="M84" s="386">
        <f>(K84-I84)/I84</f>
        <v>0.27447708169094837</v>
      </c>
      <c r="N84" s="278">
        <f t="shared" si="16"/>
        <v>237501</v>
      </c>
      <c r="O84" s="386">
        <f>+N84/$N$59</f>
        <v>5.7104407576124061E-2</v>
      </c>
      <c r="P84" s="375">
        <f t="shared" si="17"/>
        <v>246271</v>
      </c>
      <c r="Q84" s="367">
        <f>+P84/$P$59</f>
        <v>5.6921345914979125E-2</v>
      </c>
      <c r="R84" s="386">
        <f>(P84-N84)/N84</f>
        <v>3.6926160310903955E-2</v>
      </c>
    </row>
    <row r="85" spans="1:18" ht="15.75" thickBot="1" x14ac:dyDescent="0.3">
      <c r="A85" s="369" t="s">
        <v>213</v>
      </c>
      <c r="B85" s="370">
        <v>264549</v>
      </c>
      <c r="C85" s="387">
        <f>+B85/$B$59</f>
        <v>0.12956509942340741</v>
      </c>
      <c r="D85" s="372">
        <v>273276</v>
      </c>
      <c r="E85" s="371">
        <f>+D85/$D$59</f>
        <v>0.12986273638590631</v>
      </c>
      <c r="F85" s="387">
        <f>(D85-B85)/B85</f>
        <v>3.2988217683680529E-2</v>
      </c>
      <c r="G85" s="370">
        <v>264549</v>
      </c>
      <c r="H85" s="372">
        <v>273276</v>
      </c>
      <c r="I85" s="370">
        <v>262661</v>
      </c>
      <c r="J85" s="387">
        <f>+I85/$I$59</f>
        <v>0.1240580320728419</v>
      </c>
      <c r="K85" s="372">
        <v>266740</v>
      </c>
      <c r="L85" s="371">
        <f>+K85/$K$59</f>
        <v>0.12003587485920288</v>
      </c>
      <c r="M85" s="387">
        <f>(K85-I85)/I85</f>
        <v>1.5529522845035997E-2</v>
      </c>
      <c r="N85" s="370">
        <f t="shared" si="16"/>
        <v>527210</v>
      </c>
      <c r="O85" s="387">
        <f>+N85/$N$59</f>
        <v>0.12676163350136785</v>
      </c>
      <c r="P85" s="372">
        <f t="shared" si="17"/>
        <v>540016</v>
      </c>
      <c r="Q85" s="371">
        <f>+P85/$P$59</f>
        <v>0.12481549811233709</v>
      </c>
      <c r="R85" s="387">
        <f>(P85-N85)/N85</f>
        <v>2.4290131067316627E-2</v>
      </c>
    </row>
    <row r="87" spans="1:18" x14ac:dyDescent="0.25">
      <c r="B87" s="263"/>
      <c r="C87" s="263"/>
      <c r="D87" s="263"/>
      <c r="E87" s="263"/>
      <c r="F87" s="263"/>
      <c r="G87" s="263"/>
      <c r="H87" s="263"/>
      <c r="I87" s="263"/>
      <c r="J87" s="263"/>
      <c r="K87" s="263"/>
      <c r="L87" s="263"/>
      <c r="M87" s="263"/>
      <c r="N87" s="263"/>
      <c r="O87" s="263"/>
      <c r="P87" s="263"/>
      <c r="Q87" s="263"/>
      <c r="R87" s="263"/>
    </row>
  </sheetData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D36 D43 D15 D26 C61:C79 J61:J77 C84:J84 J79" formula="1"/>
  </ignoredErrors>
  <drawing r:id="rId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7"/>
  <sheetViews>
    <sheetView zoomScaleNormal="100" workbookViewId="0">
      <selection activeCell="K13" sqref="K13"/>
    </sheetView>
  </sheetViews>
  <sheetFormatPr baseColWidth="10" defaultColWidth="11.42578125" defaultRowHeight="15" x14ac:dyDescent="0.25"/>
  <cols>
    <col min="1" max="1" width="50.85546875" style="229" bestFit="1" customWidth="1"/>
    <col min="2" max="6" width="11.42578125" style="229" customWidth="1"/>
    <col min="7" max="8" width="11.42578125" style="229"/>
    <col min="9" max="9" width="12.7109375" style="229" customWidth="1"/>
    <col min="10" max="16384" width="11.42578125" style="229"/>
  </cols>
  <sheetData>
    <row r="1" spans="1:10" ht="18.75" x14ac:dyDescent="0.3">
      <c r="A1" s="228" t="s">
        <v>157</v>
      </c>
      <c r="B1" s="362"/>
      <c r="C1" s="362"/>
      <c r="D1" s="362"/>
      <c r="E1" s="362"/>
    </row>
    <row r="2" spans="1:10" x14ac:dyDescent="0.25">
      <c r="A2" s="332" t="s">
        <v>281</v>
      </c>
      <c r="B2" s="362"/>
      <c r="C2" s="362"/>
      <c r="D2" s="362"/>
      <c r="E2" s="362"/>
    </row>
    <row r="3" spans="1:10" x14ac:dyDescent="0.25">
      <c r="A3" s="332" t="s">
        <v>88</v>
      </c>
      <c r="B3" s="362"/>
      <c r="C3" s="362"/>
      <c r="D3" s="362"/>
      <c r="E3" s="362"/>
    </row>
    <row r="4" spans="1:10" x14ac:dyDescent="0.25">
      <c r="A4" s="231" t="s">
        <v>159</v>
      </c>
      <c r="B4" s="362"/>
      <c r="C4" s="362"/>
      <c r="D4" s="362"/>
      <c r="E4" s="362"/>
    </row>
    <row r="5" spans="1:10" ht="15.75" thickBot="1" x14ac:dyDescent="0.3"/>
    <row r="6" spans="1:10" ht="23.25" thickBot="1" x14ac:dyDescent="0.3">
      <c r="A6" s="337"/>
      <c r="B6" s="338" t="s">
        <v>267</v>
      </c>
      <c r="C6" s="410" t="s">
        <v>268</v>
      </c>
      <c r="D6" s="420" t="s">
        <v>140</v>
      </c>
      <c r="E6" s="338" t="s">
        <v>267</v>
      </c>
      <c r="F6" s="410" t="s">
        <v>279</v>
      </c>
      <c r="G6" s="420" t="s">
        <v>140</v>
      </c>
      <c r="H6" s="338" t="s">
        <v>267</v>
      </c>
      <c r="I6" s="410" t="s">
        <v>282</v>
      </c>
      <c r="J6" s="420" t="s">
        <v>140</v>
      </c>
    </row>
    <row r="7" spans="1:10" ht="15.75" thickTop="1" x14ac:dyDescent="0.25">
      <c r="A7" s="376" t="s">
        <v>20</v>
      </c>
      <c r="B7" s="377"/>
      <c r="C7" s="411"/>
      <c r="D7" s="411"/>
      <c r="E7" s="377"/>
      <c r="F7" s="411"/>
      <c r="G7" s="411"/>
      <c r="H7" s="377"/>
      <c r="I7" s="411"/>
      <c r="J7" s="411"/>
    </row>
    <row r="8" spans="1:10" x14ac:dyDescent="0.25">
      <c r="A8" s="378" t="s">
        <v>160</v>
      </c>
      <c r="B8" s="379"/>
      <c r="C8" s="412"/>
      <c r="D8" s="421"/>
      <c r="E8" s="379"/>
      <c r="F8" s="412"/>
      <c r="G8" s="421"/>
      <c r="H8" s="379"/>
      <c r="I8" s="412"/>
      <c r="J8" s="421"/>
    </row>
    <row r="9" spans="1:10" ht="15.75" thickBot="1" x14ac:dyDescent="0.3">
      <c r="A9" s="240" t="s">
        <v>161</v>
      </c>
      <c r="B9" s="242">
        <v>435643</v>
      </c>
      <c r="C9" s="413">
        <v>301229</v>
      </c>
      <c r="D9" s="422">
        <f t="shared" ref="D9:D15" si="0">(C9-B9)/B9</f>
        <v>-0.30854162697438042</v>
      </c>
      <c r="E9" s="242">
        <v>435643</v>
      </c>
      <c r="F9" s="413">
        <v>323015</v>
      </c>
      <c r="G9" s="422">
        <f>(F9-E9)/E9</f>
        <v>-0.25853278946293179</v>
      </c>
      <c r="H9" s="242">
        <v>435643</v>
      </c>
      <c r="I9" s="413">
        <v>310030</v>
      </c>
      <c r="J9" s="422">
        <f>(I9-H9)/H9</f>
        <v>-0.28833930534864555</v>
      </c>
    </row>
    <row r="10" spans="1:10" ht="15.75" thickBot="1" x14ac:dyDescent="0.3">
      <c r="A10" s="240" t="s">
        <v>162</v>
      </c>
      <c r="B10" s="242">
        <v>957568</v>
      </c>
      <c r="C10" s="413">
        <v>971734</v>
      </c>
      <c r="D10" s="422">
        <f t="shared" si="0"/>
        <v>1.4793727442855233E-2</v>
      </c>
      <c r="E10" s="242">
        <v>957568</v>
      </c>
      <c r="F10" s="413">
        <v>982429</v>
      </c>
      <c r="G10" s="422">
        <f t="shared" ref="G10:G15" si="1">(F10-E10)/E10</f>
        <v>2.5962647039165888E-2</v>
      </c>
      <c r="H10" s="242">
        <v>957568</v>
      </c>
      <c r="I10" s="413">
        <v>989524</v>
      </c>
      <c r="J10" s="422">
        <f t="shared" ref="J10:J15" si="2">(I10-H10)/H10</f>
        <v>3.3372042507686141E-2</v>
      </c>
    </row>
    <row r="11" spans="1:10" ht="15.75" thickBot="1" x14ac:dyDescent="0.3">
      <c r="A11" s="240" t="s">
        <v>36</v>
      </c>
      <c r="B11" s="242">
        <v>982816</v>
      </c>
      <c r="C11" s="413">
        <v>993585</v>
      </c>
      <c r="D11" s="422">
        <f t="shared" si="0"/>
        <v>1.095729007260769E-2</v>
      </c>
      <c r="E11" s="242">
        <v>982816</v>
      </c>
      <c r="F11" s="413">
        <v>985572</v>
      </c>
      <c r="G11" s="422">
        <f t="shared" si="1"/>
        <v>2.804187152020317E-3</v>
      </c>
      <c r="H11" s="242">
        <v>982816</v>
      </c>
      <c r="I11" s="413">
        <v>1041679</v>
      </c>
      <c r="J11" s="422">
        <f t="shared" si="2"/>
        <v>5.9892187347377335E-2</v>
      </c>
    </row>
    <row r="12" spans="1:10" ht="15.75" thickBot="1" x14ac:dyDescent="0.3">
      <c r="A12" s="240" t="s">
        <v>163</v>
      </c>
      <c r="B12" s="242">
        <v>81518</v>
      </c>
      <c r="C12" s="413">
        <v>79715</v>
      </c>
      <c r="D12" s="422">
        <f t="shared" si="0"/>
        <v>-2.211781447042371E-2</v>
      </c>
      <c r="E12" s="242">
        <v>81518</v>
      </c>
      <c r="F12" s="413">
        <v>80952</v>
      </c>
      <c r="G12" s="422">
        <f t="shared" si="1"/>
        <v>-6.943251797149096E-3</v>
      </c>
      <c r="H12" s="242">
        <v>81518</v>
      </c>
      <c r="I12" s="413">
        <v>85499</v>
      </c>
      <c r="J12" s="422">
        <f t="shared" si="2"/>
        <v>4.8835839937191788E-2</v>
      </c>
    </row>
    <row r="13" spans="1:10" ht="15.75" thickBot="1" x14ac:dyDescent="0.3">
      <c r="A13" s="240" t="s">
        <v>283</v>
      </c>
      <c r="B13" s="242">
        <v>221475</v>
      </c>
      <c r="C13" s="413">
        <v>244400</v>
      </c>
      <c r="D13" s="422">
        <f t="shared" si="0"/>
        <v>0.10351055423862739</v>
      </c>
      <c r="E13" s="242">
        <v>221475</v>
      </c>
      <c r="F13" s="413">
        <v>282116</v>
      </c>
      <c r="G13" s="422">
        <f t="shared" si="1"/>
        <v>0.27380516988373405</v>
      </c>
      <c r="H13" s="242">
        <v>221475</v>
      </c>
      <c r="I13" s="413">
        <v>325976</v>
      </c>
      <c r="J13" s="422">
        <f t="shared" si="2"/>
        <v>0.47184106558302291</v>
      </c>
    </row>
    <row r="14" spans="1:10" ht="15.75" thickBot="1" x14ac:dyDescent="0.3">
      <c r="A14" s="245" t="s">
        <v>165</v>
      </c>
      <c r="B14" s="247">
        <v>6557</v>
      </c>
      <c r="C14" s="414">
        <v>6385</v>
      </c>
      <c r="D14" s="422">
        <f t="shared" si="0"/>
        <v>-2.6231508311727925E-2</v>
      </c>
      <c r="E14" s="247">
        <v>6557</v>
      </c>
      <c r="F14" s="414">
        <v>6585</v>
      </c>
      <c r="G14" s="422">
        <f t="shared" si="1"/>
        <v>4.2702455391184996E-3</v>
      </c>
      <c r="H14" s="247">
        <v>6557</v>
      </c>
      <c r="I14" s="414">
        <v>6628</v>
      </c>
      <c r="J14" s="422">
        <f t="shared" si="2"/>
        <v>1.0828122617050481E-2</v>
      </c>
    </row>
    <row r="15" spans="1:10" ht="15.75" thickBot="1" x14ac:dyDescent="0.3">
      <c r="A15" s="249" t="s">
        <v>166</v>
      </c>
      <c r="B15" s="250">
        <f>SUM(B9:B14)</f>
        <v>2685577</v>
      </c>
      <c r="C15" s="415">
        <f>SUM(C9:C14)</f>
        <v>2597048</v>
      </c>
      <c r="D15" s="422">
        <f t="shared" si="0"/>
        <v>-3.2964610584615521E-2</v>
      </c>
      <c r="E15" s="250">
        <f>SUM(E9:E14)</f>
        <v>2685577</v>
      </c>
      <c r="F15" s="415">
        <f>SUM(F9:F14)</f>
        <v>2660669</v>
      </c>
      <c r="G15" s="422">
        <f t="shared" si="1"/>
        <v>-9.2747294156898131E-3</v>
      </c>
      <c r="H15" s="250">
        <f>SUM(H9:H14)</f>
        <v>2685577</v>
      </c>
      <c r="I15" s="415">
        <f>SUM(I9:I14)</f>
        <v>2759336</v>
      </c>
      <c r="J15" s="422">
        <f t="shared" si="2"/>
        <v>2.7464861368711454E-2</v>
      </c>
    </row>
    <row r="16" spans="1:10" x14ac:dyDescent="0.25">
      <c r="A16" s="378" t="s">
        <v>167</v>
      </c>
      <c r="B16" s="379"/>
      <c r="C16" s="412"/>
      <c r="D16" s="421"/>
      <c r="E16" s="379"/>
      <c r="F16" s="412"/>
      <c r="G16" s="421"/>
      <c r="H16" s="379"/>
      <c r="I16" s="412"/>
      <c r="J16" s="421"/>
    </row>
    <row r="17" spans="1:10" ht="15.75" thickBot="1" x14ac:dyDescent="0.3">
      <c r="A17" s="240" t="s">
        <v>162</v>
      </c>
      <c r="B17" s="242">
        <v>26509</v>
      </c>
      <c r="C17" s="413">
        <v>25388</v>
      </c>
      <c r="D17" s="422">
        <f t="shared" ref="D17:D27" si="3">(C17-B17)/B17</f>
        <v>-4.2287524991512317E-2</v>
      </c>
      <c r="E17" s="242">
        <v>26509</v>
      </c>
      <c r="F17" s="413">
        <v>26277</v>
      </c>
      <c r="G17" s="422">
        <f t="shared" ref="G17:G27" si="4">(F17-E17)/E17</f>
        <v>-8.7517446904824773E-3</v>
      </c>
      <c r="H17" s="242">
        <v>26509</v>
      </c>
      <c r="I17" s="413">
        <v>26197</v>
      </c>
      <c r="J17" s="422">
        <f t="shared" ref="J17:J27" si="5">(I17-H17)/H17</f>
        <v>-1.1769587687200574E-2</v>
      </c>
    </row>
    <row r="18" spans="1:10" ht="15.75" thickBot="1" x14ac:dyDescent="0.3">
      <c r="A18" s="240" t="s">
        <v>169</v>
      </c>
      <c r="B18" s="242">
        <v>180451</v>
      </c>
      <c r="C18" s="413">
        <v>176658</v>
      </c>
      <c r="D18" s="422">
        <f t="shared" si="3"/>
        <v>-2.1019556555519226E-2</v>
      </c>
      <c r="E18" s="242">
        <v>180451</v>
      </c>
      <c r="F18" s="413">
        <v>177513</v>
      </c>
      <c r="G18" s="422">
        <f t="shared" si="4"/>
        <v>-1.6281428199344975E-2</v>
      </c>
      <c r="H18" s="242">
        <v>180451</v>
      </c>
      <c r="I18" s="413">
        <v>181617</v>
      </c>
      <c r="J18" s="422">
        <f t="shared" si="5"/>
        <v>6.4615879102914364E-3</v>
      </c>
    </row>
    <row r="19" spans="1:10" ht="15.75" thickBot="1" x14ac:dyDescent="0.3">
      <c r="A19" s="240" t="s">
        <v>170</v>
      </c>
      <c r="B19" s="242">
        <v>4133963</v>
      </c>
      <c r="C19" s="413">
        <v>3718895</v>
      </c>
      <c r="D19" s="422">
        <f t="shared" si="3"/>
        <v>-0.10040438194536333</v>
      </c>
      <c r="E19" s="242">
        <v>4133963</v>
      </c>
      <c r="F19" s="413">
        <v>3820160</v>
      </c>
      <c r="G19" s="422">
        <f t="shared" si="4"/>
        <v>-7.5908516839652412E-2</v>
      </c>
      <c r="H19" s="242">
        <v>4133963</v>
      </c>
      <c r="I19" s="413">
        <v>3367394</v>
      </c>
      <c r="J19" s="422">
        <f t="shared" si="5"/>
        <v>-0.18543199346486652</v>
      </c>
    </row>
    <row r="20" spans="1:10" ht="15.75" thickBot="1" x14ac:dyDescent="0.3">
      <c r="A20" s="240" t="s">
        <v>171</v>
      </c>
      <c r="B20" s="242">
        <v>3395671</v>
      </c>
      <c r="C20" s="413">
        <v>3288035</v>
      </c>
      <c r="D20" s="422">
        <f t="shared" si="3"/>
        <v>-3.169800607891636E-2</v>
      </c>
      <c r="E20" s="242">
        <v>3395671</v>
      </c>
      <c r="F20" s="413">
        <v>3290669</v>
      </c>
      <c r="G20" s="422">
        <f t="shared" si="4"/>
        <v>-3.092231255619287E-2</v>
      </c>
      <c r="H20" s="242">
        <v>3395671</v>
      </c>
      <c r="I20" s="413">
        <v>3297443</v>
      </c>
      <c r="J20" s="422">
        <f t="shared" si="5"/>
        <v>-2.8927419646956373E-2</v>
      </c>
    </row>
    <row r="21" spans="1:10" ht="15.75" thickBot="1" x14ac:dyDescent="0.3">
      <c r="A21" s="240" t="s">
        <v>141</v>
      </c>
      <c r="B21" s="242">
        <v>72306</v>
      </c>
      <c r="C21" s="413">
        <v>77337</v>
      </c>
      <c r="D21" s="422">
        <f t="shared" si="3"/>
        <v>6.9579288025889974E-2</v>
      </c>
      <c r="E21" s="242">
        <v>72306</v>
      </c>
      <c r="F21" s="413">
        <v>77245</v>
      </c>
      <c r="G21" s="422">
        <f t="shared" si="4"/>
        <v>6.8306917821480934E-2</v>
      </c>
      <c r="H21" s="242">
        <v>72306</v>
      </c>
      <c r="I21" s="413">
        <v>77153</v>
      </c>
      <c r="J21" s="422">
        <f t="shared" si="5"/>
        <v>6.7034547617071893E-2</v>
      </c>
    </row>
    <row r="22" spans="1:10" ht="15.75" thickBot="1" x14ac:dyDescent="0.3">
      <c r="A22" s="240" t="s">
        <v>247</v>
      </c>
      <c r="B22" s="242">
        <v>2118226</v>
      </c>
      <c r="C22" s="413">
        <v>2058314</v>
      </c>
      <c r="D22" s="422">
        <f t="shared" si="3"/>
        <v>-2.8284045234077949E-2</v>
      </c>
      <c r="E22" s="242">
        <v>2118226</v>
      </c>
      <c r="F22" s="413">
        <v>2039695</v>
      </c>
      <c r="G22" s="422">
        <f t="shared" si="4"/>
        <v>-3.707394772795726E-2</v>
      </c>
      <c r="H22" s="242">
        <v>2118226</v>
      </c>
      <c r="I22" s="413">
        <v>2040907</v>
      </c>
      <c r="J22" s="422">
        <f t="shared" si="5"/>
        <v>-3.6501770821432654E-2</v>
      </c>
    </row>
    <row r="23" spans="1:10" ht="15.75" thickBot="1" x14ac:dyDescent="0.3">
      <c r="A23" s="240" t="s">
        <v>173</v>
      </c>
      <c r="B23" s="242">
        <v>1181350</v>
      </c>
      <c r="C23" s="413">
        <v>1149138</v>
      </c>
      <c r="D23" s="422">
        <f t="shared" si="3"/>
        <v>-2.7267109662674059E-2</v>
      </c>
      <c r="E23" s="242">
        <v>1181350</v>
      </c>
      <c r="F23" s="413">
        <v>1148745</v>
      </c>
      <c r="G23" s="422">
        <f t="shared" si="4"/>
        <v>-2.7599779912811612E-2</v>
      </c>
      <c r="H23" s="242">
        <v>1181350</v>
      </c>
      <c r="I23" s="413">
        <v>1143862</v>
      </c>
      <c r="J23" s="422">
        <f t="shared" si="5"/>
        <v>-3.1733186608541075E-2</v>
      </c>
    </row>
    <row r="24" spans="1:10" ht="15.75" thickBot="1" x14ac:dyDescent="0.3">
      <c r="A24" s="240" t="s">
        <v>280</v>
      </c>
      <c r="B24" s="242">
        <v>415072</v>
      </c>
      <c r="C24" s="413">
        <v>403858</v>
      </c>
      <c r="D24" s="422">
        <f t="shared" si="3"/>
        <v>-2.7016999460334593E-2</v>
      </c>
      <c r="E24" s="242">
        <v>415072</v>
      </c>
      <c r="F24" s="413">
        <v>386564</v>
      </c>
      <c r="G24" s="422">
        <f t="shared" si="4"/>
        <v>-6.8682059979955287E-2</v>
      </c>
      <c r="H24" s="242">
        <v>415072</v>
      </c>
      <c r="I24" s="413">
        <v>388120</v>
      </c>
      <c r="J24" s="422">
        <f t="shared" si="5"/>
        <v>-6.4933312774651142E-2</v>
      </c>
    </row>
    <row r="25" spans="1:10" ht="15.75" thickBot="1" x14ac:dyDescent="0.3">
      <c r="A25" s="245" t="s">
        <v>283</v>
      </c>
      <c r="B25" s="247">
        <v>100352</v>
      </c>
      <c r="C25" s="414">
        <v>73714</v>
      </c>
      <c r="D25" s="423">
        <f t="shared" si="3"/>
        <v>-0.26544563137755101</v>
      </c>
      <c r="E25" s="247">
        <v>100352</v>
      </c>
      <c r="F25" s="414">
        <v>68050</v>
      </c>
      <c r="G25" s="423">
        <f t="shared" si="4"/>
        <v>-0.32188695790816324</v>
      </c>
      <c r="H25" s="247">
        <v>100352</v>
      </c>
      <c r="I25" s="414">
        <v>70353</v>
      </c>
      <c r="J25" s="423">
        <f t="shared" si="5"/>
        <v>-0.29893773915816324</v>
      </c>
    </row>
    <row r="26" spans="1:10" ht="15.75" thickBot="1" x14ac:dyDescent="0.3">
      <c r="A26" s="249" t="s">
        <v>175</v>
      </c>
      <c r="B26" s="250">
        <f>SUM(B17:B25)</f>
        <v>11623900</v>
      </c>
      <c r="C26" s="415">
        <f>SUM(C17:C25)</f>
        <v>10971337</v>
      </c>
      <c r="D26" s="424">
        <f t="shared" si="3"/>
        <v>-5.6139763762592589E-2</v>
      </c>
      <c r="E26" s="250">
        <f>SUM(E17:E25)</f>
        <v>11623900</v>
      </c>
      <c r="F26" s="415">
        <f>SUM(F17:F25)</f>
        <v>11034918</v>
      </c>
      <c r="G26" s="424">
        <f t="shared" si="4"/>
        <v>-5.0669912851968792E-2</v>
      </c>
      <c r="H26" s="250">
        <f>SUM(H17:H25)</f>
        <v>11623900</v>
      </c>
      <c r="I26" s="415">
        <f>SUM(I17:I25)</f>
        <v>10593046</v>
      </c>
      <c r="J26" s="424">
        <f t="shared" si="5"/>
        <v>-8.868400450795344E-2</v>
      </c>
    </row>
    <row r="27" spans="1:10" ht="15.75" thickBot="1" x14ac:dyDescent="0.3">
      <c r="A27" s="382" t="s">
        <v>176</v>
      </c>
      <c r="B27" s="383">
        <f>+B15+B26</f>
        <v>14309477</v>
      </c>
      <c r="C27" s="416">
        <f>+C15+C26</f>
        <v>13568385</v>
      </c>
      <c r="D27" s="425">
        <f t="shared" si="3"/>
        <v>-5.1790292545283098E-2</v>
      </c>
      <c r="E27" s="383">
        <f>+E15+E26</f>
        <v>14309477</v>
      </c>
      <c r="F27" s="416">
        <f>+F15+F26</f>
        <v>13695587</v>
      </c>
      <c r="G27" s="425">
        <f t="shared" si="4"/>
        <v>-4.2900939007065035E-2</v>
      </c>
      <c r="H27" s="383">
        <f>+H15+H26</f>
        <v>14309477</v>
      </c>
      <c r="I27" s="416">
        <f>+I15+I26</f>
        <v>13352382</v>
      </c>
      <c r="J27" s="425">
        <f t="shared" si="5"/>
        <v>-6.6885393505297222E-2</v>
      </c>
    </row>
    <row r="28" spans="1:10" x14ac:dyDescent="0.25">
      <c r="A28" s="376" t="s">
        <v>142</v>
      </c>
      <c r="B28" s="377"/>
      <c r="C28" s="411"/>
      <c r="D28" s="411"/>
      <c r="E28" s="377"/>
      <c r="F28" s="411"/>
      <c r="G28" s="411"/>
      <c r="H28" s="377"/>
      <c r="I28" s="411"/>
      <c r="J28" s="411"/>
    </row>
    <row r="29" spans="1:10" x14ac:dyDescent="0.25">
      <c r="A29" s="378" t="s">
        <v>177</v>
      </c>
      <c r="B29" s="379"/>
      <c r="C29" s="412"/>
      <c r="D29" s="421"/>
      <c r="E29" s="379"/>
      <c r="F29" s="412"/>
      <c r="G29" s="421"/>
      <c r="H29" s="379"/>
      <c r="I29" s="412"/>
      <c r="J29" s="421"/>
    </row>
    <row r="30" spans="1:10" ht="15.75" thickBot="1" x14ac:dyDescent="0.3">
      <c r="A30" s="240" t="s">
        <v>28</v>
      </c>
      <c r="B30" s="242">
        <v>557133</v>
      </c>
      <c r="C30" s="413">
        <v>718979</v>
      </c>
      <c r="D30" s="422">
        <f t="shared" ref="D30:D36" si="6">(C30-B30)/B30</f>
        <v>0.29049796009211443</v>
      </c>
      <c r="E30" s="242">
        <v>557133</v>
      </c>
      <c r="F30" s="413">
        <v>360929</v>
      </c>
      <c r="G30" s="422">
        <f t="shared" ref="G30:G36" si="7">(F30-E30)/E30</f>
        <v>-0.35216725629248313</v>
      </c>
      <c r="H30" s="242">
        <v>557133</v>
      </c>
      <c r="I30" s="413">
        <v>473200</v>
      </c>
      <c r="J30" s="422">
        <f t="shared" ref="J30:J36" si="8">(I30-H30)/H30</f>
        <v>-0.15065163973413889</v>
      </c>
    </row>
    <row r="31" spans="1:10" ht="15.75" thickBot="1" x14ac:dyDescent="0.3">
      <c r="A31" s="240" t="s">
        <v>178</v>
      </c>
      <c r="B31" s="242">
        <v>993241</v>
      </c>
      <c r="C31" s="413">
        <v>995912</v>
      </c>
      <c r="D31" s="422">
        <f t="shared" si="6"/>
        <v>2.6891761415406734E-3</v>
      </c>
      <c r="E31" s="242">
        <v>993241</v>
      </c>
      <c r="F31" s="413">
        <v>960300</v>
      </c>
      <c r="G31" s="422">
        <f t="shared" si="7"/>
        <v>-3.3165163339008361E-2</v>
      </c>
      <c r="H31" s="242">
        <v>993241</v>
      </c>
      <c r="I31" s="413">
        <v>925802</v>
      </c>
      <c r="J31" s="422">
        <f t="shared" si="8"/>
        <v>-6.7897922055170895E-2</v>
      </c>
    </row>
    <row r="32" spans="1:10" ht="15.75" thickBot="1" x14ac:dyDescent="0.3">
      <c r="A32" s="240" t="s">
        <v>257</v>
      </c>
      <c r="B32" s="242">
        <v>207776</v>
      </c>
      <c r="C32" s="413">
        <v>173161</v>
      </c>
      <c r="D32" s="422">
        <f t="shared" si="6"/>
        <v>-0.16659768211920531</v>
      </c>
      <c r="E32" s="242">
        <v>207776</v>
      </c>
      <c r="F32" s="413">
        <v>254457</v>
      </c>
      <c r="G32" s="422">
        <f t="shared" si="7"/>
        <v>0.22466983674726629</v>
      </c>
      <c r="H32" s="242">
        <v>207776</v>
      </c>
      <c r="I32" s="413">
        <v>269618</v>
      </c>
      <c r="J32" s="422">
        <f t="shared" si="8"/>
        <v>0.29763784075157862</v>
      </c>
    </row>
    <row r="33" spans="1:10" ht="15.75" thickBot="1" x14ac:dyDescent="0.3">
      <c r="A33" s="240" t="s">
        <v>179</v>
      </c>
      <c r="B33" s="242">
        <v>172730</v>
      </c>
      <c r="C33" s="413">
        <v>150309</v>
      </c>
      <c r="D33" s="422">
        <f t="shared" si="6"/>
        <v>-0.12980373994094829</v>
      </c>
      <c r="E33" s="242">
        <v>172730</v>
      </c>
      <c r="F33" s="413">
        <v>161420</v>
      </c>
      <c r="G33" s="422">
        <f t="shared" si="7"/>
        <v>-6.5477913506628849E-2</v>
      </c>
      <c r="H33" s="242">
        <v>172730</v>
      </c>
      <c r="I33" s="413">
        <v>210356</v>
      </c>
      <c r="J33" s="422">
        <f t="shared" si="8"/>
        <v>0.21783129740056736</v>
      </c>
    </row>
    <row r="34" spans="1:10" ht="15.75" thickBot="1" x14ac:dyDescent="0.3">
      <c r="A34" s="240" t="s">
        <v>180</v>
      </c>
      <c r="B34" s="242">
        <v>9820</v>
      </c>
      <c r="C34" s="413">
        <v>4186</v>
      </c>
      <c r="D34" s="422">
        <f t="shared" si="6"/>
        <v>-0.57372708757637469</v>
      </c>
      <c r="E34" s="242">
        <v>9820</v>
      </c>
      <c r="F34" s="413">
        <v>4005</v>
      </c>
      <c r="G34" s="422">
        <f t="shared" si="7"/>
        <v>-0.59215885947046842</v>
      </c>
      <c r="H34" s="242">
        <v>9820</v>
      </c>
      <c r="I34" s="413">
        <v>3869</v>
      </c>
      <c r="J34" s="422">
        <f t="shared" si="8"/>
        <v>-0.60600814663951119</v>
      </c>
    </row>
    <row r="35" spans="1:10" ht="15.75" thickBot="1" x14ac:dyDescent="0.3">
      <c r="A35" s="245" t="s">
        <v>260</v>
      </c>
      <c r="B35" s="247">
        <v>14261</v>
      </c>
      <c r="C35" s="414">
        <v>23398</v>
      </c>
      <c r="D35" s="423">
        <f t="shared" si="6"/>
        <v>0.640698408246266</v>
      </c>
      <c r="E35" s="247">
        <v>14261</v>
      </c>
      <c r="F35" s="414">
        <v>16593</v>
      </c>
      <c r="G35" s="423">
        <f t="shared" si="7"/>
        <v>0.16352289460767128</v>
      </c>
      <c r="H35" s="247">
        <v>14261</v>
      </c>
      <c r="I35" s="414">
        <v>20265</v>
      </c>
      <c r="J35" s="423">
        <f t="shared" si="8"/>
        <v>0.42100834443587404</v>
      </c>
    </row>
    <row r="36" spans="1:10" ht="15.75" thickBot="1" x14ac:dyDescent="0.3">
      <c r="A36" s="249" t="s">
        <v>181</v>
      </c>
      <c r="B36" s="250">
        <f>SUM(B30:B35)</f>
        <v>1954961</v>
      </c>
      <c r="C36" s="415">
        <f>SUM(C30:C35)</f>
        <v>2065945</v>
      </c>
      <c r="D36" s="424">
        <f t="shared" si="6"/>
        <v>5.6770441967896032E-2</v>
      </c>
      <c r="E36" s="250">
        <f>SUM(E30:E35)</f>
        <v>1954961</v>
      </c>
      <c r="F36" s="415">
        <f>SUM(F30:F35)</f>
        <v>1757704</v>
      </c>
      <c r="G36" s="424">
        <f t="shared" si="7"/>
        <v>-0.10090073408114024</v>
      </c>
      <c r="H36" s="250">
        <f>SUM(H30:H35)</f>
        <v>1954961</v>
      </c>
      <c r="I36" s="415">
        <f>SUM(I30:I35)</f>
        <v>1903110</v>
      </c>
      <c r="J36" s="424">
        <f t="shared" si="8"/>
        <v>-2.6522779738317029E-2</v>
      </c>
    </row>
    <row r="37" spans="1:10" x14ac:dyDescent="0.25">
      <c r="A37" s="378" t="s">
        <v>182</v>
      </c>
      <c r="B37" s="379"/>
      <c r="C37" s="412"/>
      <c r="D37" s="421"/>
      <c r="E37" s="379"/>
      <c r="F37" s="412"/>
      <c r="G37" s="421"/>
      <c r="H37" s="379"/>
      <c r="I37" s="412"/>
      <c r="J37" s="421"/>
    </row>
    <row r="38" spans="1:10" ht="15.75" thickBot="1" x14ac:dyDescent="0.3">
      <c r="A38" s="240" t="s">
        <v>28</v>
      </c>
      <c r="B38" s="242">
        <v>2474077</v>
      </c>
      <c r="C38" s="413">
        <v>2362473</v>
      </c>
      <c r="D38" s="422">
        <f t="shared" ref="D38:D44" si="9">(C38-B38)/B38</f>
        <v>-4.5109347849723348E-2</v>
      </c>
      <c r="E38" s="242">
        <v>2474077</v>
      </c>
      <c r="F38" s="413">
        <v>2564220</v>
      </c>
      <c r="G38" s="422">
        <f t="shared" ref="G38:G44" si="10">(F38-E38)/E38</f>
        <v>3.643500182088108E-2</v>
      </c>
      <c r="H38" s="242">
        <v>2474077</v>
      </c>
      <c r="I38" s="413">
        <v>2379353</v>
      </c>
      <c r="J38" s="422">
        <f t="shared" ref="J38:J44" si="11">(I38-H38)/H38</f>
        <v>-3.8286601427522264E-2</v>
      </c>
    </row>
    <row r="39" spans="1:10" ht="15.75" thickBot="1" x14ac:dyDescent="0.3">
      <c r="A39" s="240" t="s">
        <v>178</v>
      </c>
      <c r="B39" s="241">
        <v>158</v>
      </c>
      <c r="C39" s="417">
        <v>158</v>
      </c>
      <c r="D39" s="422">
        <f t="shared" si="9"/>
        <v>0</v>
      </c>
      <c r="E39" s="241">
        <v>158</v>
      </c>
      <c r="F39" s="417">
        <v>158</v>
      </c>
      <c r="G39" s="422">
        <f t="shared" si="10"/>
        <v>0</v>
      </c>
      <c r="H39" s="241">
        <v>158</v>
      </c>
      <c r="I39" s="417">
        <v>158</v>
      </c>
      <c r="J39" s="422">
        <f t="shared" si="11"/>
        <v>0</v>
      </c>
    </row>
    <row r="40" spans="1:10" ht="15.75" thickBot="1" x14ac:dyDescent="0.3">
      <c r="A40" s="240" t="s">
        <v>179</v>
      </c>
      <c r="B40" s="242">
        <v>226574</v>
      </c>
      <c r="C40" s="413">
        <v>225014</v>
      </c>
      <c r="D40" s="422">
        <f t="shared" si="9"/>
        <v>-6.8851677597606079E-3</v>
      </c>
      <c r="E40" s="242">
        <v>226574</v>
      </c>
      <c r="F40" s="413">
        <v>221454</v>
      </c>
      <c r="G40" s="422">
        <f t="shared" si="10"/>
        <v>-2.2597473673060458E-2</v>
      </c>
      <c r="H40" s="242">
        <v>226574</v>
      </c>
      <c r="I40" s="413">
        <v>214774</v>
      </c>
      <c r="J40" s="422">
        <f t="shared" si="11"/>
        <v>-5.2080115105881522E-2</v>
      </c>
    </row>
    <row r="41" spans="1:10" ht="15.75" thickBot="1" x14ac:dyDescent="0.3">
      <c r="A41" s="240" t="s">
        <v>183</v>
      </c>
      <c r="B41" s="242">
        <v>702967</v>
      </c>
      <c r="C41" s="413">
        <v>694042</v>
      </c>
      <c r="D41" s="422">
        <f t="shared" si="9"/>
        <v>-1.2696186307465357E-2</v>
      </c>
      <c r="E41" s="242">
        <v>702967</v>
      </c>
      <c r="F41" s="413">
        <v>694741</v>
      </c>
      <c r="G41" s="422">
        <f t="shared" si="10"/>
        <v>-1.1701829531115969E-2</v>
      </c>
      <c r="H41" s="242">
        <v>702967</v>
      </c>
      <c r="I41" s="413">
        <v>700085</v>
      </c>
      <c r="J41" s="422">
        <f t="shared" si="11"/>
        <v>-4.0997657073518386E-3</v>
      </c>
    </row>
    <row r="42" spans="1:10" ht="15.75" thickBot="1" x14ac:dyDescent="0.3">
      <c r="A42" s="245" t="s">
        <v>261</v>
      </c>
      <c r="B42" s="246">
        <v>559</v>
      </c>
      <c r="C42" s="418">
        <v>544</v>
      </c>
      <c r="D42" s="422">
        <f t="shared" si="9"/>
        <v>-2.6833631484794274E-2</v>
      </c>
      <c r="E42" s="246">
        <v>559</v>
      </c>
      <c r="F42" s="418">
        <v>516</v>
      </c>
      <c r="G42" s="422">
        <f t="shared" si="10"/>
        <v>-7.6923076923076927E-2</v>
      </c>
      <c r="H42" s="246">
        <v>559</v>
      </c>
      <c r="I42" s="418">
        <v>533</v>
      </c>
      <c r="J42" s="422">
        <f t="shared" si="11"/>
        <v>-4.6511627906976744E-2</v>
      </c>
    </row>
    <row r="43" spans="1:10" ht="15.75" thickBot="1" x14ac:dyDescent="0.3">
      <c r="A43" s="249" t="s">
        <v>185</v>
      </c>
      <c r="B43" s="250">
        <f>SUM(B38:B42)</f>
        <v>3404335</v>
      </c>
      <c r="C43" s="415">
        <f>SUM(C38:C42)</f>
        <v>3282231</v>
      </c>
      <c r="D43" s="424">
        <f t="shared" si="9"/>
        <v>-3.5867210483104629E-2</v>
      </c>
      <c r="E43" s="250">
        <f>SUM(E38:E42)</f>
        <v>3404335</v>
      </c>
      <c r="F43" s="415">
        <f>SUM(F38:F42)</f>
        <v>3481089</v>
      </c>
      <c r="G43" s="424">
        <f t="shared" si="10"/>
        <v>2.2545959783628815E-2</v>
      </c>
      <c r="H43" s="250">
        <f>SUM(H38:H42)</f>
        <v>3404335</v>
      </c>
      <c r="I43" s="415">
        <f>SUM(I38:I42)</f>
        <v>3294903</v>
      </c>
      <c r="J43" s="424">
        <f t="shared" si="11"/>
        <v>-3.2144897608490354E-2</v>
      </c>
    </row>
    <row r="44" spans="1:10" ht="15.75" thickBot="1" x14ac:dyDescent="0.3">
      <c r="A44" s="382" t="s">
        <v>186</v>
      </c>
      <c r="B44" s="383">
        <f>+B36+B43</f>
        <v>5359296</v>
      </c>
      <c r="C44" s="416">
        <f>+C36+C43</f>
        <v>5348176</v>
      </c>
      <c r="D44" s="425">
        <f t="shared" si="9"/>
        <v>-2.0748993897705967E-3</v>
      </c>
      <c r="E44" s="383">
        <f>+E36+E43</f>
        <v>5359296</v>
      </c>
      <c r="F44" s="416">
        <f>+F36+F43</f>
        <v>5238793</v>
      </c>
      <c r="G44" s="425">
        <f t="shared" si="10"/>
        <v>-2.2484856219921422E-2</v>
      </c>
      <c r="H44" s="383">
        <f>+H36+H43</f>
        <v>5359296</v>
      </c>
      <c r="I44" s="416">
        <f>+I36+I43</f>
        <v>5198013</v>
      </c>
      <c r="J44" s="425">
        <f t="shared" si="11"/>
        <v>-3.0094064593558557E-2</v>
      </c>
    </row>
    <row r="45" spans="1:10" x14ac:dyDescent="0.25">
      <c r="A45" s="376" t="s">
        <v>34</v>
      </c>
      <c r="B45" s="377"/>
      <c r="C45" s="411"/>
      <c r="D45" s="411"/>
      <c r="E45" s="377"/>
      <c r="F45" s="411"/>
      <c r="G45" s="411"/>
      <c r="H45" s="377"/>
      <c r="I45" s="411"/>
      <c r="J45" s="411"/>
    </row>
    <row r="46" spans="1:10" ht="15.75" thickBot="1" x14ac:dyDescent="0.3">
      <c r="A46" s="249" t="s">
        <v>187</v>
      </c>
      <c r="B46" s="250">
        <v>8907656</v>
      </c>
      <c r="C46" s="415">
        <v>8180319</v>
      </c>
      <c r="D46" s="424">
        <f>(C46-B46)/B46</f>
        <v>-8.1653018482078787E-2</v>
      </c>
      <c r="E46" s="250">
        <v>8907656</v>
      </c>
      <c r="F46" s="415">
        <v>8417112</v>
      </c>
      <c r="G46" s="424">
        <f>(F46-E46)/E46</f>
        <v>-5.506993085498587E-2</v>
      </c>
      <c r="H46" s="250">
        <v>8907656</v>
      </c>
      <c r="I46" s="415">
        <v>8112245</v>
      </c>
      <c r="J46" s="424">
        <f>(I46-H46)/H46</f>
        <v>-8.9295208526238554E-2</v>
      </c>
    </row>
    <row r="47" spans="1:10" ht="15.75" thickBot="1" x14ac:dyDescent="0.3">
      <c r="A47" s="259" t="s">
        <v>188</v>
      </c>
      <c r="B47" s="247">
        <v>42525</v>
      </c>
      <c r="C47" s="414">
        <v>39890</v>
      </c>
      <c r="D47" s="423">
        <f>(C47-B47)/B47</f>
        <v>-6.1963550852439743E-2</v>
      </c>
      <c r="E47" s="247">
        <v>42525</v>
      </c>
      <c r="F47" s="414">
        <v>39682</v>
      </c>
      <c r="G47" s="423">
        <f>(F47-E47)/E47</f>
        <v>-6.6854791299235744E-2</v>
      </c>
      <c r="H47" s="247">
        <v>42525</v>
      </c>
      <c r="I47" s="414">
        <v>42124</v>
      </c>
      <c r="J47" s="423">
        <f>(I47-H47)/H47</f>
        <v>-9.4297472075249855E-3</v>
      </c>
    </row>
    <row r="48" spans="1:10" ht="15.75" thickBot="1" x14ac:dyDescent="0.3">
      <c r="A48" s="382" t="s">
        <v>189</v>
      </c>
      <c r="B48" s="383">
        <f>SUM(B46:B47)</f>
        <v>8950181</v>
      </c>
      <c r="C48" s="416">
        <f>SUM(C46:C47)</f>
        <v>8220209</v>
      </c>
      <c r="D48" s="425">
        <f>(C48-B48)/B48</f>
        <v>-8.1559467903498259E-2</v>
      </c>
      <c r="E48" s="383">
        <f>SUM(E46:E47)</f>
        <v>8950181</v>
      </c>
      <c r="F48" s="416">
        <f>SUM(F46:F47)</f>
        <v>8456794</v>
      </c>
      <c r="G48" s="425">
        <f>(F48-E48)/E48</f>
        <v>-5.5125924269017579E-2</v>
      </c>
      <c r="H48" s="383">
        <f>SUM(H46:H47)</f>
        <v>8950181</v>
      </c>
      <c r="I48" s="416">
        <f>SUM(I46:I47)</f>
        <v>8154369</v>
      </c>
      <c r="J48" s="425">
        <f>(I48-H48)/H48</f>
        <v>-8.8915743715127102E-2</v>
      </c>
    </row>
    <row r="49" spans="1:25" ht="15.75" thickBot="1" x14ac:dyDescent="0.3">
      <c r="A49" s="380" t="s">
        <v>190</v>
      </c>
      <c r="B49" s="381">
        <f>+B44+B48</f>
        <v>14309477</v>
      </c>
      <c r="C49" s="419">
        <f>+C44+C48</f>
        <v>13568385</v>
      </c>
      <c r="D49" s="426">
        <f>(C49-B49)/B49</f>
        <v>-5.1790292545283098E-2</v>
      </c>
      <c r="E49" s="381">
        <f>+E44+E48</f>
        <v>14309477</v>
      </c>
      <c r="F49" s="419">
        <f>+F44+F48</f>
        <v>13695587</v>
      </c>
      <c r="G49" s="426">
        <f>(F49-E49)/E49</f>
        <v>-4.2900939007065035E-2</v>
      </c>
      <c r="H49" s="381">
        <f>+H44+H48</f>
        <v>14309477</v>
      </c>
      <c r="I49" s="419">
        <f>+I44+I48</f>
        <v>13352382</v>
      </c>
      <c r="J49" s="426">
        <f>(I49-H49)/H49</f>
        <v>-6.6885393505297222E-2</v>
      </c>
    </row>
    <row r="51" spans="1:25" x14ac:dyDescent="0.25">
      <c r="B51" s="263"/>
      <c r="C51" s="263"/>
      <c r="D51" s="263"/>
      <c r="E51" s="263"/>
      <c r="F51" s="263"/>
      <c r="H51" s="263"/>
      <c r="J51" s="263"/>
      <c r="M51" s="263"/>
      <c r="O51" s="263"/>
      <c r="R51" s="263"/>
      <c r="T51" s="263"/>
    </row>
    <row r="52" spans="1:25" ht="18.75" x14ac:dyDescent="0.3">
      <c r="A52" s="264" t="s">
        <v>191</v>
      </c>
      <c r="B52" s="362"/>
      <c r="C52" s="362"/>
      <c r="D52" s="362"/>
      <c r="E52" s="362"/>
    </row>
    <row r="53" spans="1:25" x14ac:dyDescent="0.25">
      <c r="A53" s="332" t="s">
        <v>235</v>
      </c>
      <c r="B53" s="362"/>
      <c r="C53" s="362"/>
      <c r="D53" s="362"/>
      <c r="E53" s="362"/>
    </row>
    <row r="54" spans="1:25" x14ac:dyDescent="0.25">
      <c r="A54" s="332" t="s">
        <v>88</v>
      </c>
      <c r="B54" s="362"/>
      <c r="C54" s="362"/>
      <c r="D54" s="362"/>
      <c r="E54" s="362"/>
    </row>
    <row r="55" spans="1:25" x14ac:dyDescent="0.25">
      <c r="A55" s="265" t="s">
        <v>159</v>
      </c>
      <c r="B55" s="362"/>
      <c r="C55" s="362"/>
      <c r="D55" s="362"/>
      <c r="E55" s="362"/>
    </row>
    <row r="56" spans="1:25" ht="15.75" thickBot="1" x14ac:dyDescent="0.3">
      <c r="B56" s="364"/>
      <c r="C56" s="364"/>
      <c r="D56" s="364"/>
      <c r="E56" s="364"/>
    </row>
    <row r="57" spans="1:25" ht="15.75" customHeight="1" thickBot="1" x14ac:dyDescent="0.3">
      <c r="A57" s="353"/>
      <c r="B57" s="388" t="s">
        <v>245</v>
      </c>
      <c r="C57" s="388" t="s">
        <v>55</v>
      </c>
      <c r="D57" s="400" t="s">
        <v>270</v>
      </c>
      <c r="E57" s="400" t="s">
        <v>55</v>
      </c>
      <c r="F57" s="388" t="s">
        <v>46</v>
      </c>
      <c r="G57" s="388" t="s">
        <v>251</v>
      </c>
      <c r="H57" s="388" t="s">
        <v>55</v>
      </c>
      <c r="I57" s="400" t="s">
        <v>278</v>
      </c>
      <c r="J57" s="400" t="s">
        <v>55</v>
      </c>
      <c r="K57" s="388" t="s">
        <v>46</v>
      </c>
      <c r="L57" s="388" t="s">
        <v>245</v>
      </c>
      <c r="M57" s="400" t="s">
        <v>270</v>
      </c>
      <c r="N57" s="388" t="s">
        <v>250</v>
      </c>
      <c r="O57" s="400" t="s">
        <v>277</v>
      </c>
      <c r="P57" s="388" t="s">
        <v>255</v>
      </c>
      <c r="Q57" s="388" t="s">
        <v>55</v>
      </c>
      <c r="R57" s="400" t="s">
        <v>284</v>
      </c>
      <c r="S57" s="388" t="s">
        <v>55</v>
      </c>
      <c r="T57" s="388" t="s">
        <v>46</v>
      </c>
      <c r="U57" s="388" t="s">
        <v>256</v>
      </c>
      <c r="V57" s="388" t="s">
        <v>55</v>
      </c>
      <c r="W57" s="400" t="s">
        <v>285</v>
      </c>
      <c r="X57" s="400" t="s">
        <v>55</v>
      </c>
      <c r="Y57" s="388" t="s">
        <v>46</v>
      </c>
    </row>
    <row r="58" spans="1:25" ht="15.75" thickTop="1" x14ac:dyDescent="0.25">
      <c r="A58" s="390" t="s">
        <v>193</v>
      </c>
      <c r="B58" s="389"/>
      <c r="C58" s="389"/>
      <c r="D58" s="401"/>
      <c r="E58" s="406"/>
      <c r="F58" s="389"/>
      <c r="G58" s="389"/>
      <c r="H58" s="389"/>
      <c r="I58" s="401"/>
      <c r="J58" s="406"/>
      <c r="K58" s="389"/>
      <c r="L58" s="389"/>
      <c r="M58" s="401"/>
      <c r="N58" s="389"/>
      <c r="O58" s="401"/>
      <c r="P58" s="389"/>
      <c r="Q58" s="389"/>
      <c r="R58" s="401"/>
      <c r="S58" s="389"/>
      <c r="T58" s="389"/>
      <c r="U58" s="389"/>
      <c r="V58" s="389"/>
      <c r="W58" s="401"/>
      <c r="X58" s="406"/>
      <c r="Y58" s="389"/>
    </row>
    <row r="59" spans="1:25" ht="15.75" thickBot="1" x14ac:dyDescent="0.3">
      <c r="A59" s="391" t="s">
        <v>194</v>
      </c>
      <c r="B59" s="458">
        <v>2041823</v>
      </c>
      <c r="C59" s="387">
        <f t="shared" ref="C59:C79" si="12">+B59/$B$59</f>
        <v>1</v>
      </c>
      <c r="D59" s="395">
        <v>2104345</v>
      </c>
      <c r="E59" s="387">
        <f t="shared" ref="E59:E79" si="13">+D59/$D$59</f>
        <v>1</v>
      </c>
      <c r="F59" s="387">
        <f>(D59-B59)/B59</f>
        <v>3.0620675739278087E-2</v>
      </c>
      <c r="G59" s="395">
        <v>4159066</v>
      </c>
      <c r="H59" s="387">
        <f>G59/$G$59</f>
        <v>1</v>
      </c>
      <c r="I59" s="395">
        <v>4326514</v>
      </c>
      <c r="J59" s="387">
        <f>I59/$I$59</f>
        <v>1</v>
      </c>
      <c r="K59" s="387">
        <f t="shared" ref="K59:K64" si="14">(I59-G59)/G59</f>
        <v>4.0260962437239513E-2</v>
      </c>
      <c r="L59" s="458">
        <v>2041823</v>
      </c>
      <c r="M59" s="395">
        <v>2104345</v>
      </c>
      <c r="N59" s="395">
        <v>2117243</v>
      </c>
      <c r="O59" s="395">
        <v>2222169</v>
      </c>
      <c r="P59" s="395">
        <v>2232343</v>
      </c>
      <c r="Q59" s="387">
        <f>P59/$P$59</f>
        <v>1</v>
      </c>
      <c r="R59" s="395">
        <v>2282784</v>
      </c>
      <c r="S59" s="387">
        <f t="shared" ref="S59:S79" si="15">+R59/$R$59</f>
        <v>1</v>
      </c>
      <c r="T59" s="387">
        <f t="shared" ref="T59:T64" si="16">(R59-P59)/P59</f>
        <v>2.2595541993322709E-2</v>
      </c>
      <c r="U59" s="395">
        <f>L59+N59+P59</f>
        <v>6391409</v>
      </c>
      <c r="V59" s="387">
        <f t="shared" ref="V59:V79" si="17">U59/$U$59</f>
        <v>1</v>
      </c>
      <c r="W59" s="395">
        <f>M59+O59+R59</f>
        <v>6609298</v>
      </c>
      <c r="X59" s="387">
        <f t="shared" ref="X59:X79" si="18">+W59/$W$59</f>
        <v>1</v>
      </c>
      <c r="Y59" s="387">
        <f>(W59-U59)/U59</f>
        <v>3.409091798068313E-2</v>
      </c>
    </row>
    <row r="60" spans="1:25" ht="15.75" thickBot="1" x14ac:dyDescent="0.3">
      <c r="A60" s="392" t="s">
        <v>262</v>
      </c>
      <c r="B60" s="460">
        <v>-1150561</v>
      </c>
      <c r="C60" s="384">
        <f t="shared" si="12"/>
        <v>-0.56349693386743116</v>
      </c>
      <c r="D60" s="456">
        <v>-1168715</v>
      </c>
      <c r="E60" s="407">
        <f t="shared" si="13"/>
        <v>-0.5553818409053648</v>
      </c>
      <c r="F60" s="384">
        <f t="shared" ref="F60:F79" si="19">(D60-B60)/B60</f>
        <v>1.5778389846344523E-2</v>
      </c>
      <c r="G60" s="460">
        <v>-2333030</v>
      </c>
      <c r="H60" s="384">
        <f t="shared" ref="H60:H85" si="20">G60/$G$59</f>
        <v>-0.56095046339731081</v>
      </c>
      <c r="I60" s="456">
        <v>-2398340</v>
      </c>
      <c r="J60" s="407">
        <f t="shared" ref="J60:J85" si="21">I60/$I$59</f>
        <v>-0.55433543032566168</v>
      </c>
      <c r="K60" s="384">
        <f t="shared" si="14"/>
        <v>2.7993639173092503E-2</v>
      </c>
      <c r="L60" s="460">
        <v>-1150561</v>
      </c>
      <c r="M60" s="456">
        <v>-1168715</v>
      </c>
      <c r="N60" s="460">
        <v>-1182469</v>
      </c>
      <c r="O60" s="456">
        <v>-1229625</v>
      </c>
      <c r="P60" s="460">
        <v>-1236124</v>
      </c>
      <c r="Q60" s="384">
        <f t="shared" ref="Q60:Q84" si="22">P60/$P$59</f>
        <v>-0.55373390200341077</v>
      </c>
      <c r="R60" s="456">
        <v>-1242686</v>
      </c>
      <c r="S60" s="384">
        <f t="shared" si="15"/>
        <v>-0.54437301120035886</v>
      </c>
      <c r="T60" s="384">
        <f t="shared" si="16"/>
        <v>5.3085289178108341E-3</v>
      </c>
      <c r="U60" s="460">
        <f t="shared" ref="U60:U85" si="23">L60+N60+P60</f>
        <v>-3569154</v>
      </c>
      <c r="V60" s="384">
        <f t="shared" si="17"/>
        <v>-0.55842991740944758</v>
      </c>
      <c r="W60" s="456">
        <f t="shared" ref="W60:W85" si="24">M60+O60+R60</f>
        <v>-3641026</v>
      </c>
      <c r="X60" s="407">
        <f t="shared" si="18"/>
        <v>-0.55089451254883648</v>
      </c>
      <c r="Y60" s="384">
        <f t="shared" ref="Y60:Y85" si="25">(W60-U60)/U60</f>
        <v>2.0136984842906751E-2</v>
      </c>
    </row>
    <row r="61" spans="1:25" ht="15.75" thickBot="1" x14ac:dyDescent="0.3">
      <c r="A61" s="393" t="s">
        <v>196</v>
      </c>
      <c r="B61" s="461">
        <f>SUM(B59:B60)</f>
        <v>891262</v>
      </c>
      <c r="C61" s="386">
        <f t="shared" si="12"/>
        <v>0.43650306613256878</v>
      </c>
      <c r="D61" s="457">
        <f>SUM(D59:D60)</f>
        <v>935630</v>
      </c>
      <c r="E61" s="408">
        <f t="shared" si="13"/>
        <v>0.44461815909463515</v>
      </c>
      <c r="F61" s="386">
        <f t="shared" si="19"/>
        <v>4.9781096916507152E-2</v>
      </c>
      <c r="G61" s="397">
        <v>1826036</v>
      </c>
      <c r="H61" s="386">
        <f t="shared" si="20"/>
        <v>0.43904953660268914</v>
      </c>
      <c r="I61" s="403">
        <v>1928174</v>
      </c>
      <c r="J61" s="408">
        <f t="shared" si="21"/>
        <v>0.44566456967433826</v>
      </c>
      <c r="K61" s="386">
        <f t="shared" si="14"/>
        <v>5.5934275118343778E-2</v>
      </c>
      <c r="L61" s="461">
        <f>SUM(L59:L60)</f>
        <v>891262</v>
      </c>
      <c r="M61" s="457">
        <f>SUM(M59:M60)</f>
        <v>935630</v>
      </c>
      <c r="N61" s="397">
        <f>SUM(N59:N60)</f>
        <v>934774</v>
      </c>
      <c r="O61" s="403">
        <f>SUM(O59:O60)</f>
        <v>992544</v>
      </c>
      <c r="P61" s="397">
        <f>SUM(P59:P60)</f>
        <v>996219</v>
      </c>
      <c r="Q61" s="386">
        <f t="shared" si="22"/>
        <v>0.44626609799658923</v>
      </c>
      <c r="R61" s="403">
        <f>SUM(R59:R60)</f>
        <v>1040098</v>
      </c>
      <c r="S61" s="386">
        <f t="shared" si="15"/>
        <v>0.45562698879964114</v>
      </c>
      <c r="T61" s="386">
        <f t="shared" si="16"/>
        <v>4.4045536172267342E-2</v>
      </c>
      <c r="U61" s="397">
        <f t="shared" si="23"/>
        <v>2822255</v>
      </c>
      <c r="V61" s="386">
        <f t="shared" si="17"/>
        <v>0.44157008259055242</v>
      </c>
      <c r="W61" s="403">
        <f t="shared" si="24"/>
        <v>2968272</v>
      </c>
      <c r="X61" s="408">
        <f t="shared" si="18"/>
        <v>0.44910548745116352</v>
      </c>
      <c r="Y61" s="386">
        <f t="shared" si="25"/>
        <v>5.1737706195931973E-2</v>
      </c>
    </row>
    <row r="62" spans="1:25" ht="15.75" thickBot="1" x14ac:dyDescent="0.3">
      <c r="A62" s="392" t="s">
        <v>7</v>
      </c>
      <c r="B62" s="460">
        <v>-100251</v>
      </c>
      <c r="C62" s="384">
        <f t="shared" si="12"/>
        <v>-4.9098771049204556E-2</v>
      </c>
      <c r="D62" s="456">
        <v>-99417</v>
      </c>
      <c r="E62" s="407">
        <f t="shared" si="13"/>
        <v>-4.7243679149569104E-2</v>
      </c>
      <c r="F62" s="384">
        <f t="shared" si="19"/>
        <v>-8.3191190112816837E-3</v>
      </c>
      <c r="G62" s="460">
        <v>-195591</v>
      </c>
      <c r="H62" s="384">
        <f t="shared" si="20"/>
        <v>-4.7027625914087441E-2</v>
      </c>
      <c r="I62" s="402">
        <v>-196903</v>
      </c>
      <c r="J62" s="407">
        <f t="shared" si="21"/>
        <v>-4.5510773800801291E-2</v>
      </c>
      <c r="K62" s="384">
        <f t="shared" si="14"/>
        <v>6.7078751067278144E-3</v>
      </c>
      <c r="L62" s="460">
        <v>-100251</v>
      </c>
      <c r="M62" s="456">
        <v>-99417</v>
      </c>
      <c r="N62" s="460">
        <v>-95340</v>
      </c>
      <c r="O62" s="456">
        <v>-97486</v>
      </c>
      <c r="P62" s="460">
        <v>-97458</v>
      </c>
      <c r="Q62" s="384">
        <f t="shared" si="22"/>
        <v>-4.3657269514586247E-2</v>
      </c>
      <c r="R62" s="456">
        <v>-102539</v>
      </c>
      <c r="S62" s="384">
        <f t="shared" si="15"/>
        <v>-4.4918397886089964E-2</v>
      </c>
      <c r="T62" s="384">
        <f t="shared" si="16"/>
        <v>5.2135278786759422E-2</v>
      </c>
      <c r="U62" s="460">
        <f t="shared" si="23"/>
        <v>-293049</v>
      </c>
      <c r="V62" s="384">
        <f t="shared" si="17"/>
        <v>-4.585045331944803E-2</v>
      </c>
      <c r="W62" s="456">
        <f t="shared" si="24"/>
        <v>-299442</v>
      </c>
      <c r="X62" s="407">
        <f t="shared" si="18"/>
        <v>-4.5306173212344182E-2</v>
      </c>
      <c r="Y62" s="384">
        <f t="shared" si="25"/>
        <v>2.1815464308016747E-2</v>
      </c>
    </row>
    <row r="63" spans="1:25" ht="15.75" thickBot="1" x14ac:dyDescent="0.3">
      <c r="A63" s="392" t="s">
        <v>8</v>
      </c>
      <c r="B63" s="460">
        <v>-563544</v>
      </c>
      <c r="C63" s="384">
        <f t="shared" si="12"/>
        <v>-0.27600041727417118</v>
      </c>
      <c r="D63" s="456">
        <v>-607913</v>
      </c>
      <c r="E63" s="407">
        <f t="shared" si="13"/>
        <v>-0.28888466482444658</v>
      </c>
      <c r="F63" s="384">
        <f t="shared" si="19"/>
        <v>7.873209545306134E-2</v>
      </c>
      <c r="G63" s="460">
        <v>-1188495</v>
      </c>
      <c r="H63" s="384">
        <f t="shared" si="20"/>
        <v>-0.28576007209310939</v>
      </c>
      <c r="I63" s="402">
        <v>-1263528</v>
      </c>
      <c r="J63" s="407">
        <f t="shared" si="21"/>
        <v>-0.2920429703914052</v>
      </c>
      <c r="K63" s="384">
        <f t="shared" si="14"/>
        <v>6.3132785581765175E-2</v>
      </c>
      <c r="L63" s="460">
        <v>-563544</v>
      </c>
      <c r="M63" s="456">
        <v>-607913</v>
      </c>
      <c r="N63" s="460">
        <v>-624951</v>
      </c>
      <c r="O63" s="456">
        <v>-655615</v>
      </c>
      <c r="P63" s="460">
        <v>-656668</v>
      </c>
      <c r="Q63" s="384">
        <f t="shared" si="22"/>
        <v>-0.29416088835810628</v>
      </c>
      <c r="R63" s="456">
        <v>-669434</v>
      </c>
      <c r="S63" s="384">
        <f t="shared" si="15"/>
        <v>-0.29325332576362895</v>
      </c>
      <c r="T63" s="384">
        <f t="shared" si="16"/>
        <v>1.9440569663817943E-2</v>
      </c>
      <c r="U63" s="460">
        <f t="shared" si="23"/>
        <v>-1845163</v>
      </c>
      <c r="V63" s="384">
        <f t="shared" si="17"/>
        <v>-0.28869424566633117</v>
      </c>
      <c r="W63" s="456">
        <f t="shared" si="24"/>
        <v>-1932962</v>
      </c>
      <c r="X63" s="407">
        <f t="shared" si="18"/>
        <v>-0.29246101477040376</v>
      </c>
      <c r="Y63" s="384">
        <f t="shared" si="25"/>
        <v>4.7583330036424967E-2</v>
      </c>
    </row>
    <row r="64" spans="1:25" ht="15.75" thickBot="1" x14ac:dyDescent="0.3">
      <c r="A64" s="392" t="s">
        <v>84</v>
      </c>
      <c r="B64" s="460">
        <v>-32942</v>
      </c>
      <c r="C64" s="384">
        <f t="shared" si="12"/>
        <v>-1.6133621768390307E-2</v>
      </c>
      <c r="D64" s="456">
        <v>-33212</v>
      </c>
      <c r="E64" s="407">
        <f t="shared" si="13"/>
        <v>-1.5782583179088979E-2</v>
      </c>
      <c r="F64" s="384">
        <f t="shared" si="19"/>
        <v>8.1962236658369263E-3</v>
      </c>
      <c r="G64" s="460">
        <v>-66382</v>
      </c>
      <c r="H64" s="384">
        <f t="shared" si="20"/>
        <v>-1.5960795043887258E-2</v>
      </c>
      <c r="I64" s="402">
        <v>-68712</v>
      </c>
      <c r="J64" s="407">
        <f t="shared" si="21"/>
        <v>-1.5881608149193555E-2</v>
      </c>
      <c r="K64" s="384">
        <f t="shared" si="14"/>
        <v>3.5099876472537733E-2</v>
      </c>
      <c r="L64" s="460">
        <v>-32942</v>
      </c>
      <c r="M64" s="456">
        <v>-33212</v>
      </c>
      <c r="N64" s="460">
        <v>-33440</v>
      </c>
      <c r="O64" s="456">
        <v>-35500</v>
      </c>
      <c r="P64" s="460">
        <v>-35038</v>
      </c>
      <c r="Q64" s="384">
        <f t="shared" si="22"/>
        <v>-1.569561666822706E-2</v>
      </c>
      <c r="R64" s="456">
        <v>-36861</v>
      </c>
      <c r="S64" s="384">
        <f t="shared" si="15"/>
        <v>-1.6147388451995457E-2</v>
      </c>
      <c r="T64" s="384">
        <f t="shared" si="16"/>
        <v>5.2029225412409383E-2</v>
      </c>
      <c r="U64" s="460">
        <f t="shared" si="23"/>
        <v>-101420</v>
      </c>
      <c r="V64" s="384">
        <f t="shared" si="17"/>
        <v>-1.5868175546268435E-2</v>
      </c>
      <c r="W64" s="456">
        <f t="shared" si="24"/>
        <v>-105573</v>
      </c>
      <c r="X64" s="407">
        <f t="shared" si="18"/>
        <v>-1.5973405950223458E-2</v>
      </c>
      <c r="Y64" s="384">
        <f t="shared" si="25"/>
        <v>4.0948530861762963E-2</v>
      </c>
    </row>
    <row r="65" spans="1:25" ht="15.75" thickBot="1" x14ac:dyDescent="0.3">
      <c r="A65" s="392" t="s">
        <v>197</v>
      </c>
      <c r="B65" s="460">
        <v>2176</v>
      </c>
      <c r="C65" s="384">
        <f t="shared" si="12"/>
        <v>1.0657143150997908E-3</v>
      </c>
      <c r="D65" s="456">
        <v>1952</v>
      </c>
      <c r="E65" s="407">
        <f t="shared" si="13"/>
        <v>9.2760455153503819E-4</v>
      </c>
      <c r="F65" s="384">
        <f t="shared" si="19"/>
        <v>-0.10294117647058823</v>
      </c>
      <c r="G65" s="396">
        <v>223</v>
      </c>
      <c r="H65" s="384">
        <f t="shared" si="20"/>
        <v>5.3617807459655608E-5</v>
      </c>
      <c r="I65" s="402">
        <v>1864</v>
      </c>
      <c r="J65" s="407">
        <f t="shared" si="21"/>
        <v>4.3083184291094401E-4</v>
      </c>
      <c r="K65" s="384" t="s">
        <v>131</v>
      </c>
      <c r="L65" s="460">
        <v>2176</v>
      </c>
      <c r="M65" s="456">
        <v>1952</v>
      </c>
      <c r="N65" s="460">
        <v>-1953</v>
      </c>
      <c r="O65" s="456">
        <v>-88</v>
      </c>
      <c r="P65" s="460">
        <v>1107</v>
      </c>
      <c r="Q65" s="384">
        <f t="shared" si="22"/>
        <v>4.9589153638128188E-4</v>
      </c>
      <c r="R65" s="456">
        <v>-2342</v>
      </c>
      <c r="S65" s="384">
        <f t="shared" si="15"/>
        <v>-1.0259402554074323E-3</v>
      </c>
      <c r="T65" s="384" t="s">
        <v>131</v>
      </c>
      <c r="U65" s="460">
        <f t="shared" si="23"/>
        <v>1330</v>
      </c>
      <c r="V65" s="384">
        <f t="shared" si="17"/>
        <v>2.0809183076845811E-4</v>
      </c>
      <c r="W65" s="456">
        <f t="shared" si="24"/>
        <v>-478</v>
      </c>
      <c r="X65" s="407">
        <f t="shared" si="18"/>
        <v>-7.2322355566355157E-5</v>
      </c>
      <c r="Y65" s="384">
        <f t="shared" si="25"/>
        <v>-1.3593984962406016</v>
      </c>
    </row>
    <row r="66" spans="1:25" ht="15.75" thickBot="1" x14ac:dyDescent="0.3">
      <c r="A66" s="392" t="s">
        <v>144</v>
      </c>
      <c r="B66" s="460">
        <v>7084</v>
      </c>
      <c r="C66" s="384">
        <f t="shared" si="12"/>
        <v>3.4694486250767083E-3</v>
      </c>
      <c r="D66" s="456">
        <v>4942</v>
      </c>
      <c r="E66" s="407">
        <f t="shared" si="13"/>
        <v>2.3484742283228274E-3</v>
      </c>
      <c r="F66" s="384">
        <f t="shared" si="19"/>
        <v>-0.30237154150197626</v>
      </c>
      <c r="G66" s="396">
        <v>21592</v>
      </c>
      <c r="H66" s="384">
        <f t="shared" si="20"/>
        <v>5.1915502182461161E-3</v>
      </c>
      <c r="I66" s="402">
        <v>-603</v>
      </c>
      <c r="J66" s="407">
        <f t="shared" si="21"/>
        <v>-1.3937317664983865E-4</v>
      </c>
      <c r="K66" s="384">
        <f>(I66-G66)/G66</f>
        <v>-1.027927010003705</v>
      </c>
      <c r="L66" s="460">
        <v>7084</v>
      </c>
      <c r="M66" s="456">
        <v>4942</v>
      </c>
      <c r="N66" s="396">
        <v>14508</v>
      </c>
      <c r="O66" s="456">
        <v>-5545</v>
      </c>
      <c r="P66" s="460">
        <v>-43</v>
      </c>
      <c r="Q66" s="384">
        <f t="shared" si="22"/>
        <v>-1.9262272867565602E-5</v>
      </c>
      <c r="R66" s="456">
        <v>4612</v>
      </c>
      <c r="S66" s="384">
        <f t="shared" si="15"/>
        <v>2.020340075977403E-3</v>
      </c>
      <c r="T66" s="384" t="s">
        <v>131</v>
      </c>
      <c r="U66" s="460">
        <f t="shared" si="23"/>
        <v>21549</v>
      </c>
      <c r="V66" s="384">
        <f t="shared" si="17"/>
        <v>3.3715570385184235E-3</v>
      </c>
      <c r="W66" s="402">
        <f t="shared" si="24"/>
        <v>4009</v>
      </c>
      <c r="X66" s="407">
        <f t="shared" si="18"/>
        <v>6.0656971436300804E-4</v>
      </c>
      <c r="Y66" s="384">
        <f t="shared" si="25"/>
        <v>-0.81395888440298858</v>
      </c>
    </row>
    <row r="67" spans="1:25" ht="15.75" thickBot="1" x14ac:dyDescent="0.3">
      <c r="A67" s="391" t="s">
        <v>198</v>
      </c>
      <c r="B67" s="395">
        <f>SUM(B61:B66)</f>
        <v>203785</v>
      </c>
      <c r="C67" s="387">
        <f t="shared" si="12"/>
        <v>9.9805418980979249E-2</v>
      </c>
      <c r="D67" s="395">
        <f>SUM(D61:D66)</f>
        <v>201982</v>
      </c>
      <c r="E67" s="387">
        <f t="shared" si="13"/>
        <v>9.5983310721388368E-2</v>
      </c>
      <c r="F67" s="387">
        <f t="shared" si="19"/>
        <v>-8.8475599283558658E-3</v>
      </c>
      <c r="G67" s="395">
        <v>397383</v>
      </c>
      <c r="H67" s="387">
        <f t="shared" si="20"/>
        <v>9.5546211577310872E-2</v>
      </c>
      <c r="I67" s="395">
        <v>400292</v>
      </c>
      <c r="J67" s="387">
        <f t="shared" si="21"/>
        <v>9.2520675999199359E-2</v>
      </c>
      <c r="K67" s="387">
        <f>(I67-G67)/G67</f>
        <v>7.3203936756227623E-3</v>
      </c>
      <c r="L67" s="395">
        <f>SUM(L61:L66)</f>
        <v>203785</v>
      </c>
      <c r="M67" s="395">
        <f>SUM(M61:M66)</f>
        <v>201982</v>
      </c>
      <c r="N67" s="395">
        <f>SUM(N61:N66)</f>
        <v>193598</v>
      </c>
      <c r="O67" s="395">
        <f>SUM(O61:O66)</f>
        <v>198310</v>
      </c>
      <c r="P67" s="395">
        <f>SUM(P61:P66)</f>
        <v>208119</v>
      </c>
      <c r="Q67" s="387">
        <f t="shared" si="22"/>
        <v>9.3228952719183383E-2</v>
      </c>
      <c r="R67" s="395">
        <f>SUM(R61:R66)</f>
        <v>233534</v>
      </c>
      <c r="S67" s="387">
        <f t="shared" si="15"/>
        <v>0.10230227651849672</v>
      </c>
      <c r="T67" s="387">
        <f>(R67-P67)/P67</f>
        <v>0.12211763462249962</v>
      </c>
      <c r="U67" s="395">
        <f t="shared" si="23"/>
        <v>605502</v>
      </c>
      <c r="V67" s="387">
        <f t="shared" si="17"/>
        <v>9.4736856927791671E-2</v>
      </c>
      <c r="W67" s="395">
        <f t="shared" si="24"/>
        <v>633826</v>
      </c>
      <c r="X67" s="387">
        <f t="shared" si="18"/>
        <v>9.5899140876988753E-2</v>
      </c>
      <c r="Y67" s="387">
        <f t="shared" si="25"/>
        <v>4.6777715019933871E-2</v>
      </c>
    </row>
    <row r="68" spans="1:25" ht="15.75" thickBot="1" x14ac:dyDescent="0.3">
      <c r="A68" s="392" t="s">
        <v>51</v>
      </c>
      <c r="B68" s="460">
        <v>2452</v>
      </c>
      <c r="C68" s="384">
        <f t="shared" si="12"/>
        <v>1.2008876381547275E-3</v>
      </c>
      <c r="D68" s="456">
        <v>3241</v>
      </c>
      <c r="E68" s="407">
        <f t="shared" si="13"/>
        <v>1.5401466964780014E-3</v>
      </c>
      <c r="F68" s="384">
        <f t="shared" si="19"/>
        <v>0.32177814029363783</v>
      </c>
      <c r="G68" s="396">
        <v>6844</v>
      </c>
      <c r="H68" s="384">
        <f t="shared" si="20"/>
        <v>1.6455617679546322E-3</v>
      </c>
      <c r="I68" s="402">
        <v>7034</v>
      </c>
      <c r="J68" s="407">
        <f t="shared" si="21"/>
        <v>1.6257892612851824E-3</v>
      </c>
      <c r="K68" s="384">
        <f>(I68-G68)/G68</f>
        <v>2.7761542957334892E-2</v>
      </c>
      <c r="L68" s="460">
        <v>2452</v>
      </c>
      <c r="M68" s="456">
        <v>3241</v>
      </c>
      <c r="N68" s="396">
        <v>4392</v>
      </c>
      <c r="O68" s="402">
        <v>3793</v>
      </c>
      <c r="P68" s="396">
        <v>3436</v>
      </c>
      <c r="Q68" s="384">
        <f t="shared" si="22"/>
        <v>1.5391899900687304E-3</v>
      </c>
      <c r="R68" s="402">
        <v>4025</v>
      </c>
      <c r="S68" s="384">
        <f t="shared" si="15"/>
        <v>1.7631979197330978E-3</v>
      </c>
      <c r="T68" s="384">
        <f>(R68-P68)/P68</f>
        <v>0.17142025611175785</v>
      </c>
      <c r="U68" s="396">
        <f t="shared" si="23"/>
        <v>10280</v>
      </c>
      <c r="V68" s="384">
        <f t="shared" si="17"/>
        <v>1.6084090378193604E-3</v>
      </c>
      <c r="W68" s="402">
        <f t="shared" si="24"/>
        <v>11059</v>
      </c>
      <c r="X68" s="407">
        <f t="shared" si="18"/>
        <v>1.6732488079672001E-3</v>
      </c>
      <c r="Y68" s="384">
        <f t="shared" si="25"/>
        <v>7.5778210116731512E-2</v>
      </c>
    </row>
    <row r="69" spans="1:25" ht="15.75" thickBot="1" x14ac:dyDescent="0.3">
      <c r="A69" s="392" t="s">
        <v>11</v>
      </c>
      <c r="B69" s="460">
        <v>-82389</v>
      </c>
      <c r="C69" s="384">
        <f t="shared" si="12"/>
        <v>-4.0350706207149201E-2</v>
      </c>
      <c r="D69" s="456">
        <v>-71961</v>
      </c>
      <c r="E69" s="407">
        <f t="shared" si="13"/>
        <v>-3.4196388900109058E-2</v>
      </c>
      <c r="F69" s="384">
        <f t="shared" si="19"/>
        <v>-0.12657029457815971</v>
      </c>
      <c r="G69" s="460">
        <v>-167973</v>
      </c>
      <c r="H69" s="384">
        <f t="shared" si="20"/>
        <v>-4.0387192701438257E-2</v>
      </c>
      <c r="I69" s="456">
        <v>-133356</v>
      </c>
      <c r="J69" s="407">
        <f t="shared" si="21"/>
        <v>-3.0822967405167302E-2</v>
      </c>
      <c r="K69" s="384">
        <f>(I69-G69)/G69</f>
        <v>-0.20608669250415246</v>
      </c>
      <c r="L69" s="460">
        <v>-82389</v>
      </c>
      <c r="M69" s="456">
        <v>-71961</v>
      </c>
      <c r="N69" s="460">
        <v>-85584</v>
      </c>
      <c r="O69" s="456">
        <v>-61395</v>
      </c>
      <c r="P69" s="460">
        <v>-71811</v>
      </c>
      <c r="Q69" s="384">
        <f t="shared" si="22"/>
        <v>-3.2168443648668686E-2</v>
      </c>
      <c r="R69" s="456">
        <v>-58084</v>
      </c>
      <c r="S69" s="384">
        <f t="shared" si="15"/>
        <v>-2.5444369681932238E-2</v>
      </c>
      <c r="T69" s="384">
        <f>(R69-P69)/P69</f>
        <v>-0.19115455849382407</v>
      </c>
      <c r="U69" s="460">
        <f t="shared" si="23"/>
        <v>-239784</v>
      </c>
      <c r="V69" s="384">
        <f t="shared" si="17"/>
        <v>-3.7516610187205986E-2</v>
      </c>
      <c r="W69" s="456">
        <f t="shared" si="24"/>
        <v>-191440</v>
      </c>
      <c r="X69" s="407">
        <f t="shared" si="18"/>
        <v>-2.8965254706324332E-2</v>
      </c>
      <c r="Y69" s="384">
        <f t="shared" si="25"/>
        <v>-0.20161478664131052</v>
      </c>
    </row>
    <row r="70" spans="1:25" ht="15.75" thickBot="1" x14ac:dyDescent="0.3">
      <c r="A70" s="392" t="s">
        <v>272</v>
      </c>
      <c r="B70" s="460">
        <v>54235</v>
      </c>
      <c r="C70" s="384">
        <f t="shared" si="12"/>
        <v>2.6562047738711927E-2</v>
      </c>
      <c r="D70" s="456">
        <v>32336</v>
      </c>
      <c r="E70" s="407">
        <f t="shared" si="13"/>
        <v>1.5366301628297642E-2</v>
      </c>
      <c r="F70" s="384">
        <f t="shared" si="19"/>
        <v>-0.40377984696229374</v>
      </c>
      <c r="G70" s="396">
        <v>54321</v>
      </c>
      <c r="H70" s="384">
        <f t="shared" si="20"/>
        <v>1.3060865107694853E-2</v>
      </c>
      <c r="I70" s="456">
        <v>58559</v>
      </c>
      <c r="J70" s="407">
        <f t="shared" si="21"/>
        <v>1.3534915176513932E-2</v>
      </c>
      <c r="K70" s="384">
        <f>(I70-G70)/G70</f>
        <v>7.8017709541429656E-2</v>
      </c>
      <c r="L70" s="460">
        <v>54235</v>
      </c>
      <c r="M70" s="456">
        <v>32336</v>
      </c>
      <c r="N70" s="396">
        <v>86</v>
      </c>
      <c r="O70" s="402">
        <v>26223</v>
      </c>
      <c r="P70" s="396">
        <v>0</v>
      </c>
      <c r="Q70" s="384">
        <f t="shared" si="22"/>
        <v>0</v>
      </c>
      <c r="R70" s="456">
        <v>0</v>
      </c>
      <c r="S70" s="384">
        <f t="shared" si="15"/>
        <v>0</v>
      </c>
      <c r="T70" s="384" t="s">
        <v>131</v>
      </c>
      <c r="U70" s="396">
        <f t="shared" si="23"/>
        <v>54321</v>
      </c>
      <c r="V70" s="384">
        <f t="shared" si="17"/>
        <v>8.4990649166717391E-3</v>
      </c>
      <c r="W70" s="456">
        <f t="shared" si="24"/>
        <v>58559</v>
      </c>
      <c r="X70" s="407">
        <f t="shared" si="18"/>
        <v>8.8600937648748782E-3</v>
      </c>
      <c r="Y70" s="384">
        <f t="shared" si="25"/>
        <v>7.8017709541429656E-2</v>
      </c>
    </row>
    <row r="71" spans="1:25" ht="15.75" thickBot="1" x14ac:dyDescent="0.3">
      <c r="A71" s="392" t="s">
        <v>200</v>
      </c>
      <c r="B71" s="460">
        <v>-3118</v>
      </c>
      <c r="C71" s="384">
        <f t="shared" si="12"/>
        <v>-1.5270667437872921E-3</v>
      </c>
      <c r="D71" s="456">
        <v>-2666</v>
      </c>
      <c r="E71" s="407">
        <f t="shared" si="13"/>
        <v>-1.2669025278649652E-3</v>
      </c>
      <c r="F71" s="384">
        <f t="shared" si="19"/>
        <v>-0.14496472097498397</v>
      </c>
      <c r="G71" s="460">
        <v>-4809</v>
      </c>
      <c r="H71" s="384">
        <f t="shared" si="20"/>
        <v>-1.1562692200604654E-3</v>
      </c>
      <c r="I71" s="456">
        <v>10585</v>
      </c>
      <c r="J71" s="407">
        <f t="shared" si="21"/>
        <v>2.4465424126675658E-3</v>
      </c>
      <c r="K71" s="384" t="s">
        <v>131</v>
      </c>
      <c r="L71" s="460">
        <v>-3118</v>
      </c>
      <c r="M71" s="456">
        <v>-2666</v>
      </c>
      <c r="N71" s="460">
        <v>-1691</v>
      </c>
      <c r="O71" s="402">
        <v>13251</v>
      </c>
      <c r="P71" s="460">
        <v>-10725</v>
      </c>
      <c r="Q71" s="384">
        <f t="shared" si="22"/>
        <v>-4.8043692210381645E-3</v>
      </c>
      <c r="R71" s="456">
        <v>4505</v>
      </c>
      <c r="S71" s="384">
        <f t="shared" si="15"/>
        <v>1.9734674853161753E-3</v>
      </c>
      <c r="T71" s="384">
        <f>(R71-P71)/P71</f>
        <v>-1.42004662004662</v>
      </c>
      <c r="U71" s="460">
        <f t="shared" si="23"/>
        <v>-15534</v>
      </c>
      <c r="V71" s="384">
        <f t="shared" si="17"/>
        <v>-2.430449999366337E-3</v>
      </c>
      <c r="W71" s="456">
        <f t="shared" si="24"/>
        <v>15090</v>
      </c>
      <c r="X71" s="407">
        <f t="shared" si="18"/>
        <v>2.2831471663102496E-3</v>
      </c>
      <c r="Y71" s="384">
        <f t="shared" si="25"/>
        <v>-1.9714175357280803</v>
      </c>
    </row>
    <row r="72" spans="1:25" ht="15.75" thickBot="1" x14ac:dyDescent="0.3">
      <c r="A72" s="392" t="s">
        <v>275</v>
      </c>
      <c r="B72" s="460">
        <v>-1600</v>
      </c>
      <c r="C72" s="384">
        <f t="shared" si="12"/>
        <v>-7.8361346698514029E-4</v>
      </c>
      <c r="D72" s="456">
        <v>-2327</v>
      </c>
      <c r="E72" s="407">
        <f t="shared" si="13"/>
        <v>-1.1058072701957142E-3</v>
      </c>
      <c r="F72" s="384">
        <f t="shared" si="19"/>
        <v>0.45437499999999997</v>
      </c>
      <c r="G72" s="464">
        <v>1216</v>
      </c>
      <c r="H72" s="384">
        <f t="shared" si="20"/>
        <v>2.9237333574413102E-4</v>
      </c>
      <c r="I72" s="456">
        <v>-704</v>
      </c>
      <c r="J72" s="407">
        <f t="shared" si="21"/>
        <v>-1.6271760590627927E-4</v>
      </c>
      <c r="K72" s="384">
        <f t="shared" ref="K72:K79" si="26">(I72-G72)/G72</f>
        <v>-1.5789473684210527</v>
      </c>
      <c r="L72" s="460">
        <v>-1600</v>
      </c>
      <c r="M72" s="456">
        <v>-2327</v>
      </c>
      <c r="N72" s="464">
        <v>2816</v>
      </c>
      <c r="O72" s="465">
        <v>1623</v>
      </c>
      <c r="P72" s="460">
        <v>-1075</v>
      </c>
      <c r="Q72" s="384">
        <f t="shared" si="22"/>
        <v>-4.8155682168914008E-4</v>
      </c>
      <c r="R72" s="456">
        <v>639</v>
      </c>
      <c r="S72" s="384">
        <f t="shared" si="15"/>
        <v>2.7992135918247194E-4</v>
      </c>
      <c r="T72" s="384">
        <f>(R72-P72)/P72</f>
        <v>-1.5944186046511628</v>
      </c>
      <c r="U72" s="460">
        <f t="shared" si="23"/>
        <v>141</v>
      </c>
      <c r="V72" s="384">
        <f t="shared" si="17"/>
        <v>2.2060863261919243E-5</v>
      </c>
      <c r="W72" s="456">
        <f t="shared" si="24"/>
        <v>-65</v>
      </c>
      <c r="X72" s="407">
        <f t="shared" si="18"/>
        <v>-9.8346299410315595E-6</v>
      </c>
      <c r="Y72" s="384">
        <f t="shared" si="25"/>
        <v>-1.4609929078014185</v>
      </c>
    </row>
    <row r="73" spans="1:25" ht="15.75" thickBot="1" x14ac:dyDescent="0.3">
      <c r="A73" s="392" t="s">
        <v>286</v>
      </c>
      <c r="B73" s="463">
        <v>0</v>
      </c>
      <c r="C73" s="384">
        <f t="shared" si="12"/>
        <v>0</v>
      </c>
      <c r="D73" s="404">
        <v>0</v>
      </c>
      <c r="E73" s="407">
        <f t="shared" si="13"/>
        <v>0</v>
      </c>
      <c r="F73" s="384" t="s">
        <v>131</v>
      </c>
      <c r="G73" s="464">
        <v>3313</v>
      </c>
      <c r="H73" s="384">
        <f t="shared" si="20"/>
        <v>7.9657307674367269E-4</v>
      </c>
      <c r="I73" s="456">
        <v>-2755</v>
      </c>
      <c r="J73" s="407">
        <f t="shared" si="21"/>
        <v>-6.3677131288607876E-4</v>
      </c>
      <c r="K73" s="384">
        <f t="shared" si="26"/>
        <v>-1.8315725928161788</v>
      </c>
      <c r="L73" s="463">
        <v>0</v>
      </c>
      <c r="M73" s="404">
        <v>0</v>
      </c>
      <c r="N73" s="464">
        <v>3313</v>
      </c>
      <c r="O73" s="456">
        <v>-2755</v>
      </c>
      <c r="P73" s="396">
        <v>0</v>
      </c>
      <c r="Q73" s="384">
        <f t="shared" si="22"/>
        <v>0</v>
      </c>
      <c r="R73" s="456">
        <v>8793</v>
      </c>
      <c r="S73" s="384">
        <f t="shared" si="15"/>
        <v>3.8518756045250011E-3</v>
      </c>
      <c r="T73" s="384" t="s">
        <v>131</v>
      </c>
      <c r="U73" s="396">
        <f t="shared" si="23"/>
        <v>3313</v>
      </c>
      <c r="V73" s="384">
        <f t="shared" si="17"/>
        <v>5.1835205664353505E-4</v>
      </c>
      <c r="W73" s="456">
        <f t="shared" si="24"/>
        <v>6038</v>
      </c>
      <c r="X73" s="407">
        <f t="shared" si="18"/>
        <v>9.1356147052228543E-4</v>
      </c>
      <c r="Y73" s="384">
        <f t="shared" si="25"/>
        <v>0.82251735587081198</v>
      </c>
    </row>
    <row r="74" spans="1:25" ht="15.75" thickBot="1" x14ac:dyDescent="0.3">
      <c r="A74" s="393" t="s">
        <v>204</v>
      </c>
      <c r="B74" s="397">
        <f>SUM(B67:B73)</f>
        <v>173365</v>
      </c>
      <c r="C74" s="386">
        <f t="shared" si="12"/>
        <v>8.4906967939924277E-2</v>
      </c>
      <c r="D74" s="403">
        <f>SUM(D67:D73)</f>
        <v>160605</v>
      </c>
      <c r="E74" s="408">
        <f t="shared" si="13"/>
        <v>7.6320660347994271E-2</v>
      </c>
      <c r="F74" s="386">
        <f t="shared" si="19"/>
        <v>-7.3601938107461143E-2</v>
      </c>
      <c r="G74" s="397">
        <v>290295</v>
      </c>
      <c r="H74" s="386">
        <f t="shared" si="20"/>
        <v>6.9798122943949437E-2</v>
      </c>
      <c r="I74" s="403">
        <v>339655</v>
      </c>
      <c r="J74" s="408">
        <f t="shared" si="21"/>
        <v>7.8505466525706377E-2</v>
      </c>
      <c r="K74" s="386">
        <f t="shared" si="26"/>
        <v>0.17003393100122288</v>
      </c>
      <c r="L74" s="397">
        <f>SUM(L67:L73)</f>
        <v>173365</v>
      </c>
      <c r="M74" s="403">
        <f>SUM(M67:M73)</f>
        <v>160605</v>
      </c>
      <c r="N74" s="397">
        <f>SUM(N67:N73)</f>
        <v>116930</v>
      </c>
      <c r="O74" s="403">
        <f>SUM(O67:O73)</f>
        <v>179050</v>
      </c>
      <c r="P74" s="397">
        <f>SUM(P67:P73)</f>
        <v>127944</v>
      </c>
      <c r="Q74" s="386">
        <f t="shared" si="22"/>
        <v>5.7313773017856125E-2</v>
      </c>
      <c r="R74" s="403">
        <f>SUM(R67:R73)</f>
        <v>193412</v>
      </c>
      <c r="S74" s="386">
        <f t="shared" si="15"/>
        <v>8.4726369205321228E-2</v>
      </c>
      <c r="T74" s="386">
        <f t="shared" ref="T74:T79" si="27">(R74-P74)/P74</f>
        <v>0.51169261551928968</v>
      </c>
      <c r="U74" s="397">
        <f t="shared" si="23"/>
        <v>418239</v>
      </c>
      <c r="V74" s="386">
        <f t="shared" si="17"/>
        <v>6.5437683615615902E-2</v>
      </c>
      <c r="W74" s="403">
        <f t="shared" si="24"/>
        <v>533067</v>
      </c>
      <c r="X74" s="408">
        <f t="shared" si="18"/>
        <v>8.0654102750397999E-2</v>
      </c>
      <c r="Y74" s="386">
        <f t="shared" si="25"/>
        <v>0.27455115376614808</v>
      </c>
    </row>
    <row r="75" spans="1:25" ht="15.75" thickBot="1" x14ac:dyDescent="0.3">
      <c r="A75" s="392" t="s">
        <v>205</v>
      </c>
      <c r="B75" s="460">
        <v>-40723</v>
      </c>
      <c r="C75" s="384">
        <f t="shared" si="12"/>
        <v>-1.9944432010022415E-2</v>
      </c>
      <c r="D75" s="456">
        <v>-44069</v>
      </c>
      <c r="E75" s="407">
        <f t="shared" si="13"/>
        <v>-2.094190828975287E-2</v>
      </c>
      <c r="F75" s="384">
        <f t="shared" si="19"/>
        <v>8.2164869975198285E-2</v>
      </c>
      <c r="G75" s="460">
        <v>-70437</v>
      </c>
      <c r="H75" s="384">
        <f t="shared" si="20"/>
        <v>-1.6935773560698485E-2</v>
      </c>
      <c r="I75" s="456">
        <v>-87429</v>
      </c>
      <c r="J75" s="407">
        <f t="shared" si="21"/>
        <v>-2.0207723816448992E-2</v>
      </c>
      <c r="K75" s="384">
        <f t="shared" si="26"/>
        <v>0.24123684995102007</v>
      </c>
      <c r="L75" s="460">
        <v>-40723</v>
      </c>
      <c r="M75" s="456">
        <v>-44069</v>
      </c>
      <c r="N75" s="460">
        <v>-29714</v>
      </c>
      <c r="O75" s="456">
        <v>-43360</v>
      </c>
      <c r="P75" s="460">
        <v>-49440</v>
      </c>
      <c r="Q75" s="384">
        <f t="shared" si="22"/>
        <v>-2.214713419935915E-2</v>
      </c>
      <c r="R75" s="456">
        <v>-46946</v>
      </c>
      <c r="S75" s="384">
        <f t="shared" si="15"/>
        <v>-2.0565239637214908E-2</v>
      </c>
      <c r="T75" s="384">
        <f t="shared" si="27"/>
        <v>-5.0444983818770224E-2</v>
      </c>
      <c r="U75" s="460">
        <f t="shared" si="23"/>
        <v>-119877</v>
      </c>
      <c r="V75" s="384">
        <f t="shared" si="17"/>
        <v>-1.8755958193255977E-2</v>
      </c>
      <c r="W75" s="456">
        <f t="shared" si="24"/>
        <v>-134375</v>
      </c>
      <c r="X75" s="407">
        <f t="shared" si="18"/>
        <v>-2.0331206128094088E-2</v>
      </c>
      <c r="Y75" s="384">
        <f t="shared" si="25"/>
        <v>0.12094063081325025</v>
      </c>
    </row>
    <row r="76" spans="1:25" ht="15.75" thickBot="1" x14ac:dyDescent="0.3">
      <c r="A76" s="394" t="s">
        <v>206</v>
      </c>
      <c r="B76" s="462">
        <v>8078</v>
      </c>
      <c r="C76" s="385">
        <f t="shared" si="12"/>
        <v>3.9562684914412269E-3</v>
      </c>
      <c r="D76" s="459">
        <v>5479</v>
      </c>
      <c r="E76" s="409">
        <f t="shared" si="13"/>
        <v>2.6036605214449153E-3</v>
      </c>
      <c r="F76" s="385">
        <f t="shared" si="19"/>
        <v>-0.32173805397375588</v>
      </c>
      <c r="G76" s="399">
        <v>18677</v>
      </c>
      <c r="H76" s="385">
        <f t="shared" si="20"/>
        <v>4.4906717036950119E-3</v>
      </c>
      <c r="I76" s="456">
        <v>-5112</v>
      </c>
      <c r="J76" s="409">
        <f t="shared" si="21"/>
        <v>-1.1815517065240052E-3</v>
      </c>
      <c r="K76" s="385">
        <f t="shared" si="26"/>
        <v>-1.2737056272420624</v>
      </c>
      <c r="L76" s="462">
        <v>8078</v>
      </c>
      <c r="M76" s="459">
        <v>5479</v>
      </c>
      <c r="N76" s="399">
        <v>10599</v>
      </c>
      <c r="O76" s="456">
        <v>-10591</v>
      </c>
      <c r="P76" s="399">
        <v>11262</v>
      </c>
      <c r="Q76" s="385">
        <f t="shared" si="22"/>
        <v>5.0449236519656705E-3</v>
      </c>
      <c r="R76" s="456">
        <v>-4183</v>
      </c>
      <c r="S76" s="385">
        <f t="shared" si="15"/>
        <v>-1.8324116517375276E-3</v>
      </c>
      <c r="T76" s="385">
        <f t="shared" si="27"/>
        <v>-1.3714260344521398</v>
      </c>
      <c r="U76" s="399">
        <f t="shared" si="23"/>
        <v>29939</v>
      </c>
      <c r="V76" s="385">
        <f t="shared" si="17"/>
        <v>4.6842566326141854E-3</v>
      </c>
      <c r="W76" s="456">
        <f t="shared" si="24"/>
        <v>-9295</v>
      </c>
      <c r="X76" s="409">
        <f t="shared" si="18"/>
        <v>-1.406352081567513E-3</v>
      </c>
      <c r="Y76" s="385">
        <f t="shared" si="25"/>
        <v>-1.3104646113764655</v>
      </c>
    </row>
    <row r="77" spans="1:25" ht="15.75" thickBot="1" x14ac:dyDescent="0.3">
      <c r="A77" s="393" t="s">
        <v>207</v>
      </c>
      <c r="B77" s="397">
        <f>SUM(B74:B76)</f>
        <v>140720</v>
      </c>
      <c r="C77" s="386">
        <f t="shared" si="12"/>
        <v>6.8918804421343086E-2</v>
      </c>
      <c r="D77" s="403">
        <f>SUM(D74:D76)</f>
        <v>122015</v>
      </c>
      <c r="E77" s="408">
        <f t="shared" si="13"/>
        <v>5.7982412579686317E-2</v>
      </c>
      <c r="F77" s="386">
        <f t="shared" si="19"/>
        <v>-0.13292353610005686</v>
      </c>
      <c r="G77" s="397">
        <v>238535</v>
      </c>
      <c r="H77" s="386">
        <f t="shared" si="20"/>
        <v>5.7353021086945961E-2</v>
      </c>
      <c r="I77" s="403">
        <v>247114</v>
      </c>
      <c r="J77" s="408">
        <f t="shared" si="21"/>
        <v>5.711619100273338E-2</v>
      </c>
      <c r="K77" s="386">
        <f t="shared" si="26"/>
        <v>3.5965371957993583E-2</v>
      </c>
      <c r="L77" s="397">
        <f>SUM(L74:L76)</f>
        <v>140720</v>
      </c>
      <c r="M77" s="403">
        <f>SUM(M74:M76)</f>
        <v>122015</v>
      </c>
      <c r="N77" s="397">
        <f>SUM(N74:N76)</f>
        <v>97815</v>
      </c>
      <c r="O77" s="403">
        <f>SUM(O74:O76)</f>
        <v>125099</v>
      </c>
      <c r="P77" s="397">
        <f>SUM(P74:P76)</f>
        <v>89766</v>
      </c>
      <c r="Q77" s="386">
        <f t="shared" si="22"/>
        <v>4.0211562470462647E-2</v>
      </c>
      <c r="R77" s="403">
        <f>SUM(R74:R76)</f>
        <v>142283</v>
      </c>
      <c r="S77" s="386">
        <f t="shared" si="15"/>
        <v>6.2328717916368785E-2</v>
      </c>
      <c r="T77" s="386">
        <f t="shared" si="27"/>
        <v>0.58504333489294391</v>
      </c>
      <c r="U77" s="397">
        <f t="shared" si="23"/>
        <v>328301</v>
      </c>
      <c r="V77" s="386">
        <f t="shared" si="17"/>
        <v>5.1365982054974106E-2</v>
      </c>
      <c r="W77" s="403">
        <f t="shared" si="24"/>
        <v>389397</v>
      </c>
      <c r="X77" s="408">
        <f t="shared" si="18"/>
        <v>5.8916544540736401E-2</v>
      </c>
      <c r="Y77" s="386">
        <f t="shared" si="25"/>
        <v>0.18609751417144632</v>
      </c>
    </row>
    <row r="78" spans="1:25" ht="15.75" thickBot="1" x14ac:dyDescent="0.3">
      <c r="A78" s="392" t="s">
        <v>208</v>
      </c>
      <c r="B78" s="460">
        <v>-892</v>
      </c>
      <c r="C78" s="384">
        <f t="shared" si="12"/>
        <v>-4.3686450784421571E-4</v>
      </c>
      <c r="D78" s="456">
        <v>-226</v>
      </c>
      <c r="E78" s="407">
        <f t="shared" si="13"/>
        <v>-1.0739683844616734E-4</v>
      </c>
      <c r="F78" s="467">
        <f t="shared" si="19"/>
        <v>-0.74663677130044848</v>
      </c>
      <c r="G78" s="460">
        <v>-1034</v>
      </c>
      <c r="H78" s="384">
        <f t="shared" si="20"/>
        <v>-2.4861351082190091E-4</v>
      </c>
      <c r="I78" s="456">
        <v>-843</v>
      </c>
      <c r="J78" s="407">
        <f t="shared" si="21"/>
        <v>-1.9484508775425205E-4</v>
      </c>
      <c r="K78" s="467">
        <f t="shared" si="26"/>
        <v>-0.18471953578336556</v>
      </c>
      <c r="L78" s="460">
        <v>-892</v>
      </c>
      <c r="M78" s="456">
        <v>-226</v>
      </c>
      <c r="N78" s="460">
        <v>-142</v>
      </c>
      <c r="O78" s="456">
        <v>-617</v>
      </c>
      <c r="P78" s="460">
        <v>-141</v>
      </c>
      <c r="Q78" s="384">
        <f t="shared" si="22"/>
        <v>-6.3162336612249999E-5</v>
      </c>
      <c r="R78" s="456">
        <v>-423</v>
      </c>
      <c r="S78" s="384">
        <f t="shared" si="15"/>
        <v>-1.8530005467008704E-4</v>
      </c>
      <c r="T78" s="467">
        <f t="shared" si="27"/>
        <v>2</v>
      </c>
      <c r="U78" s="460">
        <f t="shared" si="23"/>
        <v>-1175</v>
      </c>
      <c r="V78" s="384">
        <f t="shared" si="17"/>
        <v>-1.8384052718266035E-4</v>
      </c>
      <c r="W78" s="456">
        <f t="shared" si="24"/>
        <v>-1266</v>
      </c>
      <c r="X78" s="407">
        <f t="shared" si="18"/>
        <v>-1.915483308514762E-4</v>
      </c>
      <c r="Y78" s="467">
        <f t="shared" si="25"/>
        <v>7.7446808510638301E-2</v>
      </c>
    </row>
    <row r="79" spans="1:25" ht="15.75" thickBot="1" x14ac:dyDescent="0.3">
      <c r="A79" s="391" t="s">
        <v>209</v>
      </c>
      <c r="B79" s="395">
        <f>SUM(B77:B78)</f>
        <v>139828</v>
      </c>
      <c r="C79" s="387">
        <f t="shared" si="12"/>
        <v>6.8481939913498865E-2</v>
      </c>
      <c r="D79" s="395">
        <f>SUM(D77:D78)</f>
        <v>121789</v>
      </c>
      <c r="E79" s="387">
        <f t="shared" si="13"/>
        <v>5.7875015741240148E-2</v>
      </c>
      <c r="F79" s="387">
        <f t="shared" si="19"/>
        <v>-0.12900849615241583</v>
      </c>
      <c r="G79" s="395">
        <v>237501</v>
      </c>
      <c r="H79" s="387">
        <f t="shared" si="20"/>
        <v>5.7104407576124061E-2</v>
      </c>
      <c r="I79" s="395">
        <v>246271</v>
      </c>
      <c r="J79" s="387">
        <f t="shared" si="21"/>
        <v>5.6921345914979125E-2</v>
      </c>
      <c r="K79" s="387">
        <f t="shared" si="26"/>
        <v>3.6926160310903955E-2</v>
      </c>
      <c r="L79" s="395">
        <f>SUM(L77:L78)</f>
        <v>139828</v>
      </c>
      <c r="M79" s="395">
        <f>SUM(M77:M78)</f>
        <v>121789</v>
      </c>
      <c r="N79" s="395">
        <f>SUM(N77:N78)</f>
        <v>97673</v>
      </c>
      <c r="O79" s="395">
        <f>SUM(O77:O78)</f>
        <v>124482</v>
      </c>
      <c r="P79" s="395">
        <f>SUM(P77:P78)</f>
        <v>89625</v>
      </c>
      <c r="Q79" s="387">
        <f t="shared" si="22"/>
        <v>4.0148400133850397E-2</v>
      </c>
      <c r="R79" s="395">
        <f>SUM(R77:R78)</f>
        <v>141860</v>
      </c>
      <c r="S79" s="387">
        <f t="shared" si="15"/>
        <v>6.2143417861698698E-2</v>
      </c>
      <c r="T79" s="387">
        <f t="shared" si="27"/>
        <v>0.58281729428172946</v>
      </c>
      <c r="U79" s="395">
        <f t="shared" si="23"/>
        <v>327126</v>
      </c>
      <c r="V79" s="387">
        <f t="shared" si="17"/>
        <v>5.1182141527791443E-2</v>
      </c>
      <c r="W79" s="395">
        <f t="shared" si="24"/>
        <v>388131</v>
      </c>
      <c r="X79" s="387">
        <f t="shared" si="18"/>
        <v>5.8724996209884923E-2</v>
      </c>
      <c r="Y79" s="387">
        <f t="shared" si="25"/>
        <v>0.18648777535261643</v>
      </c>
    </row>
    <row r="80" spans="1:25" x14ac:dyDescent="0.25">
      <c r="A80" s="289"/>
      <c r="B80" s="291"/>
      <c r="C80" s="292"/>
      <c r="D80" s="294"/>
      <c r="E80" s="292"/>
      <c r="F80" s="292"/>
      <c r="L80" s="291"/>
      <c r="M80" s="294"/>
      <c r="N80" s="263"/>
      <c r="O80" s="263"/>
      <c r="P80" s="263"/>
      <c r="U80" s="263"/>
    </row>
    <row r="81" spans="1:25" x14ac:dyDescent="0.25">
      <c r="A81" s="295" t="s">
        <v>210</v>
      </c>
      <c r="B81" s="297"/>
      <c r="C81" s="298"/>
      <c r="D81" s="300"/>
      <c r="E81" s="298"/>
      <c r="F81" s="298"/>
      <c r="L81" s="297"/>
      <c r="M81" s="300"/>
    </row>
    <row r="82" spans="1:25" ht="15.75" thickBot="1" x14ac:dyDescent="0.3">
      <c r="A82" s="301" t="s">
        <v>211</v>
      </c>
      <c r="B82" s="274">
        <v>139150</v>
      </c>
      <c r="C82" s="384">
        <f>+B82/$B$59</f>
        <v>6.8149883706863909E-2</v>
      </c>
      <c r="D82" s="373">
        <v>120867</v>
      </c>
      <c r="E82" s="366">
        <f>+D82/$D$59</f>
        <v>5.7436874656959763E-2</v>
      </c>
      <c r="F82" s="384">
        <f>(D82-B82)/B82</f>
        <v>-0.13139058569888609</v>
      </c>
      <c r="G82" s="274">
        <v>235679</v>
      </c>
      <c r="H82" s="384">
        <f t="shared" si="20"/>
        <v>5.6666328449704817E-2</v>
      </c>
      <c r="I82" s="373">
        <v>245137</v>
      </c>
      <c r="J82" s="366">
        <f t="shared" si="21"/>
        <v>5.6659241135010772E-2</v>
      </c>
      <c r="K82" s="384">
        <f>(I82-G82)/G82</f>
        <v>4.01308559523759E-2</v>
      </c>
      <c r="L82" s="274">
        <v>139150</v>
      </c>
      <c r="M82" s="373">
        <v>120867</v>
      </c>
      <c r="N82" s="274">
        <v>96529</v>
      </c>
      <c r="O82" s="373">
        <v>124270</v>
      </c>
      <c r="P82" s="274">
        <v>88579</v>
      </c>
      <c r="Q82" s="384">
        <f t="shared" si="22"/>
        <v>3.967983414735101E-2</v>
      </c>
      <c r="R82" s="373">
        <v>140732</v>
      </c>
      <c r="S82" s="384">
        <f>+R82/$R$59</f>
        <v>6.1649284382578468E-2</v>
      </c>
      <c r="T82" s="384">
        <f>(R82-P82)/P82</f>
        <v>0.58877386287946354</v>
      </c>
      <c r="U82" s="274">
        <f t="shared" si="23"/>
        <v>324258</v>
      </c>
      <c r="V82" s="384">
        <f>U82/$U$59</f>
        <v>5.0733414181442622E-2</v>
      </c>
      <c r="W82" s="373">
        <f t="shared" si="24"/>
        <v>385869</v>
      </c>
      <c r="X82" s="366">
        <f>+W82/$W$59</f>
        <v>5.8382751087937022E-2</v>
      </c>
      <c r="Y82" s="384">
        <f t="shared" si="25"/>
        <v>0.19000610624872785</v>
      </c>
    </row>
    <row r="83" spans="1:25" ht="15.75" thickBot="1" x14ac:dyDescent="0.3">
      <c r="A83" s="303" t="s">
        <v>188</v>
      </c>
      <c r="B83" s="304">
        <v>678</v>
      </c>
      <c r="C83" s="385">
        <f>+B83/$B$59</f>
        <v>3.3205620663495319E-4</v>
      </c>
      <c r="D83" s="374">
        <v>922</v>
      </c>
      <c r="E83" s="368">
        <f>+D83/$D$59</f>
        <v>4.3814108428038179E-4</v>
      </c>
      <c r="F83" s="385">
        <f>(D83-B83)/B83</f>
        <v>0.35988200589970504</v>
      </c>
      <c r="G83" s="319">
        <v>1822</v>
      </c>
      <c r="H83" s="385">
        <f t="shared" si="20"/>
        <v>4.3807912641924895E-4</v>
      </c>
      <c r="I83" s="466">
        <v>1134</v>
      </c>
      <c r="J83" s="368">
        <f t="shared" si="21"/>
        <v>2.6210477996835329E-4</v>
      </c>
      <c r="K83" s="385">
        <f>(I83-G83)/G83</f>
        <v>-0.37760702524698136</v>
      </c>
      <c r="L83" s="304">
        <v>678</v>
      </c>
      <c r="M83" s="374">
        <v>922</v>
      </c>
      <c r="N83" s="304">
        <v>1144</v>
      </c>
      <c r="O83" s="374">
        <v>212</v>
      </c>
      <c r="P83" s="304">
        <v>1046</v>
      </c>
      <c r="Q83" s="385">
        <f t="shared" si="22"/>
        <v>4.6856598649938652E-4</v>
      </c>
      <c r="R83" s="466">
        <v>1128</v>
      </c>
      <c r="S83" s="385">
        <f>+R83/$R$59</f>
        <v>4.941334791202321E-4</v>
      </c>
      <c r="T83" s="385">
        <f>(R83-P83)/P83</f>
        <v>7.8393881453154873E-2</v>
      </c>
      <c r="U83" s="437">
        <f t="shared" si="23"/>
        <v>2868</v>
      </c>
      <c r="V83" s="385">
        <f>U83/$U$59</f>
        <v>4.4872734634882544E-4</v>
      </c>
      <c r="W83" s="466">
        <f t="shared" si="24"/>
        <v>2262</v>
      </c>
      <c r="X83" s="368">
        <f>+W83/$W$59</f>
        <v>3.4224512194789826E-4</v>
      </c>
      <c r="Y83" s="385">
        <f t="shared" si="25"/>
        <v>-0.21129707112970711</v>
      </c>
    </row>
    <row r="84" spans="1:25" ht="15.75" thickBot="1" x14ac:dyDescent="0.3">
      <c r="A84" s="306" t="s">
        <v>212</v>
      </c>
      <c r="B84" s="278">
        <f>SUM(B82:B83)</f>
        <v>139828</v>
      </c>
      <c r="C84" s="386">
        <f>+B84/$B$59</f>
        <v>6.8481939913498865E-2</v>
      </c>
      <c r="D84" s="375">
        <f>SUM(D82:D83)</f>
        <v>121789</v>
      </c>
      <c r="E84" s="367">
        <f>+D84/$D$59</f>
        <v>5.7875015741240148E-2</v>
      </c>
      <c r="F84" s="386">
        <f>(D84-B84)/B84</f>
        <v>-0.12900849615241583</v>
      </c>
      <c r="G84" s="278">
        <v>237501</v>
      </c>
      <c r="H84" s="386">
        <f t="shared" si="20"/>
        <v>5.7104407576124061E-2</v>
      </c>
      <c r="I84" s="375">
        <v>246271</v>
      </c>
      <c r="J84" s="367">
        <f t="shared" si="21"/>
        <v>5.6921345914979125E-2</v>
      </c>
      <c r="K84" s="386">
        <f>(I84-G84)/G84</f>
        <v>3.6926160310903955E-2</v>
      </c>
      <c r="L84" s="278">
        <f>SUM(L82:L83)</f>
        <v>139828</v>
      </c>
      <c r="M84" s="375">
        <f>SUM(M82:M83)</f>
        <v>121789</v>
      </c>
      <c r="N84" s="278">
        <f>SUM(N82:N83)</f>
        <v>97673</v>
      </c>
      <c r="O84" s="375">
        <f>SUM(O82:O83)</f>
        <v>124482</v>
      </c>
      <c r="P84" s="278">
        <f>SUM(P82:P83)</f>
        <v>89625</v>
      </c>
      <c r="Q84" s="386">
        <f t="shared" si="22"/>
        <v>4.0148400133850397E-2</v>
      </c>
      <c r="R84" s="375">
        <f>SUM(R82:R83)</f>
        <v>141860</v>
      </c>
      <c r="S84" s="386">
        <f>+R84/$R$59</f>
        <v>6.2143417861698698E-2</v>
      </c>
      <c r="T84" s="386">
        <f>(R84-P84)/P84</f>
        <v>0.58281729428172946</v>
      </c>
      <c r="U84" s="278">
        <f t="shared" si="23"/>
        <v>327126</v>
      </c>
      <c r="V84" s="386">
        <f>U84/$U$59</f>
        <v>5.1182141527791443E-2</v>
      </c>
      <c r="W84" s="375">
        <f t="shared" si="24"/>
        <v>388131</v>
      </c>
      <c r="X84" s="367">
        <f>+W84/$W$59</f>
        <v>5.8724996209884923E-2</v>
      </c>
      <c r="Y84" s="386">
        <f t="shared" si="25"/>
        <v>0.18648777535261643</v>
      </c>
    </row>
    <row r="85" spans="1:25" ht="15.75" thickBot="1" x14ac:dyDescent="0.3">
      <c r="A85" s="369" t="s">
        <v>213</v>
      </c>
      <c r="B85" s="370">
        <v>264549</v>
      </c>
      <c r="C85" s="387">
        <f>+B85/$B$59</f>
        <v>0.12956509942340741</v>
      </c>
      <c r="D85" s="372">
        <v>273276</v>
      </c>
      <c r="E85" s="371">
        <f>+D85/$D$59</f>
        <v>0.12986273638590631</v>
      </c>
      <c r="F85" s="387">
        <f>(D85-B85)/B85</f>
        <v>3.2988217683680529E-2</v>
      </c>
      <c r="G85" s="370">
        <v>527210</v>
      </c>
      <c r="H85" s="387">
        <f t="shared" si="20"/>
        <v>0.12676163350136785</v>
      </c>
      <c r="I85" s="372">
        <v>540016</v>
      </c>
      <c r="J85" s="371">
        <f t="shared" si="21"/>
        <v>0.12481549811233709</v>
      </c>
      <c r="K85" s="387">
        <f>(I85-G85)/G85</f>
        <v>2.4290131067316627E-2</v>
      </c>
      <c r="L85" s="370">
        <v>264549</v>
      </c>
      <c r="M85" s="372">
        <v>273276</v>
      </c>
      <c r="N85" s="370">
        <v>262661</v>
      </c>
      <c r="O85" s="372">
        <v>266740</v>
      </c>
      <c r="P85" s="370">
        <v>273008</v>
      </c>
      <c r="Q85" s="387">
        <f>P85/$P$59</f>
        <v>0.12229661839600814</v>
      </c>
      <c r="R85" s="372">
        <v>300826</v>
      </c>
      <c r="S85" s="387">
        <f>+R85/$R$59</f>
        <v>0.13178031736686432</v>
      </c>
      <c r="T85" s="387">
        <f>(R85-P85)/P85</f>
        <v>0.10189444997948778</v>
      </c>
      <c r="U85" s="370">
        <f t="shared" si="23"/>
        <v>800218</v>
      </c>
      <c r="V85" s="387">
        <f>U85/$U$59</f>
        <v>0.12520212679238646</v>
      </c>
      <c r="W85" s="372">
        <f t="shared" si="24"/>
        <v>840842</v>
      </c>
      <c r="X85" s="371">
        <f>+W85/$W$59</f>
        <v>0.12722107552118242</v>
      </c>
      <c r="Y85" s="387">
        <f t="shared" si="25"/>
        <v>5.0766166219705131E-2</v>
      </c>
    </row>
    <row r="87" spans="1:25" x14ac:dyDescent="0.25">
      <c r="B87" s="263"/>
      <c r="C87" s="263"/>
      <c r="D87" s="263"/>
      <c r="E87" s="263"/>
      <c r="F87" s="263"/>
      <c r="G87" s="263"/>
      <c r="H87" s="263"/>
      <c r="I87" s="263"/>
      <c r="J87" s="263"/>
      <c r="K87" s="263"/>
      <c r="L87" s="263"/>
      <c r="M87" s="263"/>
      <c r="N87" s="263"/>
      <c r="O87" s="263"/>
      <c r="P87" s="263"/>
      <c r="Q87" s="263"/>
      <c r="R87" s="263"/>
    </row>
  </sheetData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D43:G43 D36:G36 D48:G49 D15:G15 D26:G26 Q74:Q79 Q84 C74:C79 C61 Q61 C84 C67 Q67" formula="1"/>
  </ignoredErrors>
  <drawing r:id="rId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7"/>
  <sheetViews>
    <sheetView topLeftCell="O47" zoomScale="110" zoomScaleNormal="110" workbookViewId="0">
      <selection activeCell="S59" sqref="S59"/>
    </sheetView>
  </sheetViews>
  <sheetFormatPr baseColWidth="10" defaultColWidth="11.42578125" defaultRowHeight="15" x14ac:dyDescent="0.25"/>
  <cols>
    <col min="1" max="1" width="50.85546875" style="229" bestFit="1" customWidth="1"/>
    <col min="2" max="6" width="11.42578125" style="229" customWidth="1"/>
    <col min="7" max="8" width="11.42578125" style="229"/>
    <col min="9" max="9" width="12.7109375" style="229" customWidth="1"/>
    <col min="10" max="11" width="11.42578125" style="229"/>
    <col min="12" max="12" width="14.140625" style="229" customWidth="1"/>
    <col min="13" max="16384" width="11.42578125" style="229"/>
  </cols>
  <sheetData>
    <row r="1" spans="1:13" ht="18.75" x14ac:dyDescent="0.3">
      <c r="A1" s="228" t="s">
        <v>157</v>
      </c>
      <c r="B1" s="362"/>
      <c r="C1" s="362"/>
      <c r="D1" s="362"/>
      <c r="E1" s="362"/>
    </row>
    <row r="2" spans="1:13" x14ac:dyDescent="0.25">
      <c r="A2" s="332" t="s">
        <v>288</v>
      </c>
      <c r="B2" s="362"/>
      <c r="C2" s="362"/>
      <c r="D2" s="362"/>
      <c r="E2" s="362"/>
    </row>
    <row r="3" spans="1:13" x14ac:dyDescent="0.25">
      <c r="A3" s="332" t="s">
        <v>88</v>
      </c>
      <c r="B3" s="362"/>
      <c r="C3" s="362"/>
      <c r="D3" s="362"/>
      <c r="E3" s="362"/>
    </row>
    <row r="4" spans="1:13" x14ac:dyDescent="0.25">
      <c r="A4" s="231" t="s">
        <v>159</v>
      </c>
      <c r="B4" s="362"/>
      <c r="C4" s="362"/>
      <c r="D4" s="362"/>
      <c r="E4" s="362"/>
    </row>
    <row r="5" spans="1:13" ht="15.75" thickBot="1" x14ac:dyDescent="0.3"/>
    <row r="6" spans="1:13" ht="23.25" thickBot="1" x14ac:dyDescent="0.3">
      <c r="A6" s="337"/>
      <c r="B6" s="338" t="s">
        <v>267</v>
      </c>
      <c r="C6" s="410" t="s">
        <v>268</v>
      </c>
      <c r="D6" s="420" t="s">
        <v>140</v>
      </c>
      <c r="E6" s="338" t="s">
        <v>267</v>
      </c>
      <c r="F6" s="410" t="s">
        <v>279</v>
      </c>
      <c r="G6" s="420" t="s">
        <v>140</v>
      </c>
      <c r="H6" s="338" t="s">
        <v>267</v>
      </c>
      <c r="I6" s="410" t="s">
        <v>282</v>
      </c>
      <c r="J6" s="420" t="s">
        <v>140</v>
      </c>
      <c r="K6" s="338" t="s">
        <v>267</v>
      </c>
      <c r="L6" s="410" t="s">
        <v>287</v>
      </c>
      <c r="M6" s="420" t="s">
        <v>140</v>
      </c>
    </row>
    <row r="7" spans="1:13" ht="15.75" thickTop="1" x14ac:dyDescent="0.25">
      <c r="A7" s="376" t="s">
        <v>20</v>
      </c>
      <c r="B7" s="377"/>
      <c r="C7" s="411"/>
      <c r="D7" s="411"/>
      <c r="E7" s="377"/>
      <c r="F7" s="411"/>
      <c r="G7" s="411"/>
      <c r="H7" s="377"/>
      <c r="I7" s="411"/>
      <c r="J7" s="411"/>
      <c r="K7" s="377"/>
      <c r="L7" s="411"/>
      <c r="M7" s="411"/>
    </row>
    <row r="8" spans="1:13" x14ac:dyDescent="0.25">
      <c r="A8" s="378" t="s">
        <v>160</v>
      </c>
      <c r="B8" s="379"/>
      <c r="C8" s="412"/>
      <c r="D8" s="421"/>
      <c r="E8" s="379"/>
      <c r="F8" s="412"/>
      <c r="G8" s="421"/>
      <c r="H8" s="379"/>
      <c r="I8" s="412"/>
      <c r="J8" s="421"/>
      <c r="K8" s="379"/>
      <c r="L8" s="412"/>
      <c r="M8" s="421"/>
    </row>
    <row r="9" spans="1:13" ht="15.75" thickBot="1" x14ac:dyDescent="0.3">
      <c r="A9" s="240" t="s">
        <v>161</v>
      </c>
      <c r="B9" s="242">
        <v>435643</v>
      </c>
      <c r="C9" s="413">
        <v>301229</v>
      </c>
      <c r="D9" s="422">
        <f t="shared" ref="D9:D15" si="0">(C9-B9)/B9</f>
        <v>-0.30854162697438042</v>
      </c>
      <c r="E9" s="242">
        <v>435643</v>
      </c>
      <c r="F9" s="413">
        <v>323015</v>
      </c>
      <c r="G9" s="422">
        <f>(F9-E9)/E9</f>
        <v>-0.25853278946293179</v>
      </c>
      <c r="H9" s="242">
        <v>435643</v>
      </c>
      <c r="I9" s="413">
        <v>310030</v>
      </c>
      <c r="J9" s="422">
        <f>(I9-H9)/H9</f>
        <v>-0.28833930534864555</v>
      </c>
      <c r="K9" s="242">
        <v>435643</v>
      </c>
      <c r="L9" s="413">
        <v>347520</v>
      </c>
      <c r="M9" s="422">
        <f>(L9-K9)/K9</f>
        <v>-0.20228260295700837</v>
      </c>
    </row>
    <row r="10" spans="1:13" ht="15.75" thickBot="1" x14ac:dyDescent="0.3">
      <c r="A10" s="240" t="s">
        <v>291</v>
      </c>
      <c r="B10" s="242">
        <v>957568</v>
      </c>
      <c r="C10" s="413">
        <v>971734</v>
      </c>
      <c r="D10" s="422">
        <f t="shared" si="0"/>
        <v>1.4793727442855233E-2</v>
      </c>
      <c r="E10" s="242">
        <v>957568</v>
      </c>
      <c r="F10" s="413">
        <v>982429</v>
      </c>
      <c r="G10" s="422">
        <f t="shared" ref="G10:G15" si="1">(F10-E10)/E10</f>
        <v>2.5962647039165888E-2</v>
      </c>
      <c r="H10" s="242">
        <v>957568</v>
      </c>
      <c r="I10" s="413">
        <v>989524</v>
      </c>
      <c r="J10" s="422">
        <f t="shared" ref="J10:J15" si="2">(I10-H10)/H10</f>
        <v>3.3372042507686141E-2</v>
      </c>
      <c r="K10" s="242">
        <v>957568</v>
      </c>
      <c r="L10" s="413">
        <v>1020579</v>
      </c>
      <c r="M10" s="422">
        <f t="shared" ref="M10:M15" si="3">(L10-K10)/K10</f>
        <v>6.5803159671166955E-2</v>
      </c>
    </row>
    <row r="11" spans="1:13" ht="15.75" thickBot="1" x14ac:dyDescent="0.3">
      <c r="A11" s="240" t="s">
        <v>36</v>
      </c>
      <c r="B11" s="242">
        <v>982816</v>
      </c>
      <c r="C11" s="413">
        <v>993585</v>
      </c>
      <c r="D11" s="422">
        <f t="shared" si="0"/>
        <v>1.095729007260769E-2</v>
      </c>
      <c r="E11" s="242">
        <v>982816</v>
      </c>
      <c r="F11" s="413">
        <v>985572</v>
      </c>
      <c r="G11" s="422">
        <f t="shared" si="1"/>
        <v>2.804187152020317E-3</v>
      </c>
      <c r="H11" s="242">
        <v>982816</v>
      </c>
      <c r="I11" s="413">
        <v>1041679</v>
      </c>
      <c r="J11" s="422">
        <f t="shared" si="2"/>
        <v>5.9892187347377335E-2</v>
      </c>
      <c r="K11" s="242">
        <v>982816</v>
      </c>
      <c r="L11" s="413">
        <v>1109878</v>
      </c>
      <c r="M11" s="422">
        <f t="shared" si="3"/>
        <v>0.12928360954644613</v>
      </c>
    </row>
    <row r="12" spans="1:13" ht="15.75" thickBot="1" x14ac:dyDescent="0.3">
      <c r="A12" s="240" t="s">
        <v>163</v>
      </c>
      <c r="B12" s="242">
        <v>81518</v>
      </c>
      <c r="C12" s="413">
        <v>79715</v>
      </c>
      <c r="D12" s="422">
        <f t="shared" si="0"/>
        <v>-2.211781447042371E-2</v>
      </c>
      <c r="E12" s="242">
        <v>81518</v>
      </c>
      <c r="F12" s="413">
        <v>80952</v>
      </c>
      <c r="G12" s="422">
        <f t="shared" si="1"/>
        <v>-6.943251797149096E-3</v>
      </c>
      <c r="H12" s="242">
        <v>81518</v>
      </c>
      <c r="I12" s="413">
        <v>85499</v>
      </c>
      <c r="J12" s="422">
        <f t="shared" si="2"/>
        <v>4.8835839937191788E-2</v>
      </c>
      <c r="K12" s="242">
        <v>81518</v>
      </c>
      <c r="L12" s="413">
        <v>94569</v>
      </c>
      <c r="M12" s="422">
        <f t="shared" si="3"/>
        <v>0.1600996099021075</v>
      </c>
    </row>
    <row r="13" spans="1:13" ht="15.75" thickBot="1" x14ac:dyDescent="0.3">
      <c r="A13" s="240" t="s">
        <v>283</v>
      </c>
      <c r="B13" s="242">
        <v>221475</v>
      </c>
      <c r="C13" s="413">
        <v>244400</v>
      </c>
      <c r="D13" s="422">
        <f t="shared" si="0"/>
        <v>0.10351055423862739</v>
      </c>
      <c r="E13" s="242">
        <v>221475</v>
      </c>
      <c r="F13" s="413">
        <v>282116</v>
      </c>
      <c r="G13" s="422">
        <f t="shared" si="1"/>
        <v>0.27380516988373405</v>
      </c>
      <c r="H13" s="242">
        <v>221475</v>
      </c>
      <c r="I13" s="413">
        <v>325976</v>
      </c>
      <c r="J13" s="422">
        <f t="shared" si="2"/>
        <v>0.47184106558302291</v>
      </c>
      <c r="K13" s="242">
        <v>221475</v>
      </c>
      <c r="L13" s="413">
        <v>241726</v>
      </c>
      <c r="M13" s="422">
        <f t="shared" si="3"/>
        <v>9.1436956767129471E-2</v>
      </c>
    </row>
    <row r="14" spans="1:13" ht="15.75" thickBot="1" x14ac:dyDescent="0.3">
      <c r="A14" s="245" t="s">
        <v>165</v>
      </c>
      <c r="B14" s="247">
        <v>6557</v>
      </c>
      <c r="C14" s="414">
        <v>6385</v>
      </c>
      <c r="D14" s="422">
        <f t="shared" si="0"/>
        <v>-2.6231508311727925E-2</v>
      </c>
      <c r="E14" s="247">
        <v>6557</v>
      </c>
      <c r="F14" s="414">
        <v>6585</v>
      </c>
      <c r="G14" s="422">
        <f t="shared" si="1"/>
        <v>4.2702455391184996E-3</v>
      </c>
      <c r="H14" s="247">
        <v>6557</v>
      </c>
      <c r="I14" s="414">
        <v>6628</v>
      </c>
      <c r="J14" s="422">
        <f t="shared" si="2"/>
        <v>1.0828122617050481E-2</v>
      </c>
      <c r="K14" s="247">
        <v>6557</v>
      </c>
      <c r="L14" s="414">
        <v>6777</v>
      </c>
      <c r="M14" s="422">
        <f t="shared" si="3"/>
        <v>3.3551929235931068E-2</v>
      </c>
    </row>
    <row r="15" spans="1:13" ht="15.75" thickBot="1" x14ac:dyDescent="0.3">
      <c r="A15" s="249" t="s">
        <v>166</v>
      </c>
      <c r="B15" s="250">
        <f>SUM(B9:B14)</f>
        <v>2685577</v>
      </c>
      <c r="C15" s="415">
        <f>SUM(C9:C14)</f>
        <v>2597048</v>
      </c>
      <c r="D15" s="422">
        <f t="shared" si="0"/>
        <v>-3.2964610584615521E-2</v>
      </c>
      <c r="E15" s="250">
        <f>SUM(E9:E14)</f>
        <v>2685577</v>
      </c>
      <c r="F15" s="415">
        <f>SUM(F9:F14)</f>
        <v>2660669</v>
      </c>
      <c r="G15" s="422">
        <f t="shared" si="1"/>
        <v>-9.2747294156898131E-3</v>
      </c>
      <c r="H15" s="250">
        <f>SUM(H9:H14)</f>
        <v>2685577</v>
      </c>
      <c r="I15" s="415">
        <f>SUM(I9:I14)</f>
        <v>2759336</v>
      </c>
      <c r="J15" s="422">
        <f t="shared" si="2"/>
        <v>2.7464861368711454E-2</v>
      </c>
      <c r="K15" s="250">
        <f>SUM(K9:K14)</f>
        <v>2685577</v>
      </c>
      <c r="L15" s="415">
        <f>SUM(L9:L14)</f>
        <v>2821049</v>
      </c>
      <c r="M15" s="422">
        <f t="shared" si="3"/>
        <v>5.0444280689028835E-2</v>
      </c>
    </row>
    <row r="16" spans="1:13" x14ac:dyDescent="0.25">
      <c r="A16" s="378" t="s">
        <v>167</v>
      </c>
      <c r="B16" s="379"/>
      <c r="C16" s="412"/>
      <c r="D16" s="421"/>
      <c r="E16" s="379"/>
      <c r="F16" s="412"/>
      <c r="G16" s="421"/>
      <c r="H16" s="379"/>
      <c r="I16" s="412"/>
      <c r="J16" s="421"/>
      <c r="K16" s="379"/>
      <c r="L16" s="412"/>
      <c r="M16" s="421"/>
    </row>
    <row r="17" spans="1:13" ht="15.75" thickBot="1" x14ac:dyDescent="0.3">
      <c r="A17" s="240" t="s">
        <v>291</v>
      </c>
      <c r="B17" s="242">
        <v>26509</v>
      </c>
      <c r="C17" s="413">
        <v>25388</v>
      </c>
      <c r="D17" s="422">
        <f t="shared" ref="D17:D27" si="4">(C17-B17)/B17</f>
        <v>-4.2287524991512317E-2</v>
      </c>
      <c r="E17" s="242">
        <v>26509</v>
      </c>
      <c r="F17" s="413">
        <v>26277</v>
      </c>
      <c r="G17" s="422">
        <f t="shared" ref="G17:G27" si="5">(F17-E17)/E17</f>
        <v>-8.7517446904824773E-3</v>
      </c>
      <c r="H17" s="242">
        <v>26509</v>
      </c>
      <c r="I17" s="413">
        <v>26197</v>
      </c>
      <c r="J17" s="422">
        <f t="shared" ref="J17:J27" si="6">(I17-H17)/H17</f>
        <v>-1.1769587687200574E-2</v>
      </c>
      <c r="K17" s="242">
        <v>26509</v>
      </c>
      <c r="L17" s="413">
        <v>28065</v>
      </c>
      <c r="M17" s="422">
        <f t="shared" ref="M17:M27" si="7">(L17-K17)/K17</f>
        <v>5.8697046286166961E-2</v>
      </c>
    </row>
    <row r="18" spans="1:13" ht="15.75" thickBot="1" x14ac:dyDescent="0.3">
      <c r="A18" s="240" t="s">
        <v>169</v>
      </c>
      <c r="B18" s="242">
        <v>180451</v>
      </c>
      <c r="C18" s="413">
        <v>176658</v>
      </c>
      <c r="D18" s="422">
        <f t="shared" si="4"/>
        <v>-2.1019556555519226E-2</v>
      </c>
      <c r="E18" s="242">
        <v>180451</v>
      </c>
      <c r="F18" s="413">
        <v>177513</v>
      </c>
      <c r="G18" s="422">
        <f t="shared" si="5"/>
        <v>-1.6281428199344975E-2</v>
      </c>
      <c r="H18" s="242">
        <v>180451</v>
      </c>
      <c r="I18" s="413">
        <v>181617</v>
      </c>
      <c r="J18" s="422">
        <f t="shared" si="6"/>
        <v>6.4615879102914364E-3</v>
      </c>
      <c r="K18" s="242">
        <v>180451</v>
      </c>
      <c r="L18" s="413">
        <v>192795</v>
      </c>
      <c r="M18" s="422">
        <f t="shared" si="7"/>
        <v>6.8406381787853771E-2</v>
      </c>
    </row>
    <row r="19" spans="1:13" ht="15.75" thickBot="1" x14ac:dyDescent="0.3">
      <c r="A19" s="240" t="s">
        <v>170</v>
      </c>
      <c r="B19" s="242">
        <v>4133963</v>
      </c>
      <c r="C19" s="413">
        <v>3718895</v>
      </c>
      <c r="D19" s="422">
        <f t="shared" si="4"/>
        <v>-0.10040438194536333</v>
      </c>
      <c r="E19" s="242">
        <v>4133963</v>
      </c>
      <c r="F19" s="413">
        <v>3820160</v>
      </c>
      <c r="G19" s="422">
        <f t="shared" si="5"/>
        <v>-7.5908516839652412E-2</v>
      </c>
      <c r="H19" s="242">
        <v>4133963</v>
      </c>
      <c r="I19" s="413">
        <v>3367394</v>
      </c>
      <c r="J19" s="422">
        <f t="shared" si="6"/>
        <v>-0.18543199346486652</v>
      </c>
      <c r="K19" s="242">
        <v>4133963</v>
      </c>
      <c r="L19" s="413">
        <v>3322694</v>
      </c>
      <c r="M19" s="422">
        <f t="shared" si="7"/>
        <v>-0.19624486237540104</v>
      </c>
    </row>
    <row r="20" spans="1:13" ht="15.75" thickBot="1" x14ac:dyDescent="0.3">
      <c r="A20" s="240" t="s">
        <v>171</v>
      </c>
      <c r="B20" s="242">
        <v>3395671</v>
      </c>
      <c r="C20" s="413">
        <v>3288035</v>
      </c>
      <c r="D20" s="422">
        <f t="shared" si="4"/>
        <v>-3.169800607891636E-2</v>
      </c>
      <c r="E20" s="242">
        <v>3395671</v>
      </c>
      <c r="F20" s="413">
        <v>3290669</v>
      </c>
      <c r="G20" s="422">
        <f t="shared" si="5"/>
        <v>-3.092231255619287E-2</v>
      </c>
      <c r="H20" s="242">
        <v>3395671</v>
      </c>
      <c r="I20" s="413">
        <v>3297443</v>
      </c>
      <c r="J20" s="422">
        <f t="shared" si="6"/>
        <v>-2.8927419646956373E-2</v>
      </c>
      <c r="K20" s="242">
        <v>3395671</v>
      </c>
      <c r="L20" s="413">
        <v>3376364</v>
      </c>
      <c r="M20" s="422">
        <f t="shared" si="7"/>
        <v>-5.6857687331899939E-3</v>
      </c>
    </row>
    <row r="21" spans="1:13" ht="15.75" thickBot="1" x14ac:dyDescent="0.3">
      <c r="A21" s="240" t="s">
        <v>141</v>
      </c>
      <c r="B21" s="242">
        <v>72306</v>
      </c>
      <c r="C21" s="413">
        <v>77337</v>
      </c>
      <c r="D21" s="422">
        <f t="shared" si="4"/>
        <v>6.9579288025889974E-2</v>
      </c>
      <c r="E21" s="242">
        <v>72306</v>
      </c>
      <c r="F21" s="413">
        <v>77245</v>
      </c>
      <c r="G21" s="422">
        <f t="shared" si="5"/>
        <v>6.8306917821480934E-2</v>
      </c>
      <c r="H21" s="242">
        <v>72306</v>
      </c>
      <c r="I21" s="413">
        <v>77153</v>
      </c>
      <c r="J21" s="422">
        <f t="shared" si="6"/>
        <v>6.7034547617071893E-2</v>
      </c>
      <c r="K21" s="242">
        <v>72306</v>
      </c>
      <c r="L21" s="413">
        <v>77062</v>
      </c>
      <c r="M21" s="422">
        <f t="shared" si="7"/>
        <v>6.5776007523580343E-2</v>
      </c>
    </row>
    <row r="22" spans="1:13" ht="15.75" thickBot="1" x14ac:dyDescent="0.3">
      <c r="A22" s="240" t="s">
        <v>247</v>
      </c>
      <c r="B22" s="242">
        <v>2118226</v>
      </c>
      <c r="C22" s="413">
        <v>2058314</v>
      </c>
      <c r="D22" s="422">
        <f t="shared" si="4"/>
        <v>-2.8284045234077949E-2</v>
      </c>
      <c r="E22" s="242">
        <v>2118226</v>
      </c>
      <c r="F22" s="413">
        <v>2039695</v>
      </c>
      <c r="G22" s="422">
        <f t="shared" si="5"/>
        <v>-3.707394772795726E-2</v>
      </c>
      <c r="H22" s="242">
        <v>2118226</v>
      </c>
      <c r="I22" s="413">
        <v>2040907</v>
      </c>
      <c r="J22" s="422">
        <f t="shared" si="6"/>
        <v>-3.6501770821432654E-2</v>
      </c>
      <c r="K22" s="242">
        <v>2118226</v>
      </c>
      <c r="L22" s="413">
        <v>2085908</v>
      </c>
      <c r="M22" s="422">
        <f t="shared" si="7"/>
        <v>-1.5257106654341887E-2</v>
      </c>
    </row>
    <row r="23" spans="1:13" ht="15.75" thickBot="1" x14ac:dyDescent="0.3">
      <c r="A23" s="240" t="s">
        <v>173</v>
      </c>
      <c r="B23" s="242">
        <v>1181350</v>
      </c>
      <c r="C23" s="413">
        <v>1149138</v>
      </c>
      <c r="D23" s="422">
        <f t="shared" si="4"/>
        <v>-2.7267109662674059E-2</v>
      </c>
      <c r="E23" s="242">
        <v>1181350</v>
      </c>
      <c r="F23" s="413">
        <v>1148745</v>
      </c>
      <c r="G23" s="422">
        <f t="shared" si="5"/>
        <v>-2.7599779912811612E-2</v>
      </c>
      <c r="H23" s="242">
        <v>1181350</v>
      </c>
      <c r="I23" s="413">
        <v>1143862</v>
      </c>
      <c r="J23" s="422">
        <f t="shared" si="6"/>
        <v>-3.1733186608541075E-2</v>
      </c>
      <c r="K23" s="242">
        <v>1181350</v>
      </c>
      <c r="L23" s="413">
        <v>1167536</v>
      </c>
      <c r="M23" s="422">
        <f t="shared" si="7"/>
        <v>-1.1693401616794346E-2</v>
      </c>
    </row>
    <row r="24" spans="1:13" ht="15.75" thickBot="1" x14ac:dyDescent="0.3">
      <c r="A24" s="240" t="s">
        <v>280</v>
      </c>
      <c r="B24" s="242">
        <v>415072</v>
      </c>
      <c r="C24" s="413">
        <v>403858</v>
      </c>
      <c r="D24" s="422">
        <f t="shared" si="4"/>
        <v>-2.7016999460334593E-2</v>
      </c>
      <c r="E24" s="242">
        <v>415072</v>
      </c>
      <c r="F24" s="413">
        <v>386564</v>
      </c>
      <c r="G24" s="422">
        <f t="shared" si="5"/>
        <v>-6.8682059979955287E-2</v>
      </c>
      <c r="H24" s="242">
        <v>415072</v>
      </c>
      <c r="I24" s="413">
        <v>388120</v>
      </c>
      <c r="J24" s="422">
        <f t="shared" si="6"/>
        <v>-6.4933312774651142E-2</v>
      </c>
      <c r="K24" s="242">
        <v>415072</v>
      </c>
      <c r="L24" s="413">
        <v>379753</v>
      </c>
      <c r="M24" s="422">
        <f t="shared" si="7"/>
        <v>-8.5091261275152263E-2</v>
      </c>
    </row>
    <row r="25" spans="1:13" ht="15.75" thickBot="1" x14ac:dyDescent="0.3">
      <c r="A25" s="245" t="s">
        <v>283</v>
      </c>
      <c r="B25" s="247">
        <v>100352</v>
      </c>
      <c r="C25" s="414">
        <v>73714</v>
      </c>
      <c r="D25" s="423">
        <f t="shared" si="4"/>
        <v>-0.26544563137755101</v>
      </c>
      <c r="E25" s="247">
        <v>100352</v>
      </c>
      <c r="F25" s="414">
        <v>68050</v>
      </c>
      <c r="G25" s="423">
        <f t="shared" si="5"/>
        <v>-0.32188695790816324</v>
      </c>
      <c r="H25" s="247">
        <v>100352</v>
      </c>
      <c r="I25" s="414">
        <v>70353</v>
      </c>
      <c r="J25" s="423">
        <f t="shared" si="6"/>
        <v>-0.29893773915816324</v>
      </c>
      <c r="K25" s="247">
        <v>100352</v>
      </c>
      <c r="L25" s="414">
        <v>72471</v>
      </c>
      <c r="M25" s="423">
        <f t="shared" si="7"/>
        <v>-0.27783203125</v>
      </c>
    </row>
    <row r="26" spans="1:13" ht="15.75" thickBot="1" x14ac:dyDescent="0.3">
      <c r="A26" s="249" t="s">
        <v>175</v>
      </c>
      <c r="B26" s="250">
        <f>SUM(B17:B25)</f>
        <v>11623900</v>
      </c>
      <c r="C26" s="415">
        <f>SUM(C17:C25)</f>
        <v>10971337</v>
      </c>
      <c r="D26" s="424">
        <f t="shared" si="4"/>
        <v>-5.6139763762592589E-2</v>
      </c>
      <c r="E26" s="250">
        <f>SUM(E17:E25)</f>
        <v>11623900</v>
      </c>
      <c r="F26" s="415">
        <f>SUM(F17:F25)</f>
        <v>11034918</v>
      </c>
      <c r="G26" s="424">
        <f t="shared" si="5"/>
        <v>-5.0669912851968792E-2</v>
      </c>
      <c r="H26" s="250">
        <f>SUM(H17:H25)</f>
        <v>11623900</v>
      </c>
      <c r="I26" s="415">
        <f>SUM(I17:I25)</f>
        <v>10593046</v>
      </c>
      <c r="J26" s="424">
        <f t="shared" si="6"/>
        <v>-8.868400450795344E-2</v>
      </c>
      <c r="K26" s="250">
        <f>SUM(K17:K25)</f>
        <v>11623900</v>
      </c>
      <c r="L26" s="415">
        <f>SUM(L17:L25)</f>
        <v>10702648</v>
      </c>
      <c r="M26" s="424">
        <f t="shared" si="7"/>
        <v>-7.9254983267233889E-2</v>
      </c>
    </row>
    <row r="27" spans="1:13" ht="15.75" thickBot="1" x14ac:dyDescent="0.3">
      <c r="A27" s="382" t="s">
        <v>176</v>
      </c>
      <c r="B27" s="383">
        <f>+B15+B26</f>
        <v>14309477</v>
      </c>
      <c r="C27" s="416">
        <f>+C15+C26</f>
        <v>13568385</v>
      </c>
      <c r="D27" s="425">
        <f t="shared" si="4"/>
        <v>-5.1790292545283098E-2</v>
      </c>
      <c r="E27" s="383">
        <f>+E15+E26</f>
        <v>14309477</v>
      </c>
      <c r="F27" s="416">
        <f>+F15+F26</f>
        <v>13695587</v>
      </c>
      <c r="G27" s="425">
        <f t="shared" si="5"/>
        <v>-4.2900939007065035E-2</v>
      </c>
      <c r="H27" s="383">
        <f>+H15+H26</f>
        <v>14309477</v>
      </c>
      <c r="I27" s="416">
        <f>+I15+I26</f>
        <v>13352382</v>
      </c>
      <c r="J27" s="425">
        <f t="shared" si="6"/>
        <v>-6.6885393505297222E-2</v>
      </c>
      <c r="K27" s="383">
        <f>+K15+K26</f>
        <v>14309477</v>
      </c>
      <c r="L27" s="416">
        <f>+L15+L26</f>
        <v>13523697</v>
      </c>
      <c r="M27" s="425">
        <f t="shared" si="7"/>
        <v>-5.4913257836048099E-2</v>
      </c>
    </row>
    <row r="28" spans="1:13" x14ac:dyDescent="0.25">
      <c r="A28" s="376" t="s">
        <v>142</v>
      </c>
      <c r="B28" s="377"/>
      <c r="C28" s="411"/>
      <c r="D28" s="411"/>
      <c r="E28" s="377"/>
      <c r="F28" s="411"/>
      <c r="G28" s="411"/>
      <c r="H28" s="377"/>
      <c r="I28" s="411"/>
      <c r="J28" s="411"/>
      <c r="K28" s="377"/>
      <c r="L28" s="411"/>
      <c r="M28" s="411"/>
    </row>
    <row r="29" spans="1:13" x14ac:dyDescent="0.25">
      <c r="A29" s="378" t="s">
        <v>177</v>
      </c>
      <c r="B29" s="379"/>
      <c r="C29" s="412"/>
      <c r="D29" s="421"/>
      <c r="E29" s="379"/>
      <c r="F29" s="412"/>
      <c r="G29" s="421"/>
      <c r="H29" s="379"/>
      <c r="I29" s="412"/>
      <c r="J29" s="421"/>
      <c r="K29" s="379"/>
      <c r="L29" s="412"/>
      <c r="M29" s="421"/>
    </row>
    <row r="30" spans="1:13" ht="15.75" thickBot="1" x14ac:dyDescent="0.3">
      <c r="A30" s="240" t="s">
        <v>28</v>
      </c>
      <c r="B30" s="242">
        <v>557133</v>
      </c>
      <c r="C30" s="413">
        <v>718979</v>
      </c>
      <c r="D30" s="422">
        <f t="shared" ref="D30:D36" si="8">(C30-B30)/B30</f>
        <v>0.29049796009211443</v>
      </c>
      <c r="E30" s="242">
        <v>557133</v>
      </c>
      <c r="F30" s="413">
        <v>360929</v>
      </c>
      <c r="G30" s="422">
        <f t="shared" ref="G30:G36" si="9">(F30-E30)/E30</f>
        <v>-0.35216725629248313</v>
      </c>
      <c r="H30" s="242">
        <v>557133</v>
      </c>
      <c r="I30" s="413">
        <v>473200</v>
      </c>
      <c r="J30" s="422">
        <f t="shared" ref="J30:J36" si="10">(I30-H30)/H30</f>
        <v>-0.15065163973413889</v>
      </c>
      <c r="K30" s="242">
        <v>557133</v>
      </c>
      <c r="L30" s="413">
        <v>522302</v>
      </c>
      <c r="M30" s="422">
        <f t="shared" ref="M30:M36" si="11">(L30-K30)/K30</f>
        <v>-6.2518285579924365E-2</v>
      </c>
    </row>
    <row r="31" spans="1:13" ht="15.75" thickBot="1" x14ac:dyDescent="0.3">
      <c r="A31" s="240" t="s">
        <v>178</v>
      </c>
      <c r="B31" s="242">
        <v>993241</v>
      </c>
      <c r="C31" s="413">
        <v>995912</v>
      </c>
      <c r="D31" s="422">
        <f t="shared" si="8"/>
        <v>2.6891761415406734E-3</v>
      </c>
      <c r="E31" s="242">
        <v>993241</v>
      </c>
      <c r="F31" s="413">
        <v>960300</v>
      </c>
      <c r="G31" s="422">
        <f t="shared" si="9"/>
        <v>-3.3165163339008361E-2</v>
      </c>
      <c r="H31" s="242">
        <v>993241</v>
      </c>
      <c r="I31" s="413">
        <v>925802</v>
      </c>
      <c r="J31" s="422">
        <f t="shared" si="10"/>
        <v>-6.7897922055170895E-2</v>
      </c>
      <c r="K31" s="242">
        <v>993241</v>
      </c>
      <c r="L31" s="413">
        <v>1094960</v>
      </c>
      <c r="M31" s="422">
        <f t="shared" si="11"/>
        <v>0.10241119728243196</v>
      </c>
    </row>
    <row r="32" spans="1:13" ht="15.75" thickBot="1" x14ac:dyDescent="0.3">
      <c r="A32" s="240" t="s">
        <v>257</v>
      </c>
      <c r="B32" s="242">
        <v>207776</v>
      </c>
      <c r="C32" s="413">
        <v>173161</v>
      </c>
      <c r="D32" s="422">
        <f t="shared" si="8"/>
        <v>-0.16659768211920531</v>
      </c>
      <c r="E32" s="242">
        <v>207776</v>
      </c>
      <c r="F32" s="413">
        <v>254457</v>
      </c>
      <c r="G32" s="422">
        <f t="shared" si="9"/>
        <v>0.22466983674726629</v>
      </c>
      <c r="H32" s="242">
        <v>207776</v>
      </c>
      <c r="I32" s="413">
        <v>269618</v>
      </c>
      <c r="J32" s="422">
        <f t="shared" si="10"/>
        <v>0.29763784075157862</v>
      </c>
      <c r="K32" s="242">
        <v>207776</v>
      </c>
      <c r="L32" s="413">
        <v>228841</v>
      </c>
      <c r="M32" s="422">
        <f t="shared" si="11"/>
        <v>0.10138322039119051</v>
      </c>
    </row>
    <row r="33" spans="1:13" ht="15.75" thickBot="1" x14ac:dyDescent="0.3">
      <c r="A33" s="240" t="s">
        <v>179</v>
      </c>
      <c r="B33" s="242">
        <v>172730</v>
      </c>
      <c r="C33" s="413">
        <v>150309</v>
      </c>
      <c r="D33" s="422">
        <f t="shared" si="8"/>
        <v>-0.12980373994094829</v>
      </c>
      <c r="E33" s="242">
        <v>172730</v>
      </c>
      <c r="F33" s="413">
        <v>161420</v>
      </c>
      <c r="G33" s="422">
        <f t="shared" si="9"/>
        <v>-6.5477913506628849E-2</v>
      </c>
      <c r="H33" s="242">
        <v>172730</v>
      </c>
      <c r="I33" s="413">
        <v>210356</v>
      </c>
      <c r="J33" s="422">
        <f t="shared" si="10"/>
        <v>0.21783129740056736</v>
      </c>
      <c r="K33" s="242">
        <v>172730</v>
      </c>
      <c r="L33" s="413">
        <v>165833</v>
      </c>
      <c r="M33" s="422">
        <f t="shared" si="11"/>
        <v>-3.9929369536270479E-2</v>
      </c>
    </row>
    <row r="34" spans="1:13" ht="15.75" thickBot="1" x14ac:dyDescent="0.3">
      <c r="A34" s="240" t="s">
        <v>180</v>
      </c>
      <c r="B34" s="242">
        <v>3420</v>
      </c>
      <c r="C34" s="413">
        <v>4186</v>
      </c>
      <c r="D34" s="422">
        <f t="shared" si="8"/>
        <v>0.2239766081871345</v>
      </c>
      <c r="E34" s="242">
        <v>3420</v>
      </c>
      <c r="F34" s="413">
        <v>4005</v>
      </c>
      <c r="G34" s="422">
        <f t="shared" si="9"/>
        <v>0.17105263157894737</v>
      </c>
      <c r="H34" s="242">
        <v>3420</v>
      </c>
      <c r="I34" s="413">
        <v>3869</v>
      </c>
      <c r="J34" s="422">
        <f t="shared" si="10"/>
        <v>0.13128654970760234</v>
      </c>
      <c r="K34" s="242">
        <v>3420</v>
      </c>
      <c r="L34" s="413">
        <v>4118</v>
      </c>
      <c r="M34" s="422">
        <f t="shared" si="11"/>
        <v>0.20409356725146199</v>
      </c>
    </row>
    <row r="35" spans="1:13" ht="15.75" thickBot="1" x14ac:dyDescent="0.3">
      <c r="A35" s="245" t="s">
        <v>260</v>
      </c>
      <c r="B35" s="247">
        <v>20661</v>
      </c>
      <c r="C35" s="414">
        <v>23398</v>
      </c>
      <c r="D35" s="423">
        <f t="shared" si="8"/>
        <v>0.13247180678573156</v>
      </c>
      <c r="E35" s="247">
        <v>20661</v>
      </c>
      <c r="F35" s="414">
        <v>16593</v>
      </c>
      <c r="G35" s="423">
        <f t="shared" si="9"/>
        <v>-0.19689269638449253</v>
      </c>
      <c r="H35" s="247">
        <v>20661</v>
      </c>
      <c r="I35" s="414">
        <v>20265</v>
      </c>
      <c r="J35" s="423">
        <f t="shared" si="10"/>
        <v>-1.9166545665747058E-2</v>
      </c>
      <c r="K35" s="247">
        <v>20661</v>
      </c>
      <c r="L35" s="414">
        <v>26676</v>
      </c>
      <c r="M35" s="423">
        <f t="shared" si="11"/>
        <v>0.29112821257441557</v>
      </c>
    </row>
    <row r="36" spans="1:13" ht="15.75" thickBot="1" x14ac:dyDescent="0.3">
      <c r="A36" s="249" t="s">
        <v>181</v>
      </c>
      <c r="B36" s="250">
        <f>SUM(B30:B35)</f>
        <v>1954961</v>
      </c>
      <c r="C36" s="415">
        <f>SUM(C30:C35)</f>
        <v>2065945</v>
      </c>
      <c r="D36" s="424">
        <f t="shared" si="8"/>
        <v>5.6770441967896032E-2</v>
      </c>
      <c r="E36" s="250">
        <f>SUM(E30:E35)</f>
        <v>1954961</v>
      </c>
      <c r="F36" s="415">
        <f>SUM(F30:F35)</f>
        <v>1757704</v>
      </c>
      <c r="G36" s="424">
        <f t="shared" si="9"/>
        <v>-0.10090073408114024</v>
      </c>
      <c r="H36" s="250">
        <f>SUM(H30:H35)</f>
        <v>1954961</v>
      </c>
      <c r="I36" s="415">
        <f>SUM(I30:I35)</f>
        <v>1903110</v>
      </c>
      <c r="J36" s="424">
        <f t="shared" si="10"/>
        <v>-2.6522779738317029E-2</v>
      </c>
      <c r="K36" s="250">
        <f>SUM(K30:K35)</f>
        <v>1954961</v>
      </c>
      <c r="L36" s="415">
        <f>SUM(L30:L35)</f>
        <v>2042730</v>
      </c>
      <c r="M36" s="424">
        <f t="shared" si="11"/>
        <v>4.4895524770059349E-2</v>
      </c>
    </row>
    <row r="37" spans="1:13" x14ac:dyDescent="0.25">
      <c r="A37" s="378" t="s">
        <v>182</v>
      </c>
      <c r="B37" s="379"/>
      <c r="C37" s="412"/>
      <c r="D37" s="421"/>
      <c r="E37" s="379"/>
      <c r="F37" s="412"/>
      <c r="G37" s="421"/>
      <c r="H37" s="379"/>
      <c r="I37" s="412"/>
      <c r="J37" s="421"/>
      <c r="K37" s="379"/>
      <c r="L37" s="412"/>
      <c r="M37" s="421"/>
    </row>
    <row r="38" spans="1:13" ht="15.75" thickBot="1" x14ac:dyDescent="0.3">
      <c r="A38" s="240" t="s">
        <v>28</v>
      </c>
      <c r="B38" s="242">
        <v>2474077</v>
      </c>
      <c r="C38" s="413">
        <v>2362473</v>
      </c>
      <c r="D38" s="422">
        <f t="shared" ref="D38:D44" si="12">(C38-B38)/B38</f>
        <v>-4.5109347849723348E-2</v>
      </c>
      <c r="E38" s="242">
        <v>2474077</v>
      </c>
      <c r="F38" s="413">
        <v>2564220</v>
      </c>
      <c r="G38" s="422">
        <f t="shared" ref="G38:G44" si="13">(F38-E38)/E38</f>
        <v>3.643500182088108E-2</v>
      </c>
      <c r="H38" s="242">
        <v>2474077</v>
      </c>
      <c r="I38" s="413">
        <v>2379353</v>
      </c>
      <c r="J38" s="422">
        <f t="shared" ref="J38:J44" si="14">(I38-H38)/H38</f>
        <v>-3.8286601427522264E-2</v>
      </c>
      <c r="K38" s="242">
        <v>2474077</v>
      </c>
      <c r="L38" s="413">
        <v>2265743</v>
      </c>
      <c r="M38" s="422">
        <f t="shared" ref="M38:M44" si="15">(L38-K38)/K38</f>
        <v>-8.4206756701590127E-2</v>
      </c>
    </row>
    <row r="39" spans="1:13" ht="15.75" thickBot="1" x14ac:dyDescent="0.3">
      <c r="A39" s="240" t="s">
        <v>178</v>
      </c>
      <c r="B39" s="241">
        <v>158</v>
      </c>
      <c r="C39" s="417">
        <v>158</v>
      </c>
      <c r="D39" s="422">
        <f t="shared" si="12"/>
        <v>0</v>
      </c>
      <c r="E39" s="241">
        <v>158</v>
      </c>
      <c r="F39" s="417">
        <v>158</v>
      </c>
      <c r="G39" s="422">
        <f t="shared" si="13"/>
        <v>0</v>
      </c>
      <c r="H39" s="241">
        <v>158</v>
      </c>
      <c r="I39" s="417">
        <v>158</v>
      </c>
      <c r="J39" s="422">
        <f t="shared" si="14"/>
        <v>0</v>
      </c>
      <c r="K39" s="241">
        <v>158</v>
      </c>
      <c r="L39" s="417">
        <v>158</v>
      </c>
      <c r="M39" s="422">
        <f t="shared" si="15"/>
        <v>0</v>
      </c>
    </row>
    <row r="40" spans="1:13" ht="15.75" thickBot="1" x14ac:dyDescent="0.3">
      <c r="A40" s="240" t="s">
        <v>179</v>
      </c>
      <c r="B40" s="242">
        <v>226574</v>
      </c>
      <c r="C40" s="413">
        <v>225014</v>
      </c>
      <c r="D40" s="422">
        <f t="shared" si="12"/>
        <v>-6.8851677597606079E-3</v>
      </c>
      <c r="E40" s="242">
        <v>226574</v>
      </c>
      <c r="F40" s="413">
        <v>221454</v>
      </c>
      <c r="G40" s="422">
        <f t="shared" si="13"/>
        <v>-2.2597473673060458E-2</v>
      </c>
      <c r="H40" s="242">
        <v>226574</v>
      </c>
      <c r="I40" s="413">
        <v>214774</v>
      </c>
      <c r="J40" s="422">
        <f t="shared" si="14"/>
        <v>-5.2080115105881522E-2</v>
      </c>
      <c r="K40" s="242">
        <v>226574</v>
      </c>
      <c r="L40" s="413">
        <v>175036</v>
      </c>
      <c r="M40" s="422">
        <f t="shared" si="15"/>
        <v>-0.2274665230785527</v>
      </c>
    </row>
    <row r="41" spans="1:13" ht="15.75" thickBot="1" x14ac:dyDescent="0.3">
      <c r="A41" s="240" t="s">
        <v>183</v>
      </c>
      <c r="B41" s="242">
        <v>702967</v>
      </c>
      <c r="C41" s="413">
        <v>694042</v>
      </c>
      <c r="D41" s="422">
        <f t="shared" si="12"/>
        <v>-1.2696186307465357E-2</v>
      </c>
      <c r="E41" s="242">
        <v>702967</v>
      </c>
      <c r="F41" s="413">
        <v>694741</v>
      </c>
      <c r="G41" s="422">
        <f t="shared" si="13"/>
        <v>-1.1701829531115969E-2</v>
      </c>
      <c r="H41" s="242">
        <v>702967</v>
      </c>
      <c r="I41" s="413">
        <v>700085</v>
      </c>
      <c r="J41" s="422">
        <f t="shared" si="14"/>
        <v>-4.0997657073518386E-3</v>
      </c>
      <c r="K41" s="242">
        <v>702967</v>
      </c>
      <c r="L41" s="413">
        <v>704763</v>
      </c>
      <c r="M41" s="422">
        <f t="shared" si="15"/>
        <v>2.5548852222081549E-3</v>
      </c>
    </row>
    <row r="42" spans="1:13" ht="15.75" thickBot="1" x14ac:dyDescent="0.3">
      <c r="A42" s="245" t="s">
        <v>261</v>
      </c>
      <c r="B42" s="246">
        <v>559</v>
      </c>
      <c r="C42" s="418">
        <v>544</v>
      </c>
      <c r="D42" s="422">
        <f t="shared" si="12"/>
        <v>-2.6833631484794274E-2</v>
      </c>
      <c r="E42" s="246">
        <v>559</v>
      </c>
      <c r="F42" s="418">
        <v>516</v>
      </c>
      <c r="G42" s="422">
        <f t="shared" si="13"/>
        <v>-7.6923076923076927E-2</v>
      </c>
      <c r="H42" s="246">
        <v>559</v>
      </c>
      <c r="I42" s="418">
        <v>533</v>
      </c>
      <c r="J42" s="422">
        <f t="shared" si="14"/>
        <v>-4.6511627906976744E-2</v>
      </c>
      <c r="K42" s="246">
        <v>559</v>
      </c>
      <c r="L42" s="418">
        <v>536</v>
      </c>
      <c r="M42" s="422">
        <f t="shared" si="15"/>
        <v>-4.1144901610017888E-2</v>
      </c>
    </row>
    <row r="43" spans="1:13" ht="15.75" thickBot="1" x14ac:dyDescent="0.3">
      <c r="A43" s="249" t="s">
        <v>185</v>
      </c>
      <c r="B43" s="250">
        <f>SUM(B38:B42)</f>
        <v>3404335</v>
      </c>
      <c r="C43" s="415">
        <f>SUM(C38:C42)</f>
        <v>3282231</v>
      </c>
      <c r="D43" s="424">
        <f t="shared" si="12"/>
        <v>-3.5867210483104629E-2</v>
      </c>
      <c r="E43" s="250">
        <f>SUM(E38:E42)</f>
        <v>3404335</v>
      </c>
      <c r="F43" s="415">
        <f>SUM(F38:F42)</f>
        <v>3481089</v>
      </c>
      <c r="G43" s="424">
        <f t="shared" si="13"/>
        <v>2.2545959783628815E-2</v>
      </c>
      <c r="H43" s="250">
        <f>SUM(H38:H42)</f>
        <v>3404335</v>
      </c>
      <c r="I43" s="415">
        <f>SUM(I38:I42)</f>
        <v>3294903</v>
      </c>
      <c r="J43" s="424">
        <f t="shared" si="14"/>
        <v>-3.2144897608490354E-2</v>
      </c>
      <c r="K43" s="250">
        <f>SUM(K38:K42)</f>
        <v>3404335</v>
      </c>
      <c r="L43" s="415">
        <f>SUM(L38:L42)</f>
        <v>3146236</v>
      </c>
      <c r="M43" s="424">
        <f t="shared" si="15"/>
        <v>-7.5814806709680452E-2</v>
      </c>
    </row>
    <row r="44" spans="1:13" ht="15.75" thickBot="1" x14ac:dyDescent="0.3">
      <c r="A44" s="382" t="s">
        <v>186</v>
      </c>
      <c r="B44" s="383">
        <f>+B36+B43</f>
        <v>5359296</v>
      </c>
      <c r="C44" s="416">
        <f>+C36+C43</f>
        <v>5348176</v>
      </c>
      <c r="D44" s="425">
        <f t="shared" si="12"/>
        <v>-2.0748993897705967E-3</v>
      </c>
      <c r="E44" s="383">
        <f>+E36+E43</f>
        <v>5359296</v>
      </c>
      <c r="F44" s="416">
        <f>+F36+F43</f>
        <v>5238793</v>
      </c>
      <c r="G44" s="425">
        <f t="shared" si="13"/>
        <v>-2.2484856219921422E-2</v>
      </c>
      <c r="H44" s="383">
        <f>+H36+H43</f>
        <v>5359296</v>
      </c>
      <c r="I44" s="416">
        <f>+I36+I43</f>
        <v>5198013</v>
      </c>
      <c r="J44" s="425">
        <f t="shared" si="14"/>
        <v>-3.0094064593558557E-2</v>
      </c>
      <c r="K44" s="383">
        <f>+K36+K43</f>
        <v>5359296</v>
      </c>
      <c r="L44" s="416">
        <f>+L36+L43</f>
        <v>5188966</v>
      </c>
      <c r="M44" s="425">
        <f t="shared" si="15"/>
        <v>-3.1782159447808073E-2</v>
      </c>
    </row>
    <row r="45" spans="1:13" x14ac:dyDescent="0.25">
      <c r="A45" s="376" t="s">
        <v>34</v>
      </c>
      <c r="B45" s="377"/>
      <c r="C45" s="411"/>
      <c r="D45" s="411"/>
      <c r="E45" s="377"/>
      <c r="F45" s="411"/>
      <c r="G45" s="411"/>
      <c r="H45" s="377"/>
      <c r="I45" s="411"/>
      <c r="J45" s="411"/>
      <c r="K45" s="377"/>
      <c r="L45" s="411"/>
      <c r="M45" s="411"/>
    </row>
    <row r="46" spans="1:13" ht="15.75" thickBot="1" x14ac:dyDescent="0.3">
      <c r="A46" s="249" t="s">
        <v>187</v>
      </c>
      <c r="B46" s="250">
        <v>8907656</v>
      </c>
      <c r="C46" s="415">
        <v>8180319</v>
      </c>
      <c r="D46" s="424">
        <f>(C46-B46)/B46</f>
        <v>-8.1653018482078787E-2</v>
      </c>
      <c r="E46" s="250">
        <v>8907656</v>
      </c>
      <c r="F46" s="415">
        <v>8417112</v>
      </c>
      <c r="G46" s="424">
        <f>(F46-E46)/E46</f>
        <v>-5.506993085498587E-2</v>
      </c>
      <c r="H46" s="250">
        <v>8907656</v>
      </c>
      <c r="I46" s="415">
        <v>8112245</v>
      </c>
      <c r="J46" s="424">
        <f>(I46-H46)/H46</f>
        <v>-8.9295208526238554E-2</v>
      </c>
      <c r="K46" s="250">
        <v>8907656</v>
      </c>
      <c r="L46" s="415">
        <v>8290443</v>
      </c>
      <c r="M46" s="424">
        <f>(L46-K46)/K46</f>
        <v>-6.9290170163733317E-2</v>
      </c>
    </row>
    <row r="47" spans="1:13" ht="15.75" thickBot="1" x14ac:dyDescent="0.3">
      <c r="A47" s="259" t="s">
        <v>188</v>
      </c>
      <c r="B47" s="247">
        <v>42525</v>
      </c>
      <c r="C47" s="414">
        <v>39890</v>
      </c>
      <c r="D47" s="423">
        <f>(C47-B47)/B47</f>
        <v>-6.1963550852439743E-2</v>
      </c>
      <c r="E47" s="247">
        <v>42525</v>
      </c>
      <c r="F47" s="414">
        <v>39682</v>
      </c>
      <c r="G47" s="423">
        <f>(F47-E47)/E47</f>
        <v>-6.6854791299235744E-2</v>
      </c>
      <c r="H47" s="247">
        <v>42525</v>
      </c>
      <c r="I47" s="414">
        <v>42124</v>
      </c>
      <c r="J47" s="423">
        <f>(I47-H47)/H47</f>
        <v>-9.4297472075249855E-3</v>
      </c>
      <c r="K47" s="247">
        <v>42525</v>
      </c>
      <c r="L47" s="414">
        <v>44288</v>
      </c>
      <c r="M47" s="423">
        <f>(L47-K47)/K47</f>
        <v>4.1457965902410347E-2</v>
      </c>
    </row>
    <row r="48" spans="1:13" ht="15.75" thickBot="1" x14ac:dyDescent="0.3">
      <c r="A48" s="382" t="s">
        <v>189</v>
      </c>
      <c r="B48" s="383">
        <f>SUM(B46:B47)</f>
        <v>8950181</v>
      </c>
      <c r="C48" s="416">
        <f>SUM(C46:C47)</f>
        <v>8220209</v>
      </c>
      <c r="D48" s="425">
        <f>(C48-B48)/B48</f>
        <v>-8.1559467903498259E-2</v>
      </c>
      <c r="E48" s="383">
        <f>SUM(E46:E47)</f>
        <v>8950181</v>
      </c>
      <c r="F48" s="416">
        <f>SUM(F46:F47)</f>
        <v>8456794</v>
      </c>
      <c r="G48" s="425">
        <f>(F48-E48)/E48</f>
        <v>-5.5125924269017579E-2</v>
      </c>
      <c r="H48" s="383">
        <f>SUM(H46:H47)</f>
        <v>8950181</v>
      </c>
      <c r="I48" s="416">
        <f>SUM(I46:I47)</f>
        <v>8154369</v>
      </c>
      <c r="J48" s="425">
        <f>(I48-H48)/H48</f>
        <v>-8.8915743715127102E-2</v>
      </c>
      <c r="K48" s="383">
        <f>SUM(K46:K47)</f>
        <v>8950181</v>
      </c>
      <c r="L48" s="416">
        <f>SUM(L46:L47)</f>
        <v>8334731</v>
      </c>
      <c r="M48" s="425">
        <f>(L48-K48)/K48</f>
        <v>-6.8763972482791133E-2</v>
      </c>
    </row>
    <row r="49" spans="1:27" ht="15.75" thickBot="1" x14ac:dyDescent="0.3">
      <c r="A49" s="380" t="s">
        <v>190</v>
      </c>
      <c r="B49" s="381">
        <f>+B44+B48</f>
        <v>14309477</v>
      </c>
      <c r="C49" s="419">
        <f>+C44+C48</f>
        <v>13568385</v>
      </c>
      <c r="D49" s="426">
        <f>(C49-B49)/B49</f>
        <v>-5.1790292545283098E-2</v>
      </c>
      <c r="E49" s="381">
        <f>+E44+E48</f>
        <v>14309477</v>
      </c>
      <c r="F49" s="419">
        <f>+F44+F48</f>
        <v>13695587</v>
      </c>
      <c r="G49" s="426">
        <f>(F49-E49)/E49</f>
        <v>-4.2900939007065035E-2</v>
      </c>
      <c r="H49" s="381">
        <f>+H44+H48</f>
        <v>14309477</v>
      </c>
      <c r="I49" s="419">
        <f>+I44+I48</f>
        <v>13352382</v>
      </c>
      <c r="J49" s="426">
        <f>(I49-H49)/H49</f>
        <v>-6.6885393505297222E-2</v>
      </c>
      <c r="K49" s="381">
        <f>+K44+K48</f>
        <v>14309477</v>
      </c>
      <c r="L49" s="419">
        <f>+L44+L48</f>
        <v>13523697</v>
      </c>
      <c r="M49" s="426">
        <f>(L49-K49)/K49</f>
        <v>-5.4913257836048099E-2</v>
      </c>
    </row>
    <row r="51" spans="1:27" x14ac:dyDescent="0.25">
      <c r="B51" s="263"/>
      <c r="C51" s="263"/>
      <c r="D51" s="263"/>
      <c r="E51" s="263"/>
      <c r="F51" s="263"/>
      <c r="G51" s="263"/>
      <c r="H51" s="263"/>
      <c r="I51" s="263"/>
      <c r="J51" s="263"/>
      <c r="K51" s="263"/>
      <c r="L51" s="263"/>
      <c r="M51" s="263"/>
      <c r="O51" s="263"/>
      <c r="Q51" s="263"/>
      <c r="R51" s="263"/>
      <c r="T51" s="263"/>
      <c r="V51" s="263"/>
    </row>
    <row r="52" spans="1:27" ht="18.75" x14ac:dyDescent="0.3">
      <c r="A52" s="264" t="s">
        <v>191</v>
      </c>
      <c r="B52" s="362"/>
      <c r="C52" s="362"/>
      <c r="D52" s="362"/>
      <c r="E52" s="362"/>
    </row>
    <row r="53" spans="1:27" x14ac:dyDescent="0.25">
      <c r="A53" s="332" t="s">
        <v>219</v>
      </c>
      <c r="B53" s="362"/>
      <c r="C53" s="362"/>
      <c r="D53" s="362"/>
      <c r="E53" s="362"/>
    </row>
    <row r="54" spans="1:27" x14ac:dyDescent="0.25">
      <c r="A54" s="332" t="s">
        <v>88</v>
      </c>
      <c r="B54" s="362"/>
      <c r="C54" s="362"/>
      <c r="D54" s="362"/>
      <c r="E54" s="362"/>
    </row>
    <row r="55" spans="1:27" x14ac:dyDescent="0.25">
      <c r="A55" s="265" t="s">
        <v>159</v>
      </c>
      <c r="B55" s="362"/>
      <c r="C55" s="362"/>
      <c r="D55" s="362"/>
      <c r="E55" s="362"/>
    </row>
    <row r="56" spans="1:27" ht="15.75" thickBot="1" x14ac:dyDescent="0.3">
      <c r="B56" s="364"/>
      <c r="C56" s="364"/>
      <c r="D56" s="364"/>
      <c r="E56" s="364"/>
    </row>
    <row r="57" spans="1:27" ht="15.75" customHeight="1" thickBot="1" x14ac:dyDescent="0.3">
      <c r="A57" s="353"/>
      <c r="B57" s="388" t="s">
        <v>245</v>
      </c>
      <c r="C57" s="388" t="s">
        <v>55</v>
      </c>
      <c r="D57" s="400" t="s">
        <v>270</v>
      </c>
      <c r="E57" s="400" t="s">
        <v>55</v>
      </c>
      <c r="F57" s="388" t="s">
        <v>46</v>
      </c>
      <c r="G57" s="388" t="s">
        <v>251</v>
      </c>
      <c r="H57" s="388" t="s">
        <v>55</v>
      </c>
      <c r="I57" s="400" t="s">
        <v>278</v>
      </c>
      <c r="J57" s="400" t="s">
        <v>55</v>
      </c>
      <c r="K57" s="388" t="s">
        <v>46</v>
      </c>
      <c r="L57" s="388" t="s">
        <v>245</v>
      </c>
      <c r="M57" s="400" t="s">
        <v>270</v>
      </c>
      <c r="N57" s="388" t="s">
        <v>250</v>
      </c>
      <c r="O57" s="400" t="s">
        <v>277</v>
      </c>
      <c r="P57" s="388" t="s">
        <v>255</v>
      </c>
      <c r="Q57" s="400" t="s">
        <v>284</v>
      </c>
      <c r="R57" s="388" t="s">
        <v>265</v>
      </c>
      <c r="S57" s="388" t="s">
        <v>55</v>
      </c>
      <c r="T57" s="400" t="s">
        <v>289</v>
      </c>
      <c r="U57" s="388" t="s">
        <v>55</v>
      </c>
      <c r="V57" s="388" t="s">
        <v>46</v>
      </c>
      <c r="W57" s="388" t="s">
        <v>266</v>
      </c>
      <c r="X57" s="388" t="s">
        <v>55</v>
      </c>
      <c r="Y57" s="400" t="s">
        <v>290</v>
      </c>
      <c r="Z57" s="400" t="s">
        <v>55</v>
      </c>
      <c r="AA57" s="388" t="s">
        <v>46</v>
      </c>
    </row>
    <row r="58" spans="1:27" ht="15.75" thickTop="1" x14ac:dyDescent="0.25">
      <c r="A58" s="390" t="s">
        <v>193</v>
      </c>
      <c r="B58" s="389"/>
      <c r="C58" s="389"/>
      <c r="D58" s="401"/>
      <c r="E58" s="406"/>
      <c r="F58" s="389"/>
      <c r="G58" s="389"/>
      <c r="H58" s="389"/>
      <c r="I58" s="401"/>
      <c r="J58" s="406"/>
      <c r="K58" s="389"/>
      <c r="L58" s="389"/>
      <c r="M58" s="401"/>
      <c r="N58" s="389"/>
      <c r="O58" s="401"/>
      <c r="P58" s="389"/>
      <c r="Q58" s="401"/>
      <c r="R58" s="389"/>
      <c r="S58" s="389"/>
      <c r="T58" s="401"/>
      <c r="U58" s="389"/>
      <c r="V58" s="389"/>
      <c r="W58" s="389"/>
      <c r="X58" s="389"/>
      <c r="Y58" s="401"/>
      <c r="Z58" s="406"/>
      <c r="AA58" s="389"/>
    </row>
    <row r="59" spans="1:27" ht="15.75" thickBot="1" x14ac:dyDescent="0.3">
      <c r="A59" s="391" t="s">
        <v>292</v>
      </c>
      <c r="B59" s="458">
        <v>2041823</v>
      </c>
      <c r="C59" s="387">
        <f t="shared" ref="C59:C79" si="16">+B59/$B$59</f>
        <v>1</v>
      </c>
      <c r="D59" s="395">
        <v>2104345</v>
      </c>
      <c r="E59" s="387">
        <f t="shared" ref="E59:E79" si="17">+D59/$D$59</f>
        <v>1</v>
      </c>
      <c r="F59" s="387">
        <f>(D59-B59)/B59</f>
        <v>3.0620675739278087E-2</v>
      </c>
      <c r="G59" s="395">
        <v>4159066</v>
      </c>
      <c r="H59" s="387">
        <f>G59/$G$59</f>
        <v>1</v>
      </c>
      <c r="I59" s="395">
        <v>4326514</v>
      </c>
      <c r="J59" s="387">
        <f>I59/$I$59</f>
        <v>1</v>
      </c>
      <c r="K59" s="387">
        <f t="shared" ref="K59:K64" si="18">(I59-G59)/G59</f>
        <v>4.0260962437239513E-2</v>
      </c>
      <c r="L59" s="458">
        <v>2041823</v>
      </c>
      <c r="M59" s="395">
        <v>2104345</v>
      </c>
      <c r="N59" s="395">
        <v>2117243</v>
      </c>
      <c r="O59" s="395">
        <v>2222169</v>
      </c>
      <c r="P59" s="395">
        <v>2232343</v>
      </c>
      <c r="Q59" s="395">
        <v>2282784</v>
      </c>
      <c r="R59" s="395">
        <v>2304195</v>
      </c>
      <c r="S59" s="387">
        <f>R59/$R$59</f>
        <v>1</v>
      </c>
      <c r="T59" s="395">
        <v>2406768</v>
      </c>
      <c r="U59" s="387">
        <f>+T59/$T$59</f>
        <v>1</v>
      </c>
      <c r="V59" s="387">
        <f t="shared" ref="V59:V64" si="19">(T59-R59)/R59</f>
        <v>4.4515763639796112E-2</v>
      </c>
      <c r="W59" s="395">
        <f>L59+N59+P59+R59</f>
        <v>8695604</v>
      </c>
      <c r="X59" s="387">
        <f t="shared" ref="X59:X79" si="20">W59/$W$59</f>
        <v>1</v>
      </c>
      <c r="Y59" s="395">
        <f>M59+O59+Q59+T59</f>
        <v>9016066</v>
      </c>
      <c r="Z59" s="387">
        <f t="shared" ref="Z59:Z79" si="21">+Y59/$Y$59</f>
        <v>1</v>
      </c>
      <c r="AA59" s="387">
        <f>(Y59-W59)/W59</f>
        <v>3.6853334167471288E-2</v>
      </c>
    </row>
    <row r="60" spans="1:27" ht="15.75" thickBot="1" x14ac:dyDescent="0.3">
      <c r="A60" s="392" t="s">
        <v>262</v>
      </c>
      <c r="B60" s="460">
        <v>-1150561</v>
      </c>
      <c r="C60" s="384">
        <f t="shared" si="16"/>
        <v>-0.56349693386743116</v>
      </c>
      <c r="D60" s="456">
        <v>-1168715</v>
      </c>
      <c r="E60" s="407">
        <f t="shared" si="17"/>
        <v>-0.5553818409053648</v>
      </c>
      <c r="F60" s="384">
        <f t="shared" ref="F60:F79" si="22">(D60-B60)/B60</f>
        <v>1.5778389846344523E-2</v>
      </c>
      <c r="G60" s="460">
        <v>-2333030</v>
      </c>
      <c r="H60" s="384">
        <f t="shared" ref="H60:H85" si="23">G60/$G$59</f>
        <v>-0.56095046339731081</v>
      </c>
      <c r="I60" s="456">
        <v>-2398340</v>
      </c>
      <c r="J60" s="407">
        <f t="shared" ref="J60:J85" si="24">I60/$I$59</f>
        <v>-0.55433543032566168</v>
      </c>
      <c r="K60" s="384">
        <f t="shared" si="18"/>
        <v>2.7993639173092503E-2</v>
      </c>
      <c r="L60" s="460">
        <v>-1150561</v>
      </c>
      <c r="M60" s="456">
        <v>-1168715</v>
      </c>
      <c r="N60" s="460">
        <v>-1182469</v>
      </c>
      <c r="O60" s="456">
        <v>-1229625</v>
      </c>
      <c r="P60" s="460">
        <v>-1236124</v>
      </c>
      <c r="Q60" s="456">
        <v>-1242686</v>
      </c>
      <c r="R60" s="460">
        <v>-1286481</v>
      </c>
      <c r="S60" s="384">
        <f t="shared" ref="S60:S85" si="25">R60/$R$59</f>
        <v>-0.55832123583290472</v>
      </c>
      <c r="T60" s="456">
        <v>-1328192</v>
      </c>
      <c r="U60" s="384">
        <f>+T60/$T$59</f>
        <v>-0.5518570963217061</v>
      </c>
      <c r="V60" s="384">
        <f t="shared" si="19"/>
        <v>3.2422554239044339E-2</v>
      </c>
      <c r="W60" s="460">
        <f t="shared" ref="W60:W85" si="26">L60+N60+P60+R60</f>
        <v>-4855635</v>
      </c>
      <c r="X60" s="384">
        <f t="shared" si="20"/>
        <v>-0.55840111854219676</v>
      </c>
      <c r="Y60" s="456">
        <f t="shared" ref="Y60:Y85" si="27">M60+O60+Q60+T60</f>
        <v>-4969218</v>
      </c>
      <c r="Z60" s="407">
        <f t="shared" si="21"/>
        <v>-0.55115146672617521</v>
      </c>
      <c r="AA60" s="384">
        <f t="shared" ref="AA60:AA85" si="28">(Y60-W60)/W60</f>
        <v>2.3391997133227684E-2</v>
      </c>
    </row>
    <row r="61" spans="1:27" ht="15.75" thickBot="1" x14ac:dyDescent="0.3">
      <c r="A61" s="393" t="s">
        <v>196</v>
      </c>
      <c r="B61" s="461">
        <f>SUM(B59:B60)</f>
        <v>891262</v>
      </c>
      <c r="C61" s="386">
        <f t="shared" si="16"/>
        <v>0.43650306613256878</v>
      </c>
      <c r="D61" s="457">
        <f>SUM(D59:D60)</f>
        <v>935630</v>
      </c>
      <c r="E61" s="408">
        <f t="shared" si="17"/>
        <v>0.44461815909463515</v>
      </c>
      <c r="F61" s="386">
        <f t="shared" si="22"/>
        <v>4.9781096916507152E-2</v>
      </c>
      <c r="G61" s="397">
        <v>1826036</v>
      </c>
      <c r="H61" s="386">
        <f t="shared" si="23"/>
        <v>0.43904953660268914</v>
      </c>
      <c r="I61" s="403">
        <v>1928174</v>
      </c>
      <c r="J61" s="408">
        <f t="shared" si="24"/>
        <v>0.44566456967433826</v>
      </c>
      <c r="K61" s="386">
        <f t="shared" si="18"/>
        <v>5.5934275118343778E-2</v>
      </c>
      <c r="L61" s="461">
        <f t="shared" ref="L61:R61" si="29">SUM(L59:L60)</f>
        <v>891262</v>
      </c>
      <c r="M61" s="457">
        <f t="shared" si="29"/>
        <v>935630</v>
      </c>
      <c r="N61" s="397">
        <f t="shared" si="29"/>
        <v>934774</v>
      </c>
      <c r="O61" s="403">
        <f t="shared" si="29"/>
        <v>992544</v>
      </c>
      <c r="P61" s="397">
        <f t="shared" si="29"/>
        <v>996219</v>
      </c>
      <c r="Q61" s="403">
        <f t="shared" si="29"/>
        <v>1040098</v>
      </c>
      <c r="R61" s="397">
        <f t="shared" si="29"/>
        <v>1017714</v>
      </c>
      <c r="S61" s="386">
        <f t="shared" si="25"/>
        <v>0.44167876416709523</v>
      </c>
      <c r="T61" s="403">
        <f>SUM(T59:T60)</f>
        <v>1078576</v>
      </c>
      <c r="U61" s="386">
        <f t="shared" ref="U61:U79" si="30">+T61/$T$59</f>
        <v>0.4481429036782939</v>
      </c>
      <c r="V61" s="386">
        <f t="shared" si="19"/>
        <v>5.9802655755939294E-2</v>
      </c>
      <c r="W61" s="397">
        <f t="shared" si="26"/>
        <v>3839969</v>
      </c>
      <c r="X61" s="386">
        <f t="shared" si="20"/>
        <v>0.44159888145780329</v>
      </c>
      <c r="Y61" s="403">
        <f t="shared" si="27"/>
        <v>4046848</v>
      </c>
      <c r="Z61" s="408">
        <f t="shared" si="21"/>
        <v>0.44884853327382473</v>
      </c>
      <c r="AA61" s="386">
        <f t="shared" si="28"/>
        <v>5.387517451312758E-2</v>
      </c>
    </row>
    <row r="62" spans="1:27" ht="15.75" thickBot="1" x14ac:dyDescent="0.3">
      <c r="A62" s="392" t="s">
        <v>7</v>
      </c>
      <c r="B62" s="460">
        <v>-100251</v>
      </c>
      <c r="C62" s="384">
        <f t="shared" si="16"/>
        <v>-4.9098771049204556E-2</v>
      </c>
      <c r="D62" s="456">
        <v>-99417</v>
      </c>
      <c r="E62" s="407">
        <f t="shared" si="17"/>
        <v>-4.7243679149569104E-2</v>
      </c>
      <c r="F62" s="384">
        <f t="shared" si="22"/>
        <v>-8.3191190112816837E-3</v>
      </c>
      <c r="G62" s="460">
        <v>-195591</v>
      </c>
      <c r="H62" s="384">
        <f t="shared" si="23"/>
        <v>-4.7027625914087441E-2</v>
      </c>
      <c r="I62" s="402">
        <v>-196903</v>
      </c>
      <c r="J62" s="407">
        <f t="shared" si="24"/>
        <v>-4.5510773800801291E-2</v>
      </c>
      <c r="K62" s="384">
        <f t="shared" si="18"/>
        <v>6.7078751067278144E-3</v>
      </c>
      <c r="L62" s="460">
        <v>-100251</v>
      </c>
      <c r="M62" s="456">
        <v>-99417</v>
      </c>
      <c r="N62" s="460">
        <v>-95340</v>
      </c>
      <c r="O62" s="456">
        <v>-97486</v>
      </c>
      <c r="P62" s="460">
        <v>-97458</v>
      </c>
      <c r="Q62" s="456">
        <v>-102539</v>
      </c>
      <c r="R62" s="460">
        <v>-106797</v>
      </c>
      <c r="S62" s="384">
        <f t="shared" si="25"/>
        <v>-4.6348941821330224E-2</v>
      </c>
      <c r="T62" s="456">
        <v>-106615</v>
      </c>
      <c r="U62" s="384">
        <f t="shared" si="30"/>
        <v>-4.4297996317052578E-2</v>
      </c>
      <c r="V62" s="384">
        <f t="shared" si="19"/>
        <v>-1.704167720067043E-3</v>
      </c>
      <c r="W62" s="460">
        <f t="shared" si="26"/>
        <v>-399846</v>
      </c>
      <c r="X62" s="384">
        <f t="shared" si="20"/>
        <v>-4.5982544743297875E-2</v>
      </c>
      <c r="Y62" s="456">
        <f t="shared" si="27"/>
        <v>-406057</v>
      </c>
      <c r="Z62" s="407">
        <f t="shared" si="21"/>
        <v>-4.5037048309096231E-2</v>
      </c>
      <c r="AA62" s="384">
        <f t="shared" si="28"/>
        <v>1.553348038995013E-2</v>
      </c>
    </row>
    <row r="63" spans="1:27" ht="15.75" thickBot="1" x14ac:dyDescent="0.3">
      <c r="A63" s="392" t="s">
        <v>8</v>
      </c>
      <c r="B63" s="460">
        <v>-563544</v>
      </c>
      <c r="C63" s="384">
        <f t="shared" si="16"/>
        <v>-0.27600041727417118</v>
      </c>
      <c r="D63" s="456">
        <v>-607913</v>
      </c>
      <c r="E63" s="407">
        <f t="shared" si="17"/>
        <v>-0.28888466482444658</v>
      </c>
      <c r="F63" s="384">
        <f t="shared" si="22"/>
        <v>7.873209545306134E-2</v>
      </c>
      <c r="G63" s="460">
        <v>-1188495</v>
      </c>
      <c r="H63" s="384">
        <f t="shared" si="23"/>
        <v>-0.28576007209310939</v>
      </c>
      <c r="I63" s="402">
        <v>-1263528</v>
      </c>
      <c r="J63" s="407">
        <f t="shared" si="24"/>
        <v>-0.2920429703914052</v>
      </c>
      <c r="K63" s="384">
        <f t="shared" si="18"/>
        <v>6.3132785581765175E-2</v>
      </c>
      <c r="L63" s="460">
        <v>-563544</v>
      </c>
      <c r="M63" s="456">
        <v>-607913</v>
      </c>
      <c r="N63" s="460">
        <v>-624951</v>
      </c>
      <c r="O63" s="456">
        <v>-655615</v>
      </c>
      <c r="P63" s="460">
        <v>-656668</v>
      </c>
      <c r="Q63" s="456">
        <v>-669434</v>
      </c>
      <c r="R63" s="460">
        <v>-706711</v>
      </c>
      <c r="S63" s="384">
        <f t="shared" si="25"/>
        <v>-0.30670624665013163</v>
      </c>
      <c r="T63" s="456">
        <v>-718109</v>
      </c>
      <c r="U63" s="384">
        <f t="shared" si="30"/>
        <v>-0.29837067802131323</v>
      </c>
      <c r="V63" s="384">
        <f t="shared" si="19"/>
        <v>1.6128233464598685E-2</v>
      </c>
      <c r="W63" s="460">
        <f t="shared" si="26"/>
        <v>-2551874</v>
      </c>
      <c r="X63" s="384">
        <f t="shared" si="20"/>
        <v>-0.29346713580793238</v>
      </c>
      <c r="Y63" s="456">
        <f t="shared" si="27"/>
        <v>-2651071</v>
      </c>
      <c r="Z63" s="407">
        <f t="shared" si="21"/>
        <v>-0.2940385529564668</v>
      </c>
      <c r="AA63" s="384">
        <f t="shared" si="28"/>
        <v>3.8872217045198942E-2</v>
      </c>
    </row>
    <row r="64" spans="1:27" ht="15.75" thickBot="1" x14ac:dyDescent="0.3">
      <c r="A64" s="392" t="s">
        <v>84</v>
      </c>
      <c r="B64" s="460">
        <v>-32942</v>
      </c>
      <c r="C64" s="384">
        <f t="shared" si="16"/>
        <v>-1.6133621768390307E-2</v>
      </c>
      <c r="D64" s="456">
        <v>-33212</v>
      </c>
      <c r="E64" s="407">
        <f t="shared" si="17"/>
        <v>-1.5782583179088979E-2</v>
      </c>
      <c r="F64" s="384">
        <f t="shared" si="22"/>
        <v>8.1962236658369263E-3</v>
      </c>
      <c r="G64" s="460">
        <v>-66382</v>
      </c>
      <c r="H64" s="384">
        <f t="shared" si="23"/>
        <v>-1.5960795043887258E-2</v>
      </c>
      <c r="I64" s="402">
        <v>-68712</v>
      </c>
      <c r="J64" s="407">
        <f t="shared" si="24"/>
        <v>-1.5881608149193555E-2</v>
      </c>
      <c r="K64" s="384">
        <f t="shared" si="18"/>
        <v>3.5099876472537733E-2</v>
      </c>
      <c r="L64" s="460">
        <v>-32942</v>
      </c>
      <c r="M64" s="456">
        <v>-33212</v>
      </c>
      <c r="N64" s="460">
        <v>-33440</v>
      </c>
      <c r="O64" s="456">
        <v>-35500</v>
      </c>
      <c r="P64" s="460">
        <v>-35038</v>
      </c>
      <c r="Q64" s="456">
        <v>-36861</v>
      </c>
      <c r="R64" s="460">
        <v>-37668</v>
      </c>
      <c r="S64" s="384">
        <f t="shared" si="25"/>
        <v>-1.6347574749532919E-2</v>
      </c>
      <c r="T64" s="456">
        <v>-41393</v>
      </c>
      <c r="U64" s="384">
        <f t="shared" si="30"/>
        <v>-1.7198583328347394E-2</v>
      </c>
      <c r="V64" s="384">
        <f t="shared" si="19"/>
        <v>9.8890304767972809E-2</v>
      </c>
      <c r="W64" s="460">
        <f t="shared" si="26"/>
        <v>-139088</v>
      </c>
      <c r="X64" s="384">
        <f t="shared" si="20"/>
        <v>-1.5995208613455717E-2</v>
      </c>
      <c r="Y64" s="456">
        <f t="shared" si="27"/>
        <v>-146966</v>
      </c>
      <c r="Z64" s="407">
        <f t="shared" si="21"/>
        <v>-1.6300457427884843E-2</v>
      </c>
      <c r="AA64" s="384">
        <f t="shared" si="28"/>
        <v>5.6640400322098237E-2</v>
      </c>
    </row>
    <row r="65" spans="1:27" ht="15.75" thickBot="1" x14ac:dyDescent="0.3">
      <c r="A65" s="392" t="s">
        <v>197</v>
      </c>
      <c r="B65" s="460">
        <v>2176</v>
      </c>
      <c r="C65" s="384">
        <f t="shared" si="16"/>
        <v>1.0657143150997908E-3</v>
      </c>
      <c r="D65" s="456">
        <v>1952</v>
      </c>
      <c r="E65" s="407">
        <f t="shared" si="17"/>
        <v>9.2760455153503819E-4</v>
      </c>
      <c r="F65" s="384">
        <f t="shared" si="22"/>
        <v>-0.10294117647058823</v>
      </c>
      <c r="G65" s="396">
        <v>223</v>
      </c>
      <c r="H65" s="384">
        <f t="shared" si="23"/>
        <v>5.3617807459655608E-5</v>
      </c>
      <c r="I65" s="402">
        <v>1864</v>
      </c>
      <c r="J65" s="407">
        <f t="shared" si="24"/>
        <v>4.3083184291094401E-4</v>
      </c>
      <c r="K65" s="384" t="s">
        <v>131</v>
      </c>
      <c r="L65" s="460">
        <v>2176</v>
      </c>
      <c r="M65" s="456">
        <v>1952</v>
      </c>
      <c r="N65" s="460">
        <v>-1953</v>
      </c>
      <c r="O65" s="456">
        <v>-88</v>
      </c>
      <c r="P65" s="460">
        <v>1107</v>
      </c>
      <c r="Q65" s="456">
        <v>-2342</v>
      </c>
      <c r="R65" s="460">
        <v>-1075</v>
      </c>
      <c r="S65" s="384">
        <f t="shared" si="25"/>
        <v>-4.6654037527205815E-4</v>
      </c>
      <c r="T65" s="456">
        <v>-3782</v>
      </c>
      <c r="U65" s="384">
        <f t="shared" si="30"/>
        <v>-1.5714019797504371E-3</v>
      </c>
      <c r="V65" s="384" t="s">
        <v>131</v>
      </c>
      <c r="W65" s="460">
        <f t="shared" si="26"/>
        <v>255</v>
      </c>
      <c r="X65" s="384">
        <f t="shared" si="20"/>
        <v>2.9325162461400037E-5</v>
      </c>
      <c r="Y65" s="456">
        <f t="shared" si="27"/>
        <v>-4260</v>
      </c>
      <c r="Z65" s="407">
        <f t="shared" si="21"/>
        <v>-4.7248988638725584E-4</v>
      </c>
      <c r="AA65" s="384" t="s">
        <v>131</v>
      </c>
    </row>
    <row r="66" spans="1:27" ht="15.75" thickBot="1" x14ac:dyDescent="0.3">
      <c r="A66" s="392" t="s">
        <v>144</v>
      </c>
      <c r="B66" s="460">
        <v>7084</v>
      </c>
      <c r="C66" s="384">
        <f t="shared" si="16"/>
        <v>3.4694486250767083E-3</v>
      </c>
      <c r="D66" s="456">
        <v>4942</v>
      </c>
      <c r="E66" s="407">
        <f t="shared" si="17"/>
        <v>2.3484742283228274E-3</v>
      </c>
      <c r="F66" s="384">
        <f t="shared" si="22"/>
        <v>-0.30237154150197626</v>
      </c>
      <c r="G66" s="396">
        <v>21592</v>
      </c>
      <c r="H66" s="384">
        <f t="shared" si="23"/>
        <v>5.1915502182461161E-3</v>
      </c>
      <c r="I66" s="402">
        <v>-603</v>
      </c>
      <c r="J66" s="407">
        <f t="shared" si="24"/>
        <v>-1.3937317664983865E-4</v>
      </c>
      <c r="K66" s="384">
        <f>(I66-G66)/G66</f>
        <v>-1.027927010003705</v>
      </c>
      <c r="L66" s="460">
        <v>7084</v>
      </c>
      <c r="M66" s="456">
        <v>4942</v>
      </c>
      <c r="N66" s="396">
        <v>14508</v>
      </c>
      <c r="O66" s="456">
        <v>-5545</v>
      </c>
      <c r="P66" s="460">
        <v>-43</v>
      </c>
      <c r="Q66" s="456">
        <v>4612</v>
      </c>
      <c r="R66" s="460">
        <v>3560</v>
      </c>
      <c r="S66" s="384">
        <f t="shared" si="25"/>
        <v>1.5450081264823507E-3</v>
      </c>
      <c r="T66" s="456">
        <v>6793</v>
      </c>
      <c r="U66" s="384">
        <f t="shared" si="30"/>
        <v>2.8224573369763934E-3</v>
      </c>
      <c r="V66" s="384" t="s">
        <v>131</v>
      </c>
      <c r="W66" s="460">
        <f t="shared" si="26"/>
        <v>25109</v>
      </c>
      <c r="X66" s="384">
        <f t="shared" si="20"/>
        <v>2.8875509970325234E-3</v>
      </c>
      <c r="Y66" s="402">
        <f t="shared" si="27"/>
        <v>10802</v>
      </c>
      <c r="Z66" s="407">
        <f t="shared" si="21"/>
        <v>1.1980835100364171E-3</v>
      </c>
      <c r="AA66" s="384">
        <f t="shared" si="28"/>
        <v>-0.56979569078816361</v>
      </c>
    </row>
    <row r="67" spans="1:27" ht="15.75" thickBot="1" x14ac:dyDescent="0.3">
      <c r="A67" s="391" t="s">
        <v>198</v>
      </c>
      <c r="B67" s="395">
        <f>SUM(B61:B66)</f>
        <v>203785</v>
      </c>
      <c r="C67" s="387">
        <f t="shared" si="16"/>
        <v>9.9805418980979249E-2</v>
      </c>
      <c r="D67" s="395">
        <f>SUM(D61:D66)</f>
        <v>201982</v>
      </c>
      <c r="E67" s="387">
        <f t="shared" si="17"/>
        <v>9.5983310721388368E-2</v>
      </c>
      <c r="F67" s="387">
        <f t="shared" si="22"/>
        <v>-8.8475599283558658E-3</v>
      </c>
      <c r="G67" s="395">
        <v>397383</v>
      </c>
      <c r="H67" s="387">
        <f t="shared" si="23"/>
        <v>9.5546211577310872E-2</v>
      </c>
      <c r="I67" s="395">
        <v>400292</v>
      </c>
      <c r="J67" s="387">
        <f t="shared" si="24"/>
        <v>9.2520675999199359E-2</v>
      </c>
      <c r="K67" s="387">
        <f>(I67-G67)/G67</f>
        <v>7.3203936756227623E-3</v>
      </c>
      <c r="L67" s="395">
        <f t="shared" ref="L67:R67" si="31">SUM(L61:L66)</f>
        <v>203785</v>
      </c>
      <c r="M67" s="395">
        <f t="shared" si="31"/>
        <v>201982</v>
      </c>
      <c r="N67" s="395">
        <f t="shared" si="31"/>
        <v>193598</v>
      </c>
      <c r="O67" s="395">
        <f t="shared" si="31"/>
        <v>198310</v>
      </c>
      <c r="P67" s="395">
        <f t="shared" si="31"/>
        <v>208119</v>
      </c>
      <c r="Q67" s="395">
        <f t="shared" si="31"/>
        <v>233534</v>
      </c>
      <c r="R67" s="395">
        <f t="shared" si="31"/>
        <v>169023</v>
      </c>
      <c r="S67" s="387">
        <f t="shared" si="25"/>
        <v>7.3354468697310771E-2</v>
      </c>
      <c r="T67" s="395">
        <f>SUM(T61:T66)</f>
        <v>215470</v>
      </c>
      <c r="U67" s="387">
        <f t="shared" si="30"/>
        <v>8.9526701368806638E-2</v>
      </c>
      <c r="V67" s="387">
        <f>(T67-R67)/R67</f>
        <v>0.27479692112907711</v>
      </c>
      <c r="W67" s="395">
        <f t="shared" si="26"/>
        <v>774525</v>
      </c>
      <c r="X67" s="387">
        <f t="shared" si="20"/>
        <v>8.9070868452611224E-2</v>
      </c>
      <c r="Y67" s="395">
        <f t="shared" si="27"/>
        <v>849296</v>
      </c>
      <c r="Z67" s="387">
        <f t="shared" si="21"/>
        <v>9.4198068204026014E-2</v>
      </c>
      <c r="AA67" s="387">
        <f t="shared" si="28"/>
        <v>9.6537878054291343E-2</v>
      </c>
    </row>
    <row r="68" spans="1:27" ht="15.75" thickBot="1" x14ac:dyDescent="0.3">
      <c r="A68" s="392" t="s">
        <v>51</v>
      </c>
      <c r="B68" s="460">
        <v>2452</v>
      </c>
      <c r="C68" s="384">
        <f t="shared" si="16"/>
        <v>1.2008876381547275E-3</v>
      </c>
      <c r="D68" s="456">
        <v>3241</v>
      </c>
      <c r="E68" s="407">
        <f t="shared" si="17"/>
        <v>1.5401466964780014E-3</v>
      </c>
      <c r="F68" s="384">
        <f t="shared" si="22"/>
        <v>0.32177814029363783</v>
      </c>
      <c r="G68" s="396">
        <v>6844</v>
      </c>
      <c r="H68" s="384">
        <f t="shared" si="23"/>
        <v>1.6455617679546322E-3</v>
      </c>
      <c r="I68" s="402">
        <v>7034</v>
      </c>
      <c r="J68" s="407">
        <f t="shared" si="24"/>
        <v>1.6257892612851824E-3</v>
      </c>
      <c r="K68" s="384">
        <f>(I68-G68)/G68</f>
        <v>2.7761542957334892E-2</v>
      </c>
      <c r="L68" s="460">
        <v>2452</v>
      </c>
      <c r="M68" s="456">
        <v>3241</v>
      </c>
      <c r="N68" s="396">
        <v>4392</v>
      </c>
      <c r="O68" s="402">
        <v>3793</v>
      </c>
      <c r="P68" s="396">
        <v>3436</v>
      </c>
      <c r="Q68" s="402">
        <v>4025</v>
      </c>
      <c r="R68" s="396">
        <v>3661</v>
      </c>
      <c r="S68" s="384">
        <f t="shared" si="25"/>
        <v>1.5888412222055859E-3</v>
      </c>
      <c r="T68" s="402">
        <v>4398</v>
      </c>
      <c r="U68" s="384">
        <f t="shared" si="30"/>
        <v>1.8273468817933429E-3</v>
      </c>
      <c r="V68" s="384">
        <f>(T68-R68)/R68</f>
        <v>0.20131111718109806</v>
      </c>
      <c r="W68" s="396">
        <f t="shared" si="26"/>
        <v>13941</v>
      </c>
      <c r="X68" s="384">
        <f t="shared" si="20"/>
        <v>1.6032238818603055E-3</v>
      </c>
      <c r="Y68" s="402">
        <f t="shared" si="27"/>
        <v>15457</v>
      </c>
      <c r="Z68" s="407">
        <f t="shared" si="21"/>
        <v>1.7143840783774209E-3</v>
      </c>
      <c r="AA68" s="384">
        <f t="shared" si="28"/>
        <v>0.10874399253998995</v>
      </c>
    </row>
    <row r="69" spans="1:27" ht="15.75" thickBot="1" x14ac:dyDescent="0.3">
      <c r="A69" s="392" t="s">
        <v>11</v>
      </c>
      <c r="B69" s="460">
        <v>-82389</v>
      </c>
      <c r="C69" s="384">
        <f t="shared" si="16"/>
        <v>-4.0350706207149201E-2</v>
      </c>
      <c r="D69" s="456">
        <v>-71961</v>
      </c>
      <c r="E69" s="407">
        <f t="shared" si="17"/>
        <v>-3.4196388900109058E-2</v>
      </c>
      <c r="F69" s="384">
        <f t="shared" si="22"/>
        <v>-0.12657029457815971</v>
      </c>
      <c r="G69" s="460">
        <v>-167973</v>
      </c>
      <c r="H69" s="384">
        <f t="shared" si="23"/>
        <v>-4.0387192701438257E-2</v>
      </c>
      <c r="I69" s="456">
        <v>-133356</v>
      </c>
      <c r="J69" s="407">
        <f t="shared" si="24"/>
        <v>-3.0822967405167302E-2</v>
      </c>
      <c r="K69" s="384">
        <f>(I69-G69)/G69</f>
        <v>-0.20608669250415246</v>
      </c>
      <c r="L69" s="460">
        <v>-82389</v>
      </c>
      <c r="M69" s="456">
        <v>-71961</v>
      </c>
      <c r="N69" s="460">
        <v>-85584</v>
      </c>
      <c r="O69" s="456">
        <v>-61395</v>
      </c>
      <c r="P69" s="460">
        <v>-71811</v>
      </c>
      <c r="Q69" s="456">
        <v>-58084</v>
      </c>
      <c r="R69" s="460">
        <v>-67764</v>
      </c>
      <c r="S69" s="384">
        <f t="shared" si="25"/>
        <v>-2.9408969292963487E-2</v>
      </c>
      <c r="T69" s="456">
        <v>-55864</v>
      </c>
      <c r="U69" s="384">
        <f t="shared" si="30"/>
        <v>-2.3211211051501434E-2</v>
      </c>
      <c r="V69" s="384">
        <f>(T69-R69)/R69</f>
        <v>-0.17560946815418216</v>
      </c>
      <c r="W69" s="460">
        <f t="shared" si="26"/>
        <v>-307548</v>
      </c>
      <c r="X69" s="384">
        <f t="shared" si="20"/>
        <v>-3.5368215939916306E-2</v>
      </c>
      <c r="Y69" s="456">
        <f t="shared" si="27"/>
        <v>-247304</v>
      </c>
      <c r="Z69" s="407">
        <f t="shared" si="21"/>
        <v>-2.7429257949087772E-2</v>
      </c>
      <c r="AA69" s="384">
        <f t="shared" si="28"/>
        <v>-0.1958848700040319</v>
      </c>
    </row>
    <row r="70" spans="1:27" ht="15.75" thickBot="1" x14ac:dyDescent="0.3">
      <c r="A70" s="392" t="s">
        <v>272</v>
      </c>
      <c r="B70" s="460">
        <v>54235</v>
      </c>
      <c r="C70" s="384">
        <f t="shared" si="16"/>
        <v>2.6562047738711927E-2</v>
      </c>
      <c r="D70" s="456">
        <v>32336</v>
      </c>
      <c r="E70" s="407">
        <f t="shared" si="17"/>
        <v>1.5366301628297642E-2</v>
      </c>
      <c r="F70" s="384">
        <f t="shared" si="22"/>
        <v>-0.40377984696229374</v>
      </c>
      <c r="G70" s="396">
        <v>54321</v>
      </c>
      <c r="H70" s="384">
        <f t="shared" si="23"/>
        <v>1.3060865107694853E-2</v>
      </c>
      <c r="I70" s="456">
        <v>58559</v>
      </c>
      <c r="J70" s="407">
        <f t="shared" si="24"/>
        <v>1.3534915176513932E-2</v>
      </c>
      <c r="K70" s="384">
        <f>(I70-G70)/G70</f>
        <v>7.8017709541429656E-2</v>
      </c>
      <c r="L70" s="460">
        <v>54235</v>
      </c>
      <c r="M70" s="456">
        <v>32336</v>
      </c>
      <c r="N70" s="396">
        <v>86</v>
      </c>
      <c r="O70" s="402">
        <v>26223</v>
      </c>
      <c r="P70" s="396">
        <v>0</v>
      </c>
      <c r="Q70" s="456">
        <v>0</v>
      </c>
      <c r="R70" s="396">
        <v>65</v>
      </c>
      <c r="S70" s="384">
        <f t="shared" si="25"/>
        <v>2.8209418039705842E-5</v>
      </c>
      <c r="T70" s="456">
        <v>292</v>
      </c>
      <c r="U70" s="384">
        <f t="shared" si="30"/>
        <v>1.2132453148787086E-4</v>
      </c>
      <c r="V70" s="384" t="s">
        <v>131</v>
      </c>
      <c r="W70" s="396">
        <f t="shared" si="26"/>
        <v>54386</v>
      </c>
      <c r="X70" s="384">
        <f t="shared" si="20"/>
        <v>6.2544246495125581E-3</v>
      </c>
      <c r="Y70" s="456">
        <f t="shared" si="27"/>
        <v>58851</v>
      </c>
      <c r="Z70" s="407">
        <f t="shared" si="21"/>
        <v>6.5273479586329562E-3</v>
      </c>
      <c r="AA70" s="384">
        <f t="shared" si="28"/>
        <v>8.2098334130107017E-2</v>
      </c>
    </row>
    <row r="71" spans="1:27" ht="15.75" thickBot="1" x14ac:dyDescent="0.3">
      <c r="A71" s="392" t="s">
        <v>200</v>
      </c>
      <c r="B71" s="460">
        <v>-3118</v>
      </c>
      <c r="C71" s="384">
        <f t="shared" si="16"/>
        <v>-1.5270667437872921E-3</v>
      </c>
      <c r="D71" s="456">
        <v>-2666</v>
      </c>
      <c r="E71" s="407">
        <f t="shared" si="17"/>
        <v>-1.2669025278649652E-3</v>
      </c>
      <c r="F71" s="384">
        <f t="shared" si="22"/>
        <v>-0.14496472097498397</v>
      </c>
      <c r="G71" s="460">
        <v>-4809</v>
      </c>
      <c r="H71" s="384">
        <f t="shared" si="23"/>
        <v>-1.1562692200604654E-3</v>
      </c>
      <c r="I71" s="456">
        <v>10585</v>
      </c>
      <c r="J71" s="407">
        <f t="shared" si="24"/>
        <v>2.4465424126675658E-3</v>
      </c>
      <c r="K71" s="384" t="s">
        <v>131</v>
      </c>
      <c r="L71" s="460">
        <v>-3118</v>
      </c>
      <c r="M71" s="456">
        <v>-2666</v>
      </c>
      <c r="N71" s="460">
        <v>-1691</v>
      </c>
      <c r="O71" s="402">
        <v>13251</v>
      </c>
      <c r="P71" s="460">
        <v>-10725</v>
      </c>
      <c r="Q71" s="456">
        <v>4505</v>
      </c>
      <c r="R71" s="460">
        <v>-5867</v>
      </c>
      <c r="S71" s="384">
        <f t="shared" si="25"/>
        <v>-2.5462254713685259E-3</v>
      </c>
      <c r="T71" s="456">
        <v>8023</v>
      </c>
      <c r="U71" s="384">
        <f t="shared" si="30"/>
        <v>3.3335161511205066E-3</v>
      </c>
      <c r="V71" s="384">
        <f>(T71-R71)/R71</f>
        <v>-2.3674791205045169</v>
      </c>
      <c r="W71" s="460">
        <f t="shared" si="26"/>
        <v>-21401</v>
      </c>
      <c r="X71" s="384">
        <f t="shared" si="20"/>
        <v>-2.4611286346526359E-3</v>
      </c>
      <c r="Y71" s="456">
        <f t="shared" si="27"/>
        <v>23113</v>
      </c>
      <c r="Z71" s="407">
        <f t="shared" si="21"/>
        <v>2.5635349164480382E-3</v>
      </c>
      <c r="AA71" s="384" t="s">
        <v>131</v>
      </c>
    </row>
    <row r="72" spans="1:27" ht="15.75" thickBot="1" x14ac:dyDescent="0.3">
      <c r="A72" s="392" t="s">
        <v>275</v>
      </c>
      <c r="B72" s="460">
        <v>-1600</v>
      </c>
      <c r="C72" s="384">
        <f t="shared" si="16"/>
        <v>-7.8361346698514029E-4</v>
      </c>
      <c r="D72" s="456">
        <v>-2327</v>
      </c>
      <c r="E72" s="407">
        <f t="shared" si="17"/>
        <v>-1.1058072701957142E-3</v>
      </c>
      <c r="F72" s="384">
        <f t="shared" si="22"/>
        <v>0.45437499999999997</v>
      </c>
      <c r="G72" s="464">
        <v>1216</v>
      </c>
      <c r="H72" s="384">
        <f t="shared" si="23"/>
        <v>2.9237333574413102E-4</v>
      </c>
      <c r="I72" s="456">
        <v>-704</v>
      </c>
      <c r="J72" s="407">
        <f t="shared" si="24"/>
        <v>-1.6271760590627927E-4</v>
      </c>
      <c r="K72" s="384">
        <f t="shared" ref="K72:K79" si="32">(I72-G72)/G72</f>
        <v>-1.5789473684210527</v>
      </c>
      <c r="L72" s="460">
        <v>-1600</v>
      </c>
      <c r="M72" s="456">
        <v>-2327</v>
      </c>
      <c r="N72" s="464">
        <v>2816</v>
      </c>
      <c r="O72" s="465">
        <v>1623</v>
      </c>
      <c r="P72" s="460">
        <v>-1075</v>
      </c>
      <c r="Q72" s="456">
        <v>639</v>
      </c>
      <c r="R72" s="460">
        <v>5853</v>
      </c>
      <c r="S72" s="384">
        <f t="shared" si="25"/>
        <v>2.5401495967138196E-3</v>
      </c>
      <c r="T72" s="456">
        <v>-335</v>
      </c>
      <c r="U72" s="384">
        <f t="shared" si="30"/>
        <v>-1.3919081523437241E-4</v>
      </c>
      <c r="V72" s="384">
        <f>(T72-R72)/R72</f>
        <v>-1.0572356056723049</v>
      </c>
      <c r="W72" s="460">
        <f t="shared" si="26"/>
        <v>5994</v>
      </c>
      <c r="X72" s="384">
        <f t="shared" si="20"/>
        <v>6.8931381879855618E-4</v>
      </c>
      <c r="Y72" s="456">
        <f t="shared" si="27"/>
        <v>-400</v>
      </c>
      <c r="Z72" s="407">
        <f t="shared" si="21"/>
        <v>-4.4365247548099139E-5</v>
      </c>
      <c r="AA72" s="384">
        <f t="shared" si="28"/>
        <v>-1.0667334000667335</v>
      </c>
    </row>
    <row r="73" spans="1:27" ht="15.75" thickBot="1" x14ac:dyDescent="0.3">
      <c r="A73" s="392" t="s">
        <v>286</v>
      </c>
      <c r="B73" s="463">
        <v>0</v>
      </c>
      <c r="C73" s="384">
        <f t="shared" si="16"/>
        <v>0</v>
      </c>
      <c r="D73" s="404">
        <v>0</v>
      </c>
      <c r="E73" s="407">
        <f t="shared" si="17"/>
        <v>0</v>
      </c>
      <c r="F73" s="384" t="s">
        <v>131</v>
      </c>
      <c r="G73" s="464">
        <v>3313</v>
      </c>
      <c r="H73" s="384">
        <f t="shared" si="23"/>
        <v>7.9657307674367269E-4</v>
      </c>
      <c r="I73" s="456">
        <v>-2755</v>
      </c>
      <c r="J73" s="407">
        <f t="shared" si="24"/>
        <v>-6.3677131288607876E-4</v>
      </c>
      <c r="K73" s="384">
        <f t="shared" si="32"/>
        <v>-1.8315725928161788</v>
      </c>
      <c r="L73" s="463">
        <v>0</v>
      </c>
      <c r="M73" s="404">
        <v>0</v>
      </c>
      <c r="N73" s="464">
        <v>3313</v>
      </c>
      <c r="O73" s="456">
        <v>-2755</v>
      </c>
      <c r="P73" s="396">
        <v>0</v>
      </c>
      <c r="Q73" s="456">
        <v>8793</v>
      </c>
      <c r="R73" s="396">
        <v>-23</v>
      </c>
      <c r="S73" s="384">
        <f t="shared" si="25"/>
        <v>-9.9817940755882208E-6</v>
      </c>
      <c r="T73" s="456">
        <v>-836</v>
      </c>
      <c r="U73" s="384">
        <f t="shared" si="30"/>
        <v>-3.473537956296577E-4</v>
      </c>
      <c r="V73" s="384" t="s">
        <v>131</v>
      </c>
      <c r="W73" s="396">
        <f t="shared" si="26"/>
        <v>3290</v>
      </c>
      <c r="X73" s="384">
        <f t="shared" si="20"/>
        <v>3.7835209607061223E-4</v>
      </c>
      <c r="Y73" s="456">
        <f t="shared" si="27"/>
        <v>5202</v>
      </c>
      <c r="Z73" s="407">
        <f t="shared" si="21"/>
        <v>5.7697004436302931E-4</v>
      </c>
      <c r="AA73" s="384">
        <f t="shared" si="28"/>
        <v>0.5811550151975684</v>
      </c>
    </row>
    <row r="74" spans="1:27" ht="15.75" thickBot="1" x14ac:dyDescent="0.3">
      <c r="A74" s="393" t="s">
        <v>204</v>
      </c>
      <c r="B74" s="397">
        <f>SUM(B67:B73)</f>
        <v>173365</v>
      </c>
      <c r="C74" s="386">
        <f t="shared" si="16"/>
        <v>8.4906967939924277E-2</v>
      </c>
      <c r="D74" s="403">
        <f>SUM(D67:D73)</f>
        <v>160605</v>
      </c>
      <c r="E74" s="408">
        <f t="shared" si="17"/>
        <v>7.6320660347994271E-2</v>
      </c>
      <c r="F74" s="386">
        <f t="shared" si="22"/>
        <v>-7.3601938107461143E-2</v>
      </c>
      <c r="G74" s="397">
        <v>290295</v>
      </c>
      <c r="H74" s="386">
        <f t="shared" si="23"/>
        <v>6.9798122943949437E-2</v>
      </c>
      <c r="I74" s="403">
        <v>339655</v>
      </c>
      <c r="J74" s="408">
        <f t="shared" si="24"/>
        <v>7.8505466525706377E-2</v>
      </c>
      <c r="K74" s="386">
        <f t="shared" si="32"/>
        <v>0.17003393100122288</v>
      </c>
      <c r="L74" s="397">
        <f t="shared" ref="L74:R74" si="33">SUM(L67:L73)</f>
        <v>173365</v>
      </c>
      <c r="M74" s="403">
        <f t="shared" si="33"/>
        <v>160605</v>
      </c>
      <c r="N74" s="397">
        <f t="shared" si="33"/>
        <v>116930</v>
      </c>
      <c r="O74" s="403">
        <f t="shared" si="33"/>
        <v>179050</v>
      </c>
      <c r="P74" s="397">
        <f t="shared" si="33"/>
        <v>127944</v>
      </c>
      <c r="Q74" s="403">
        <f t="shared" si="33"/>
        <v>193412</v>
      </c>
      <c r="R74" s="397">
        <f t="shared" si="33"/>
        <v>104948</v>
      </c>
      <c r="S74" s="386">
        <f t="shared" si="25"/>
        <v>4.5546492375862287E-2</v>
      </c>
      <c r="T74" s="403">
        <f>SUM(T67:T73)</f>
        <v>171148</v>
      </c>
      <c r="U74" s="386">
        <f t="shared" si="30"/>
        <v>7.1111133270842883E-2</v>
      </c>
      <c r="V74" s="386">
        <f t="shared" ref="V74:V79" si="34">(T74-R74)/R74</f>
        <v>0.63078858101154855</v>
      </c>
      <c r="W74" s="397">
        <f t="shared" si="26"/>
        <v>523187</v>
      </c>
      <c r="X74" s="386">
        <f t="shared" si="20"/>
        <v>6.0166838324284315E-2</v>
      </c>
      <c r="Y74" s="403">
        <f t="shared" si="27"/>
        <v>704215</v>
      </c>
      <c r="Z74" s="408">
        <f t="shared" si="21"/>
        <v>7.8106682005211592E-2</v>
      </c>
      <c r="AA74" s="386">
        <f t="shared" si="28"/>
        <v>0.34601012639840056</v>
      </c>
    </row>
    <row r="75" spans="1:27" ht="15.75" thickBot="1" x14ac:dyDescent="0.3">
      <c r="A75" s="392" t="s">
        <v>205</v>
      </c>
      <c r="B75" s="460">
        <v>-40723</v>
      </c>
      <c r="C75" s="384">
        <f t="shared" si="16"/>
        <v>-1.9944432010022415E-2</v>
      </c>
      <c r="D75" s="456">
        <v>-44069</v>
      </c>
      <c r="E75" s="407">
        <f t="shared" si="17"/>
        <v>-2.094190828975287E-2</v>
      </c>
      <c r="F75" s="384">
        <f t="shared" si="22"/>
        <v>8.2164869975198285E-2</v>
      </c>
      <c r="G75" s="460">
        <v>-70437</v>
      </c>
      <c r="H75" s="384">
        <f t="shared" si="23"/>
        <v>-1.6935773560698485E-2</v>
      </c>
      <c r="I75" s="456">
        <v>-87429</v>
      </c>
      <c r="J75" s="407">
        <f t="shared" si="24"/>
        <v>-2.0207723816448992E-2</v>
      </c>
      <c r="K75" s="384">
        <f t="shared" si="32"/>
        <v>0.24123684995102007</v>
      </c>
      <c r="L75" s="460">
        <v>-40723</v>
      </c>
      <c r="M75" s="456">
        <v>-44069</v>
      </c>
      <c r="N75" s="460">
        <v>-29714</v>
      </c>
      <c r="O75" s="456">
        <v>-43360</v>
      </c>
      <c r="P75" s="460">
        <v>-49440</v>
      </c>
      <c r="Q75" s="456">
        <v>-46946</v>
      </c>
      <c r="R75" s="460">
        <v>-25079</v>
      </c>
      <c r="S75" s="384">
        <f t="shared" si="25"/>
        <v>-1.0884061461812042E-2</v>
      </c>
      <c r="T75" s="456">
        <v>-30048</v>
      </c>
      <c r="U75" s="384">
        <f t="shared" si="30"/>
        <v>-1.2484792884066931E-2</v>
      </c>
      <c r="V75" s="384">
        <f t="shared" si="34"/>
        <v>0.19813389688584074</v>
      </c>
      <c r="W75" s="460">
        <f t="shared" si="26"/>
        <v>-144956</v>
      </c>
      <c r="X75" s="384">
        <f t="shared" si="20"/>
        <v>-1.6670032351979228E-2</v>
      </c>
      <c r="Y75" s="456">
        <f t="shared" si="27"/>
        <v>-164423</v>
      </c>
      <c r="Z75" s="407">
        <f t="shared" si="21"/>
        <v>-1.823666774400276E-2</v>
      </c>
      <c r="AA75" s="384">
        <f t="shared" si="28"/>
        <v>0.13429592428047132</v>
      </c>
    </row>
    <row r="76" spans="1:27" ht="15.75" thickBot="1" x14ac:dyDescent="0.3">
      <c r="A76" s="394" t="s">
        <v>206</v>
      </c>
      <c r="B76" s="462">
        <v>8078</v>
      </c>
      <c r="C76" s="385">
        <f t="shared" si="16"/>
        <v>3.9562684914412269E-3</v>
      </c>
      <c r="D76" s="459">
        <v>5479</v>
      </c>
      <c r="E76" s="409">
        <f t="shared" si="17"/>
        <v>2.6036605214449153E-3</v>
      </c>
      <c r="F76" s="385">
        <f t="shared" si="22"/>
        <v>-0.32173805397375588</v>
      </c>
      <c r="G76" s="399">
        <v>18677</v>
      </c>
      <c r="H76" s="385">
        <f t="shared" si="23"/>
        <v>4.4906717036950119E-3</v>
      </c>
      <c r="I76" s="456">
        <v>-5112</v>
      </c>
      <c r="J76" s="409">
        <f t="shared" si="24"/>
        <v>-1.1815517065240052E-3</v>
      </c>
      <c r="K76" s="385">
        <f t="shared" si="32"/>
        <v>-1.2737056272420624</v>
      </c>
      <c r="L76" s="462">
        <v>8078</v>
      </c>
      <c r="M76" s="459">
        <v>5479</v>
      </c>
      <c r="N76" s="399">
        <v>10599</v>
      </c>
      <c r="O76" s="456">
        <v>-10591</v>
      </c>
      <c r="P76" s="399">
        <v>11262</v>
      </c>
      <c r="Q76" s="456">
        <v>-4183</v>
      </c>
      <c r="R76" s="399">
        <v>17240</v>
      </c>
      <c r="S76" s="385">
        <f t="shared" si="25"/>
        <v>7.4820056462235182E-3</v>
      </c>
      <c r="T76" s="456">
        <v>-15606</v>
      </c>
      <c r="U76" s="385">
        <f t="shared" si="30"/>
        <v>-6.4842145150675098E-3</v>
      </c>
      <c r="V76" s="385">
        <f t="shared" si="34"/>
        <v>-1.9052204176334107</v>
      </c>
      <c r="W76" s="399">
        <f t="shared" si="26"/>
        <v>47179</v>
      </c>
      <c r="X76" s="385">
        <f t="shared" si="20"/>
        <v>5.425615057907421E-3</v>
      </c>
      <c r="Y76" s="456">
        <f t="shared" si="27"/>
        <v>-24901</v>
      </c>
      <c r="Z76" s="409">
        <f t="shared" si="21"/>
        <v>-2.7618475729880416E-3</v>
      </c>
      <c r="AA76" s="385">
        <f t="shared" si="28"/>
        <v>-1.5277983848746264</v>
      </c>
    </row>
    <row r="77" spans="1:27" ht="15.75" thickBot="1" x14ac:dyDescent="0.3">
      <c r="A77" s="393" t="s">
        <v>207</v>
      </c>
      <c r="B77" s="397">
        <f>SUM(B74:B76)</f>
        <v>140720</v>
      </c>
      <c r="C77" s="386">
        <f t="shared" si="16"/>
        <v>6.8918804421343086E-2</v>
      </c>
      <c r="D77" s="403">
        <f>SUM(D74:D76)</f>
        <v>122015</v>
      </c>
      <c r="E77" s="408">
        <f t="shared" si="17"/>
        <v>5.7982412579686317E-2</v>
      </c>
      <c r="F77" s="386">
        <f t="shared" si="22"/>
        <v>-0.13292353610005686</v>
      </c>
      <c r="G77" s="397">
        <v>238535</v>
      </c>
      <c r="H77" s="386">
        <f t="shared" si="23"/>
        <v>5.7353021086945961E-2</v>
      </c>
      <c r="I77" s="403">
        <v>247114</v>
      </c>
      <c r="J77" s="408">
        <f t="shared" si="24"/>
        <v>5.711619100273338E-2</v>
      </c>
      <c r="K77" s="386">
        <f t="shared" si="32"/>
        <v>3.5965371957993583E-2</v>
      </c>
      <c r="L77" s="397">
        <f t="shared" ref="L77:R77" si="35">SUM(L74:L76)</f>
        <v>140720</v>
      </c>
      <c r="M77" s="403">
        <f t="shared" si="35"/>
        <v>122015</v>
      </c>
      <c r="N77" s="397">
        <f t="shared" si="35"/>
        <v>97815</v>
      </c>
      <c r="O77" s="403">
        <f t="shared" si="35"/>
        <v>125099</v>
      </c>
      <c r="P77" s="397">
        <f t="shared" si="35"/>
        <v>89766</v>
      </c>
      <c r="Q77" s="403">
        <f t="shared" si="35"/>
        <v>142283</v>
      </c>
      <c r="R77" s="397">
        <f t="shared" si="35"/>
        <v>97109</v>
      </c>
      <c r="S77" s="386">
        <f t="shared" si="25"/>
        <v>4.2144436560273758E-2</v>
      </c>
      <c r="T77" s="403">
        <f>SUM(T74:T76)</f>
        <v>125494</v>
      </c>
      <c r="U77" s="386">
        <f t="shared" si="30"/>
        <v>5.2142125871708446E-2</v>
      </c>
      <c r="V77" s="386">
        <f t="shared" si="34"/>
        <v>0.29230040469987334</v>
      </c>
      <c r="W77" s="397">
        <f t="shared" si="26"/>
        <v>425410</v>
      </c>
      <c r="X77" s="386">
        <f t="shared" si="20"/>
        <v>4.8922421030212507E-2</v>
      </c>
      <c r="Y77" s="403">
        <f t="shared" si="27"/>
        <v>514891</v>
      </c>
      <c r="Z77" s="408">
        <f t="shared" si="21"/>
        <v>5.7108166688220781E-2</v>
      </c>
      <c r="AA77" s="386">
        <f t="shared" si="28"/>
        <v>0.21034061258550574</v>
      </c>
    </row>
    <row r="78" spans="1:27" ht="15.75" thickBot="1" x14ac:dyDescent="0.3">
      <c r="A78" s="392" t="s">
        <v>208</v>
      </c>
      <c r="B78" s="460">
        <v>-892</v>
      </c>
      <c r="C78" s="384">
        <f t="shared" si="16"/>
        <v>-4.3686450784421571E-4</v>
      </c>
      <c r="D78" s="456">
        <v>-226</v>
      </c>
      <c r="E78" s="407">
        <f t="shared" si="17"/>
        <v>-1.0739683844616734E-4</v>
      </c>
      <c r="F78" s="467">
        <f t="shared" si="22"/>
        <v>-0.74663677130044848</v>
      </c>
      <c r="G78" s="460">
        <v>-1034</v>
      </c>
      <c r="H78" s="384">
        <f t="shared" si="23"/>
        <v>-2.4861351082190091E-4</v>
      </c>
      <c r="I78" s="456">
        <v>-843</v>
      </c>
      <c r="J78" s="407">
        <f t="shared" si="24"/>
        <v>-1.9484508775425205E-4</v>
      </c>
      <c r="K78" s="467">
        <f t="shared" si="32"/>
        <v>-0.18471953578336556</v>
      </c>
      <c r="L78" s="460">
        <v>-892</v>
      </c>
      <c r="M78" s="456">
        <v>-226</v>
      </c>
      <c r="N78" s="460">
        <v>-142</v>
      </c>
      <c r="O78" s="456">
        <v>-617</v>
      </c>
      <c r="P78" s="460">
        <v>-141</v>
      </c>
      <c r="Q78" s="456">
        <v>-423</v>
      </c>
      <c r="R78" s="460">
        <v>105</v>
      </c>
      <c r="S78" s="384">
        <f t="shared" si="25"/>
        <v>4.5569059910294048E-5</v>
      </c>
      <c r="T78" s="456">
        <v>-4869</v>
      </c>
      <c r="U78" s="384">
        <f t="shared" si="30"/>
        <v>-2.0230450130631619E-3</v>
      </c>
      <c r="V78" s="467">
        <f t="shared" si="34"/>
        <v>-47.371428571428574</v>
      </c>
      <c r="W78" s="460">
        <f t="shared" si="26"/>
        <v>-1070</v>
      </c>
      <c r="X78" s="384">
        <f t="shared" si="20"/>
        <v>-1.2305068170077662E-4</v>
      </c>
      <c r="Y78" s="456">
        <f t="shared" si="27"/>
        <v>-6135</v>
      </c>
      <c r="Z78" s="407">
        <f t="shared" si="21"/>
        <v>-6.8045198426897058E-4</v>
      </c>
      <c r="AA78" s="467" t="s">
        <v>131</v>
      </c>
    </row>
    <row r="79" spans="1:27" ht="15.75" thickBot="1" x14ac:dyDescent="0.3">
      <c r="A79" s="391" t="s">
        <v>209</v>
      </c>
      <c r="B79" s="395">
        <f>SUM(B77:B78)</f>
        <v>139828</v>
      </c>
      <c r="C79" s="387">
        <f t="shared" si="16"/>
        <v>6.8481939913498865E-2</v>
      </c>
      <c r="D79" s="395">
        <f>SUM(D77:D78)</f>
        <v>121789</v>
      </c>
      <c r="E79" s="387">
        <f t="shared" si="17"/>
        <v>5.7875015741240148E-2</v>
      </c>
      <c r="F79" s="387">
        <f t="shared" si="22"/>
        <v>-0.12900849615241583</v>
      </c>
      <c r="G79" s="395">
        <v>237501</v>
      </c>
      <c r="H79" s="387">
        <f t="shared" si="23"/>
        <v>5.7104407576124061E-2</v>
      </c>
      <c r="I79" s="395">
        <v>246271</v>
      </c>
      <c r="J79" s="387">
        <f t="shared" si="24"/>
        <v>5.6921345914979125E-2</v>
      </c>
      <c r="K79" s="387">
        <f t="shared" si="32"/>
        <v>3.6926160310903955E-2</v>
      </c>
      <c r="L79" s="395">
        <f t="shared" ref="L79:R79" si="36">SUM(L77:L78)</f>
        <v>139828</v>
      </c>
      <c r="M79" s="395">
        <f t="shared" si="36"/>
        <v>121789</v>
      </c>
      <c r="N79" s="395">
        <f t="shared" si="36"/>
        <v>97673</v>
      </c>
      <c r="O79" s="395">
        <f t="shared" si="36"/>
        <v>124482</v>
      </c>
      <c r="P79" s="395">
        <f t="shared" si="36"/>
        <v>89625</v>
      </c>
      <c r="Q79" s="395">
        <f t="shared" si="36"/>
        <v>141860</v>
      </c>
      <c r="R79" s="395">
        <f t="shared" si="36"/>
        <v>97214</v>
      </c>
      <c r="S79" s="387">
        <f t="shared" si="25"/>
        <v>4.2190005620184053E-2</v>
      </c>
      <c r="T79" s="395">
        <f>SUM(T77:T78)</f>
        <v>120625</v>
      </c>
      <c r="U79" s="387">
        <f t="shared" si="30"/>
        <v>5.011908085864529E-2</v>
      </c>
      <c r="V79" s="387">
        <f t="shared" si="34"/>
        <v>0.24081922356862182</v>
      </c>
      <c r="W79" s="395">
        <f t="shared" si="26"/>
        <v>424340</v>
      </c>
      <c r="X79" s="387">
        <f t="shared" si="20"/>
        <v>4.8799370348511728E-2</v>
      </c>
      <c r="Y79" s="395">
        <f t="shared" si="27"/>
        <v>508756</v>
      </c>
      <c r="Z79" s="387">
        <f t="shared" si="21"/>
        <v>5.642771470395181E-2</v>
      </c>
      <c r="AA79" s="387">
        <f t="shared" si="28"/>
        <v>0.19893481642079464</v>
      </c>
    </row>
    <row r="80" spans="1:27" x14ac:dyDescent="0.25">
      <c r="A80" s="289"/>
      <c r="B80" s="291"/>
      <c r="C80" s="292"/>
      <c r="D80" s="294"/>
      <c r="E80" s="292"/>
      <c r="F80" s="292"/>
      <c r="L80" s="291"/>
      <c r="M80" s="294"/>
      <c r="N80" s="263"/>
      <c r="O80" s="263"/>
      <c r="P80" s="263"/>
      <c r="R80" s="263"/>
      <c r="W80" s="263"/>
    </row>
    <row r="81" spans="1:27" x14ac:dyDescent="0.25">
      <c r="A81" s="295" t="s">
        <v>210</v>
      </c>
      <c r="B81" s="297"/>
      <c r="C81" s="298"/>
      <c r="D81" s="300"/>
      <c r="E81" s="298"/>
      <c r="F81" s="298"/>
      <c r="L81" s="297"/>
      <c r="M81" s="300"/>
    </row>
    <row r="82" spans="1:27" ht="15.75" thickBot="1" x14ac:dyDescent="0.3">
      <c r="A82" s="301" t="s">
        <v>211</v>
      </c>
      <c r="B82" s="274">
        <v>139150</v>
      </c>
      <c r="C82" s="384">
        <f>+B82/$B$59</f>
        <v>6.8149883706863909E-2</v>
      </c>
      <c r="D82" s="373">
        <v>120867</v>
      </c>
      <c r="E82" s="366">
        <f>+D82/$D$59</f>
        <v>5.7436874656959763E-2</v>
      </c>
      <c r="F82" s="384">
        <f>(D82-B82)/B82</f>
        <v>-0.13139058569888609</v>
      </c>
      <c r="G82" s="274">
        <v>235679</v>
      </c>
      <c r="H82" s="384">
        <f t="shared" si="23"/>
        <v>5.6666328449704817E-2</v>
      </c>
      <c r="I82" s="373">
        <v>245137</v>
      </c>
      <c r="J82" s="366">
        <f t="shared" si="24"/>
        <v>5.6659241135010772E-2</v>
      </c>
      <c r="K82" s="384">
        <f>(I82-G82)/G82</f>
        <v>4.01308559523759E-2</v>
      </c>
      <c r="L82" s="274">
        <v>139150</v>
      </c>
      <c r="M82" s="373">
        <v>120867</v>
      </c>
      <c r="N82" s="274">
        <v>96529</v>
      </c>
      <c r="O82" s="373">
        <v>124270</v>
      </c>
      <c r="P82" s="274">
        <v>88579</v>
      </c>
      <c r="Q82" s="373">
        <v>140732</v>
      </c>
      <c r="R82" s="274">
        <v>95949</v>
      </c>
      <c r="S82" s="384">
        <f t="shared" si="25"/>
        <v>4.1641006946026703E-2</v>
      </c>
      <c r="T82" s="373">
        <v>119439</v>
      </c>
      <c r="U82" s="384">
        <f>+T82/$T$59</f>
        <v>4.9626303823218525E-2</v>
      </c>
      <c r="V82" s="384">
        <f>(T82-R82)/R82</f>
        <v>0.24481755932839322</v>
      </c>
      <c r="W82" s="274">
        <f t="shared" si="26"/>
        <v>420207</v>
      </c>
      <c r="X82" s="384">
        <f>W82/$W$59</f>
        <v>4.8324072715362841E-2</v>
      </c>
      <c r="Y82" s="373">
        <f t="shared" si="27"/>
        <v>505308</v>
      </c>
      <c r="Z82" s="366">
        <f>+Y82/$Y$59</f>
        <v>5.6045286270087195E-2</v>
      </c>
      <c r="AA82" s="384">
        <f t="shared" si="28"/>
        <v>0.20252161434721458</v>
      </c>
    </row>
    <row r="83" spans="1:27" ht="15.75" thickBot="1" x14ac:dyDescent="0.3">
      <c r="A83" s="303" t="s">
        <v>188</v>
      </c>
      <c r="B83" s="304">
        <v>678</v>
      </c>
      <c r="C83" s="385">
        <f>+B83/$B$59</f>
        <v>3.3205620663495319E-4</v>
      </c>
      <c r="D83" s="374">
        <v>922</v>
      </c>
      <c r="E83" s="368">
        <f>+D83/$D$59</f>
        <v>4.3814108428038179E-4</v>
      </c>
      <c r="F83" s="385">
        <f>(D83-B83)/B83</f>
        <v>0.35988200589970504</v>
      </c>
      <c r="G83" s="319">
        <v>1822</v>
      </c>
      <c r="H83" s="385">
        <f t="shared" si="23"/>
        <v>4.3807912641924895E-4</v>
      </c>
      <c r="I83" s="466">
        <v>1134</v>
      </c>
      <c r="J83" s="368">
        <f t="shared" si="24"/>
        <v>2.6210477996835329E-4</v>
      </c>
      <c r="K83" s="385">
        <f>(I83-G83)/G83</f>
        <v>-0.37760702524698136</v>
      </c>
      <c r="L83" s="304">
        <v>678</v>
      </c>
      <c r="M83" s="374">
        <v>922</v>
      </c>
      <c r="N83" s="304">
        <v>1144</v>
      </c>
      <c r="O83" s="374">
        <v>212</v>
      </c>
      <c r="P83" s="304">
        <v>1046</v>
      </c>
      <c r="Q83" s="466">
        <v>1128</v>
      </c>
      <c r="R83" s="437">
        <v>1265</v>
      </c>
      <c r="S83" s="385">
        <f t="shared" si="25"/>
        <v>5.489986741573521E-4</v>
      </c>
      <c r="T83" s="466">
        <v>1186</v>
      </c>
      <c r="U83" s="385">
        <f>+T83/$T$59</f>
        <v>4.9277703542676321E-4</v>
      </c>
      <c r="V83" s="385">
        <f>(T83-R83)/R83</f>
        <v>-6.2450592885375494E-2</v>
      </c>
      <c r="W83" s="437">
        <f t="shared" si="26"/>
        <v>4133</v>
      </c>
      <c r="X83" s="385">
        <f>W83/$W$59</f>
        <v>4.7529763314888766E-4</v>
      </c>
      <c r="Y83" s="466">
        <f t="shared" si="27"/>
        <v>3448</v>
      </c>
      <c r="Z83" s="368">
        <f>+Y83/$Y$59</f>
        <v>3.8242843386461457E-4</v>
      </c>
      <c r="AA83" s="385">
        <f t="shared" si="28"/>
        <v>-0.1657391725139124</v>
      </c>
    </row>
    <row r="84" spans="1:27" ht="15.75" thickBot="1" x14ac:dyDescent="0.3">
      <c r="A84" s="306" t="s">
        <v>212</v>
      </c>
      <c r="B84" s="278">
        <f>SUM(B82:B83)</f>
        <v>139828</v>
      </c>
      <c r="C84" s="386">
        <f>+B84/$B$59</f>
        <v>6.8481939913498865E-2</v>
      </c>
      <c r="D84" s="375">
        <f>SUM(D82:D83)</f>
        <v>121789</v>
      </c>
      <c r="E84" s="367">
        <f>+D84/$D$59</f>
        <v>5.7875015741240148E-2</v>
      </c>
      <c r="F84" s="386">
        <f>(D84-B84)/B84</f>
        <v>-0.12900849615241583</v>
      </c>
      <c r="G84" s="278">
        <v>237501</v>
      </c>
      <c r="H84" s="386">
        <f t="shared" si="23"/>
        <v>5.7104407576124061E-2</v>
      </c>
      <c r="I84" s="375">
        <v>246271</v>
      </c>
      <c r="J84" s="367">
        <f t="shared" si="24"/>
        <v>5.6921345914979125E-2</v>
      </c>
      <c r="K84" s="386">
        <f>(I84-G84)/G84</f>
        <v>3.6926160310903955E-2</v>
      </c>
      <c r="L84" s="278">
        <f t="shared" ref="L84:R84" si="37">SUM(L82:L83)</f>
        <v>139828</v>
      </c>
      <c r="M84" s="375">
        <f t="shared" si="37"/>
        <v>121789</v>
      </c>
      <c r="N84" s="278">
        <f t="shared" si="37"/>
        <v>97673</v>
      </c>
      <c r="O84" s="375">
        <f t="shared" si="37"/>
        <v>124482</v>
      </c>
      <c r="P84" s="278">
        <f t="shared" si="37"/>
        <v>89625</v>
      </c>
      <c r="Q84" s="375">
        <f t="shared" si="37"/>
        <v>141860</v>
      </c>
      <c r="R84" s="278">
        <f t="shared" si="37"/>
        <v>97214</v>
      </c>
      <c r="S84" s="386">
        <f t="shared" si="25"/>
        <v>4.2190005620184053E-2</v>
      </c>
      <c r="T84" s="375">
        <f>SUM(T82:T83)</f>
        <v>120625</v>
      </c>
      <c r="U84" s="386">
        <f>+T84/$T$59</f>
        <v>5.011908085864529E-2</v>
      </c>
      <c r="V84" s="386">
        <f>(T84-R84)/R84</f>
        <v>0.24081922356862182</v>
      </c>
      <c r="W84" s="278">
        <f t="shared" si="26"/>
        <v>424340</v>
      </c>
      <c r="X84" s="386">
        <f>W84/$W$59</f>
        <v>4.8799370348511728E-2</v>
      </c>
      <c r="Y84" s="375">
        <f t="shared" si="27"/>
        <v>508756</v>
      </c>
      <c r="Z84" s="367">
        <f>+Y84/$Y$59</f>
        <v>5.642771470395181E-2</v>
      </c>
      <c r="AA84" s="386">
        <f t="shared" si="28"/>
        <v>0.19893481642079464</v>
      </c>
    </row>
    <row r="85" spans="1:27" ht="15.75" thickBot="1" x14ac:dyDescent="0.3">
      <c r="A85" s="369" t="s">
        <v>213</v>
      </c>
      <c r="B85" s="370">
        <v>264549</v>
      </c>
      <c r="C85" s="387">
        <f>+B85/$B$59</f>
        <v>0.12956509942340741</v>
      </c>
      <c r="D85" s="372">
        <v>273276</v>
      </c>
      <c r="E85" s="371">
        <f>+D85/$D$59</f>
        <v>0.12986273638590631</v>
      </c>
      <c r="F85" s="387">
        <f>(D85-B85)/B85</f>
        <v>3.2988217683680529E-2</v>
      </c>
      <c r="G85" s="370">
        <v>527210</v>
      </c>
      <c r="H85" s="387">
        <f t="shared" si="23"/>
        <v>0.12676163350136785</v>
      </c>
      <c r="I85" s="372">
        <v>540016</v>
      </c>
      <c r="J85" s="371">
        <f t="shared" si="24"/>
        <v>0.12481549811233709</v>
      </c>
      <c r="K85" s="387">
        <f>(I85-G85)/G85</f>
        <v>2.4290131067316627E-2</v>
      </c>
      <c r="L85" s="370">
        <v>264549</v>
      </c>
      <c r="M85" s="372">
        <v>273276</v>
      </c>
      <c r="N85" s="370">
        <v>262661</v>
      </c>
      <c r="O85" s="372">
        <v>266740</v>
      </c>
      <c r="P85" s="370">
        <v>273008</v>
      </c>
      <c r="Q85" s="372">
        <v>300826</v>
      </c>
      <c r="R85" s="370">
        <v>243961</v>
      </c>
      <c r="S85" s="387">
        <f t="shared" si="25"/>
        <v>0.10587688975976425</v>
      </c>
      <c r="T85" s="372">
        <v>285580</v>
      </c>
      <c r="U85" s="387">
        <f>+T85/$T$59</f>
        <v>0.1186570537750211</v>
      </c>
      <c r="V85" s="387">
        <f>(T85-R85)/R85</f>
        <v>0.17059693967478409</v>
      </c>
      <c r="W85" s="370">
        <f t="shared" si="26"/>
        <v>1044179</v>
      </c>
      <c r="X85" s="387">
        <f>W85/$W$59</f>
        <v>0.12008125025012639</v>
      </c>
      <c r="Y85" s="372">
        <f t="shared" si="27"/>
        <v>1126422</v>
      </c>
      <c r="Z85" s="371">
        <f>+Y85/$Y$59</f>
        <v>0.12493497718406232</v>
      </c>
      <c r="AA85" s="387">
        <f t="shared" si="28"/>
        <v>7.876331548518023E-2</v>
      </c>
    </row>
    <row r="86" spans="1:27" x14ac:dyDescent="0.25">
      <c r="R86" s="263"/>
    </row>
    <row r="87" spans="1:27" x14ac:dyDescent="0.25">
      <c r="B87" s="263"/>
      <c r="C87" s="263"/>
      <c r="D87" s="263"/>
      <c r="E87" s="263"/>
      <c r="F87" s="263"/>
      <c r="G87" s="263"/>
      <c r="H87" s="263"/>
      <c r="I87" s="263"/>
      <c r="J87" s="263"/>
      <c r="K87" s="263"/>
      <c r="L87" s="263"/>
      <c r="M87" s="263"/>
      <c r="N87" s="263"/>
      <c r="O87" s="263"/>
      <c r="P87" s="263"/>
      <c r="Q87" s="263"/>
      <c r="S87" s="263"/>
      <c r="T87" s="263"/>
    </row>
  </sheetData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J26 G26 D26 D36 G36 J36 D43 G43 J43 D49 G49 J49 D15 G15 J15 S74 S77 S79 S84 S61 C84 C79 C77 C74 C67 C61" formula="1"/>
  </ignoredErrors>
  <drawing r:id="rId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0"/>
  <sheetViews>
    <sheetView topLeftCell="A40" zoomScaleNormal="100" workbookViewId="0">
      <selection activeCell="C52" sqref="C52:C53"/>
    </sheetView>
  </sheetViews>
  <sheetFormatPr baseColWidth="10" defaultColWidth="11.42578125" defaultRowHeight="15" x14ac:dyDescent="0.25"/>
  <cols>
    <col min="1" max="1" width="50.85546875" style="229" bestFit="1" customWidth="1"/>
    <col min="2" max="6" width="11.42578125" style="229" customWidth="1"/>
    <col min="7" max="16384" width="11.42578125" style="229"/>
  </cols>
  <sheetData>
    <row r="1" spans="1:5" ht="18.75" x14ac:dyDescent="0.3">
      <c r="A1" s="228" t="s">
        <v>157</v>
      </c>
      <c r="B1" s="362"/>
      <c r="C1" s="362"/>
      <c r="D1" s="362"/>
      <c r="E1" s="362"/>
    </row>
    <row r="2" spans="1:5" x14ac:dyDescent="0.25">
      <c r="A2" s="332" t="s">
        <v>293</v>
      </c>
      <c r="B2" s="362"/>
      <c r="C2" s="362"/>
      <c r="D2" s="362"/>
      <c r="E2" s="362"/>
    </row>
    <row r="3" spans="1:5" x14ac:dyDescent="0.25">
      <c r="A3" s="332" t="s">
        <v>88</v>
      </c>
      <c r="B3" s="362"/>
      <c r="C3" s="362"/>
      <c r="D3" s="362"/>
      <c r="E3" s="362"/>
    </row>
    <row r="4" spans="1:5" x14ac:dyDescent="0.25">
      <c r="A4" s="231" t="s">
        <v>159</v>
      </c>
      <c r="B4" s="362"/>
      <c r="C4" s="362"/>
      <c r="D4" s="362"/>
      <c r="E4" s="362"/>
    </row>
    <row r="5" spans="1:5" x14ac:dyDescent="0.25">
      <c r="A5" s="231" t="s">
        <v>301</v>
      </c>
      <c r="B5" s="362"/>
      <c r="C5" s="362"/>
      <c r="D5" s="362"/>
      <c r="E5" s="362"/>
    </row>
    <row r="6" spans="1:5" ht="7.5" customHeight="1" x14ac:dyDescent="0.25">
      <c r="A6" s="231"/>
      <c r="B6" s="362"/>
      <c r="C6" s="362"/>
      <c r="D6" s="362"/>
      <c r="E6" s="362"/>
    </row>
    <row r="7" spans="1:5" ht="51.75" customHeight="1" x14ac:dyDescent="0.25">
      <c r="A7" s="482" t="s">
        <v>302</v>
      </c>
      <c r="B7" s="482"/>
      <c r="C7" s="482"/>
      <c r="D7" s="482"/>
      <c r="E7" s="362"/>
    </row>
    <row r="8" spans="1:5" ht="15.75" thickBot="1" x14ac:dyDescent="0.3"/>
    <row r="9" spans="1:5" ht="23.25" thickBot="1" x14ac:dyDescent="0.3">
      <c r="A9" s="337"/>
      <c r="B9" s="338" t="s">
        <v>294</v>
      </c>
      <c r="C9" s="410" t="s">
        <v>300</v>
      </c>
      <c r="D9" s="420" t="s">
        <v>140</v>
      </c>
    </row>
    <row r="10" spans="1:5" ht="15.75" thickTop="1" x14ac:dyDescent="0.25">
      <c r="A10" s="376" t="s">
        <v>20</v>
      </c>
      <c r="B10" s="377"/>
      <c r="C10" s="411"/>
      <c r="D10" s="411"/>
    </row>
    <row r="11" spans="1:5" x14ac:dyDescent="0.25">
      <c r="A11" s="378" t="s">
        <v>160</v>
      </c>
      <c r="B11" s="379"/>
      <c r="C11" s="412"/>
      <c r="D11" s="421"/>
    </row>
    <row r="12" spans="1:5" ht="15.75" thickBot="1" x14ac:dyDescent="0.3">
      <c r="A12" s="240" t="s">
        <v>161</v>
      </c>
      <c r="B12" s="242">
        <v>347520</v>
      </c>
      <c r="C12" s="413">
        <v>290833</v>
      </c>
      <c r="D12" s="422">
        <f t="shared" ref="D12:D18" si="0">(C12-B12)/B12</f>
        <v>-0.16311866942909761</v>
      </c>
    </row>
    <row r="13" spans="1:5" ht="15.75" thickBot="1" x14ac:dyDescent="0.3">
      <c r="A13" s="240" t="s">
        <v>162</v>
      </c>
      <c r="B13" s="242">
        <v>1020579</v>
      </c>
      <c r="C13" s="413">
        <v>1088410</v>
      </c>
      <c r="D13" s="422">
        <f t="shared" si="0"/>
        <v>6.6463252722229249E-2</v>
      </c>
    </row>
    <row r="14" spans="1:5" ht="15.75" thickBot="1" x14ac:dyDescent="0.3">
      <c r="A14" s="240" t="s">
        <v>36</v>
      </c>
      <c r="B14" s="242">
        <v>1109878</v>
      </c>
      <c r="C14" s="413">
        <v>1152833</v>
      </c>
      <c r="D14" s="422">
        <f t="shared" si="0"/>
        <v>3.8702451981208745E-2</v>
      </c>
    </row>
    <row r="15" spans="1:5" ht="15.75" thickBot="1" x14ac:dyDescent="0.3">
      <c r="A15" s="240" t="s">
        <v>163</v>
      </c>
      <c r="B15" s="242">
        <v>94569</v>
      </c>
      <c r="C15" s="413">
        <v>85337</v>
      </c>
      <c r="D15" s="422">
        <f t="shared" si="0"/>
        <v>-9.7621842252746671E-2</v>
      </c>
    </row>
    <row r="16" spans="1:5" ht="15.75" thickBot="1" x14ac:dyDescent="0.3">
      <c r="A16" s="240" t="s">
        <v>164</v>
      </c>
      <c r="B16" s="242">
        <v>241726</v>
      </c>
      <c r="C16" s="413">
        <v>259405</v>
      </c>
      <c r="D16" s="422">
        <f t="shared" si="0"/>
        <v>7.3136526480395161E-2</v>
      </c>
    </row>
    <row r="17" spans="1:4" ht="15.75" thickBot="1" x14ac:dyDescent="0.3">
      <c r="A17" s="245" t="s">
        <v>165</v>
      </c>
      <c r="B17" s="247">
        <v>6777</v>
      </c>
      <c r="C17" s="414">
        <v>6695</v>
      </c>
      <c r="D17" s="422">
        <f t="shared" si="0"/>
        <v>-1.209974915154198E-2</v>
      </c>
    </row>
    <row r="18" spans="1:4" ht="15.75" thickBot="1" x14ac:dyDescent="0.3">
      <c r="A18" s="249" t="s">
        <v>166</v>
      </c>
      <c r="B18" s="250">
        <f>SUM(B12:B17)</f>
        <v>2821049</v>
      </c>
      <c r="C18" s="415">
        <f>SUM(C12:C17)</f>
        <v>2883513</v>
      </c>
      <c r="D18" s="422">
        <f t="shared" si="0"/>
        <v>2.2142118056084813E-2</v>
      </c>
    </row>
    <row r="19" spans="1:4" x14ac:dyDescent="0.25">
      <c r="A19" s="378" t="s">
        <v>167</v>
      </c>
      <c r="B19" s="379"/>
      <c r="C19" s="412"/>
      <c r="D19" s="421"/>
    </row>
    <row r="20" spans="1:4" ht="15.75" thickBot="1" x14ac:dyDescent="0.3">
      <c r="A20" s="240" t="s">
        <v>298</v>
      </c>
      <c r="B20" s="242">
        <v>28065</v>
      </c>
      <c r="C20" s="413">
        <v>26197</v>
      </c>
      <c r="D20" s="422">
        <f t="shared" ref="D20:D31" si="1">(C20-B20)/B20</f>
        <v>-6.6559771957954747E-2</v>
      </c>
    </row>
    <row r="21" spans="1:4" ht="15.75" thickBot="1" x14ac:dyDescent="0.3">
      <c r="A21" s="240" t="s">
        <v>169</v>
      </c>
      <c r="B21" s="242">
        <v>192795</v>
      </c>
      <c r="C21" s="413">
        <v>193085</v>
      </c>
      <c r="D21" s="422">
        <f t="shared" si="1"/>
        <v>1.5041883866282839E-3</v>
      </c>
    </row>
    <row r="22" spans="1:4" ht="15.75" thickBot="1" x14ac:dyDescent="0.3">
      <c r="A22" s="240" t="s">
        <v>170</v>
      </c>
      <c r="B22" s="242">
        <v>3322694</v>
      </c>
      <c r="C22" s="413">
        <v>3682549</v>
      </c>
      <c r="D22" s="422">
        <f t="shared" si="1"/>
        <v>0.10830217889459577</v>
      </c>
    </row>
    <row r="23" spans="1:4" ht="15.75" thickBot="1" x14ac:dyDescent="0.3">
      <c r="A23" s="240" t="s">
        <v>171</v>
      </c>
      <c r="B23" s="242">
        <v>3376364</v>
      </c>
      <c r="C23" s="413">
        <v>3334889</v>
      </c>
      <c r="D23" s="422">
        <f t="shared" si="1"/>
        <v>-1.2283924363605345E-2</v>
      </c>
    </row>
    <row r="24" spans="1:4" ht="15.75" thickBot="1" x14ac:dyDescent="0.3">
      <c r="A24" s="240" t="s">
        <v>295</v>
      </c>
      <c r="B24" s="242">
        <v>0</v>
      </c>
      <c r="C24" s="413">
        <v>911015</v>
      </c>
      <c r="D24" s="422" t="s">
        <v>131</v>
      </c>
    </row>
    <row r="25" spans="1:4" ht="15.75" thickBot="1" x14ac:dyDescent="0.3">
      <c r="A25" s="240" t="s">
        <v>141</v>
      </c>
      <c r="B25" s="242">
        <v>77062</v>
      </c>
      <c r="C25" s="413">
        <v>76974</v>
      </c>
      <c r="D25" s="422">
        <f t="shared" si="1"/>
        <v>-1.1419376605849836E-3</v>
      </c>
    </row>
    <row r="26" spans="1:4" ht="15.75" thickBot="1" x14ac:dyDescent="0.3">
      <c r="A26" s="240" t="s">
        <v>247</v>
      </c>
      <c r="B26" s="242">
        <v>2085908</v>
      </c>
      <c r="C26" s="413">
        <v>2085257</v>
      </c>
      <c r="D26" s="422">
        <f t="shared" si="1"/>
        <v>-3.1209430137858432E-4</v>
      </c>
    </row>
    <row r="27" spans="1:4" ht="15.75" thickBot="1" x14ac:dyDescent="0.3">
      <c r="A27" s="240" t="s">
        <v>173</v>
      </c>
      <c r="B27" s="242">
        <v>1167536</v>
      </c>
      <c r="C27" s="413">
        <v>1168448</v>
      </c>
      <c r="D27" s="422">
        <f t="shared" si="1"/>
        <v>7.8113223061216101E-4</v>
      </c>
    </row>
    <row r="28" spans="1:4" ht="15.75" thickBot="1" x14ac:dyDescent="0.3">
      <c r="A28" s="240" t="s">
        <v>274</v>
      </c>
      <c r="B28" s="242">
        <v>379753</v>
      </c>
      <c r="C28" s="413">
        <v>589304</v>
      </c>
      <c r="D28" s="422">
        <f t="shared" si="1"/>
        <v>0.55180867563916547</v>
      </c>
    </row>
    <row r="29" spans="1:4" ht="15.75" thickBot="1" x14ac:dyDescent="0.3">
      <c r="A29" s="245" t="s">
        <v>271</v>
      </c>
      <c r="B29" s="247">
        <v>72471</v>
      </c>
      <c r="C29" s="414">
        <v>73785</v>
      </c>
      <c r="D29" s="423">
        <f t="shared" si="1"/>
        <v>1.8131390487229376E-2</v>
      </c>
    </row>
    <row r="30" spans="1:4" ht="15.75" thickBot="1" x14ac:dyDescent="0.3">
      <c r="A30" s="249" t="s">
        <v>175</v>
      </c>
      <c r="B30" s="250">
        <f>SUM(B20:B29)</f>
        <v>10702648</v>
      </c>
      <c r="C30" s="415">
        <f>SUM(C20:C29)</f>
        <v>12141503</v>
      </c>
      <c r="D30" s="424">
        <f t="shared" si="1"/>
        <v>0.13443915935570339</v>
      </c>
    </row>
    <row r="31" spans="1:4" ht="15.75" thickBot="1" x14ac:dyDescent="0.3">
      <c r="A31" s="382" t="s">
        <v>176</v>
      </c>
      <c r="B31" s="383">
        <f>+B18+B30</f>
        <v>13523697</v>
      </c>
      <c r="C31" s="416">
        <f>+C18+C30</f>
        <v>15025016</v>
      </c>
      <c r="D31" s="425">
        <f t="shared" si="1"/>
        <v>0.11101394833084474</v>
      </c>
    </row>
    <row r="32" spans="1:4" x14ac:dyDescent="0.25">
      <c r="A32" s="376" t="s">
        <v>142</v>
      </c>
      <c r="B32" s="377"/>
      <c r="C32" s="411"/>
      <c r="D32" s="411"/>
    </row>
    <row r="33" spans="1:4" x14ac:dyDescent="0.25">
      <c r="A33" s="378" t="s">
        <v>177</v>
      </c>
      <c r="B33" s="379"/>
      <c r="C33" s="412"/>
      <c r="D33" s="421"/>
    </row>
    <row r="34" spans="1:4" ht="15.75" thickBot="1" x14ac:dyDescent="0.3">
      <c r="A34" s="240" t="s">
        <v>28</v>
      </c>
      <c r="B34" s="242">
        <v>522302</v>
      </c>
      <c r="C34" s="413">
        <v>557006</v>
      </c>
      <c r="D34" s="422">
        <f t="shared" ref="D34:D40" si="2">(C34-B34)/B34</f>
        <v>6.644431765530287E-2</v>
      </c>
    </row>
    <row r="35" spans="1:4" ht="15.75" thickBot="1" x14ac:dyDescent="0.3">
      <c r="A35" s="240" t="s">
        <v>178</v>
      </c>
      <c r="B35" s="242">
        <v>1094960</v>
      </c>
      <c r="C35" s="413">
        <v>1147187</v>
      </c>
      <c r="D35" s="422">
        <f t="shared" si="2"/>
        <v>4.7697632790238913E-2</v>
      </c>
    </row>
    <row r="36" spans="1:4" ht="15.75" thickBot="1" x14ac:dyDescent="0.3">
      <c r="A36" s="240" t="s">
        <v>257</v>
      </c>
      <c r="B36" s="242">
        <v>228841</v>
      </c>
      <c r="C36" s="413">
        <v>186532</v>
      </c>
      <c r="D36" s="422">
        <f t="shared" si="2"/>
        <v>-0.18488382763578204</v>
      </c>
    </row>
    <row r="37" spans="1:4" ht="15.75" thickBot="1" x14ac:dyDescent="0.3">
      <c r="A37" s="240" t="s">
        <v>179</v>
      </c>
      <c r="B37" s="242">
        <v>165833</v>
      </c>
      <c r="C37" s="413">
        <v>159605</v>
      </c>
      <c r="D37" s="422">
        <f t="shared" si="2"/>
        <v>-3.7555854383626901E-2</v>
      </c>
    </row>
    <row r="38" spans="1:4" ht="15.75" thickBot="1" x14ac:dyDescent="0.3">
      <c r="A38" s="240" t="s">
        <v>180</v>
      </c>
      <c r="B38" s="242">
        <v>4118</v>
      </c>
      <c r="C38" s="413">
        <v>4149</v>
      </c>
      <c r="D38" s="422">
        <f t="shared" si="2"/>
        <v>7.5279261777561925E-3</v>
      </c>
    </row>
    <row r="39" spans="1:4" ht="15.75" thickBot="1" x14ac:dyDescent="0.3">
      <c r="A39" s="245" t="s">
        <v>260</v>
      </c>
      <c r="B39" s="247">
        <v>26676</v>
      </c>
      <c r="C39" s="414">
        <v>16056</v>
      </c>
      <c r="D39" s="423">
        <f t="shared" si="2"/>
        <v>-0.39811066126855599</v>
      </c>
    </row>
    <row r="40" spans="1:4" ht="15.75" thickBot="1" x14ac:dyDescent="0.3">
      <c r="A40" s="249" t="s">
        <v>181</v>
      </c>
      <c r="B40" s="250">
        <f>SUM(B34:B39)</f>
        <v>2042730</v>
      </c>
      <c r="C40" s="415">
        <f>SUM(C34:C39)</f>
        <v>2070535</v>
      </c>
      <c r="D40" s="424">
        <f t="shared" si="2"/>
        <v>1.3611686321736108E-2</v>
      </c>
    </row>
    <row r="41" spans="1:4" x14ac:dyDescent="0.25">
      <c r="A41" s="378" t="s">
        <v>182</v>
      </c>
      <c r="B41" s="379"/>
      <c r="C41" s="412"/>
      <c r="D41" s="421"/>
    </row>
    <row r="42" spans="1:4" ht="15.75" thickBot="1" x14ac:dyDescent="0.3">
      <c r="A42" s="240" t="s">
        <v>28</v>
      </c>
      <c r="B42" s="242">
        <v>2265743</v>
      </c>
      <c r="C42" s="413">
        <v>2371920</v>
      </c>
      <c r="D42" s="422">
        <f t="shared" ref="D42:D50" si="3">(C42-B42)/B42</f>
        <v>4.6861890337959775E-2</v>
      </c>
    </row>
    <row r="43" spans="1:4" ht="15.75" thickBot="1" x14ac:dyDescent="0.3">
      <c r="A43" s="240" t="s">
        <v>296</v>
      </c>
      <c r="B43" s="242">
        <v>0</v>
      </c>
      <c r="C43" s="413">
        <v>911359</v>
      </c>
      <c r="D43" s="422" t="s">
        <v>131</v>
      </c>
    </row>
    <row r="44" spans="1:4" ht="15.75" thickBot="1" x14ac:dyDescent="0.3">
      <c r="A44" s="240" t="s">
        <v>178</v>
      </c>
      <c r="B44" s="241">
        <v>158</v>
      </c>
      <c r="C44" s="417">
        <v>158</v>
      </c>
      <c r="D44" s="422">
        <f t="shared" si="3"/>
        <v>0</v>
      </c>
    </row>
    <row r="45" spans="1:4" ht="15.75" thickBot="1" x14ac:dyDescent="0.3">
      <c r="A45" s="240" t="s">
        <v>179</v>
      </c>
      <c r="B45" s="242">
        <v>175036</v>
      </c>
      <c r="C45" s="413">
        <v>176068</v>
      </c>
      <c r="D45" s="422">
        <f t="shared" si="3"/>
        <v>5.8959299801183756E-3</v>
      </c>
    </row>
    <row r="46" spans="1:4" ht="15.75" thickBot="1" x14ac:dyDescent="0.3">
      <c r="A46" s="240" t="s">
        <v>183</v>
      </c>
      <c r="B46" s="242">
        <v>704763</v>
      </c>
      <c r="C46" s="413">
        <v>914360</v>
      </c>
      <c r="D46" s="422">
        <f t="shared" si="3"/>
        <v>0.29740068647190615</v>
      </c>
    </row>
    <row r="47" spans="1:4" ht="15.75" thickBot="1" x14ac:dyDescent="0.3">
      <c r="A47" s="240" t="s">
        <v>297</v>
      </c>
      <c r="B47" s="242">
        <v>0</v>
      </c>
      <c r="C47" s="413">
        <v>5901</v>
      </c>
      <c r="D47" s="422" t="s">
        <v>131</v>
      </c>
    </row>
    <row r="48" spans="1:4" ht="15.75" thickBot="1" x14ac:dyDescent="0.3">
      <c r="A48" s="245" t="s">
        <v>261</v>
      </c>
      <c r="B48" s="246">
        <v>536</v>
      </c>
      <c r="C48" s="418">
        <v>514</v>
      </c>
      <c r="D48" s="422">
        <f t="shared" si="3"/>
        <v>-4.1044776119402986E-2</v>
      </c>
    </row>
    <row r="49" spans="1:20" ht="15.75" thickBot="1" x14ac:dyDescent="0.3">
      <c r="A49" s="249" t="s">
        <v>185</v>
      </c>
      <c r="B49" s="250">
        <f>SUM(B42:B48)</f>
        <v>3146236</v>
      </c>
      <c r="C49" s="415">
        <f>SUM(C42:C48)</f>
        <v>4380280</v>
      </c>
      <c r="D49" s="424">
        <f t="shared" si="3"/>
        <v>0.39222868214590384</v>
      </c>
    </row>
    <row r="50" spans="1:20" ht="15.75" thickBot="1" x14ac:dyDescent="0.3">
      <c r="A50" s="382" t="s">
        <v>186</v>
      </c>
      <c r="B50" s="383">
        <f>+B40+B49</f>
        <v>5188966</v>
      </c>
      <c r="C50" s="416">
        <f>+C40+C49</f>
        <v>6450815</v>
      </c>
      <c r="D50" s="425">
        <f t="shared" si="3"/>
        <v>0.24317927695035968</v>
      </c>
    </row>
    <row r="51" spans="1:20" x14ac:dyDescent="0.25">
      <c r="A51" s="376" t="s">
        <v>34</v>
      </c>
      <c r="B51" s="377"/>
      <c r="C51" s="411"/>
      <c r="D51" s="411"/>
    </row>
    <row r="52" spans="1:20" ht="15.75" thickBot="1" x14ac:dyDescent="0.3">
      <c r="A52" s="249" t="s">
        <v>187</v>
      </c>
      <c r="B52" s="250">
        <v>8290443</v>
      </c>
      <c r="C52" s="415">
        <v>8530766</v>
      </c>
      <c r="D52" s="424">
        <f>(C52-B52)/B52</f>
        <v>2.8987956373380769E-2</v>
      </c>
    </row>
    <row r="53" spans="1:20" ht="15.75" thickBot="1" x14ac:dyDescent="0.3">
      <c r="A53" s="259" t="s">
        <v>188</v>
      </c>
      <c r="B53" s="247">
        <v>44288</v>
      </c>
      <c r="C53" s="414">
        <v>43435</v>
      </c>
      <c r="D53" s="423">
        <f>(C53-B53)/B53</f>
        <v>-1.9260296242774567E-2</v>
      </c>
    </row>
    <row r="54" spans="1:20" ht="15.75" thickBot="1" x14ac:dyDescent="0.3">
      <c r="A54" s="382" t="s">
        <v>189</v>
      </c>
      <c r="B54" s="383">
        <f>SUM(B52:B53)</f>
        <v>8334731</v>
      </c>
      <c r="C54" s="416">
        <f>SUM(C52:C53)</f>
        <v>8574201</v>
      </c>
      <c r="D54" s="425">
        <f>(C54-B54)/B54</f>
        <v>2.8731581139211333E-2</v>
      </c>
    </row>
    <row r="55" spans="1:20" ht="15.75" thickBot="1" x14ac:dyDescent="0.3">
      <c r="A55" s="380" t="s">
        <v>190</v>
      </c>
      <c r="B55" s="381">
        <f>+B50+B54</f>
        <v>13523697</v>
      </c>
      <c r="C55" s="419">
        <f>+C50+C54</f>
        <v>15025016</v>
      </c>
      <c r="D55" s="426">
        <f>(C55-B55)/B55</f>
        <v>0.11101394833084474</v>
      </c>
    </row>
    <row r="57" spans="1:20" x14ac:dyDescent="0.25">
      <c r="B57" s="263"/>
      <c r="C57" s="263"/>
      <c r="D57" s="263"/>
      <c r="E57" s="263"/>
      <c r="H57" s="263"/>
      <c r="J57" s="263"/>
      <c r="M57" s="263"/>
      <c r="O57" s="263"/>
      <c r="R57" s="263"/>
      <c r="T57" s="263"/>
    </row>
    <row r="58" spans="1:20" ht="18.75" x14ac:dyDescent="0.3">
      <c r="A58" s="264" t="s">
        <v>191</v>
      </c>
      <c r="B58" s="362"/>
      <c r="C58" s="362"/>
      <c r="D58" s="362"/>
      <c r="E58" s="362"/>
    </row>
    <row r="59" spans="1:20" x14ac:dyDescent="0.25">
      <c r="A59" s="332" t="s">
        <v>192</v>
      </c>
      <c r="B59" s="362"/>
      <c r="C59" s="362"/>
      <c r="D59" s="362"/>
      <c r="E59" s="362"/>
    </row>
    <row r="60" spans="1:20" x14ac:dyDescent="0.25">
      <c r="A60" s="332" t="s">
        <v>88</v>
      </c>
      <c r="B60" s="362"/>
      <c r="C60" s="362"/>
      <c r="D60" s="362"/>
      <c r="E60" s="362"/>
    </row>
    <row r="61" spans="1:20" x14ac:dyDescent="0.25">
      <c r="A61" s="265" t="s">
        <v>159</v>
      </c>
      <c r="B61" s="362"/>
      <c r="C61" s="362"/>
      <c r="D61" s="362"/>
      <c r="E61" s="362"/>
    </row>
    <row r="62" spans="1:20" ht="15.75" thickBot="1" x14ac:dyDescent="0.3">
      <c r="B62" s="364"/>
      <c r="C62" s="364"/>
      <c r="D62" s="364"/>
      <c r="E62" s="364"/>
    </row>
    <row r="63" spans="1:20" ht="15.75" customHeight="1" thickBot="1" x14ac:dyDescent="0.3">
      <c r="A63" s="353"/>
      <c r="B63" s="388" t="s">
        <v>270</v>
      </c>
      <c r="C63" s="388" t="s">
        <v>55</v>
      </c>
      <c r="D63" s="400" t="s">
        <v>299</v>
      </c>
      <c r="E63" s="400" t="s">
        <v>55</v>
      </c>
      <c r="F63" s="388" t="s">
        <v>46</v>
      </c>
    </row>
    <row r="64" spans="1:20" ht="15.75" thickTop="1" x14ac:dyDescent="0.25">
      <c r="A64" s="390" t="s">
        <v>193</v>
      </c>
      <c r="B64" s="389"/>
      <c r="C64" s="389"/>
      <c r="D64" s="401"/>
      <c r="E64" s="406"/>
      <c r="F64" s="389"/>
    </row>
    <row r="65" spans="1:6" ht="15.75" thickBot="1" x14ac:dyDescent="0.3">
      <c r="A65" s="391" t="s">
        <v>194</v>
      </c>
      <c r="B65" s="458">
        <v>2104345</v>
      </c>
      <c r="C65" s="387">
        <f t="shared" ref="C65:C84" si="4">+B65/$B$65</f>
        <v>1</v>
      </c>
      <c r="D65" s="395">
        <v>2245742</v>
      </c>
      <c r="E65" s="387">
        <f t="shared" ref="E65:E84" si="5">+D65/$D$65</f>
        <v>1</v>
      </c>
      <c r="F65" s="387">
        <f t="shared" ref="F65:F84" si="6">(D65-B65)/B65</f>
        <v>6.7192879494569563E-2</v>
      </c>
    </row>
    <row r="66" spans="1:6" ht="15.75" thickBot="1" x14ac:dyDescent="0.3">
      <c r="A66" s="392" t="s">
        <v>273</v>
      </c>
      <c r="B66" s="460">
        <v>-1168715</v>
      </c>
      <c r="C66" s="384">
        <f t="shared" si="4"/>
        <v>-0.5553818409053648</v>
      </c>
      <c r="D66" s="456">
        <v>-1253514</v>
      </c>
      <c r="E66" s="407">
        <f t="shared" si="5"/>
        <v>-0.55817364594864416</v>
      </c>
      <c r="F66" s="384">
        <f t="shared" si="6"/>
        <v>7.2557466961577458E-2</v>
      </c>
    </row>
    <row r="67" spans="1:6" ht="15.75" thickBot="1" x14ac:dyDescent="0.3">
      <c r="A67" s="393" t="s">
        <v>196</v>
      </c>
      <c r="B67" s="461">
        <f>SUM(B65:B66)</f>
        <v>935630</v>
      </c>
      <c r="C67" s="386">
        <f t="shared" si="4"/>
        <v>0.44461815909463515</v>
      </c>
      <c r="D67" s="457">
        <f>SUM(D65:D66)</f>
        <v>992228</v>
      </c>
      <c r="E67" s="408">
        <f t="shared" si="5"/>
        <v>0.44182635405135584</v>
      </c>
      <c r="F67" s="386">
        <f t="shared" si="6"/>
        <v>6.0491861098938685E-2</v>
      </c>
    </row>
    <row r="68" spans="1:6" ht="15.75" thickBot="1" x14ac:dyDescent="0.3">
      <c r="A68" s="392" t="s">
        <v>7</v>
      </c>
      <c r="B68" s="460">
        <v>-99417</v>
      </c>
      <c r="C68" s="384">
        <f t="shared" si="4"/>
        <v>-4.7243679149569104E-2</v>
      </c>
      <c r="D68" s="456">
        <v>-104388</v>
      </c>
      <c r="E68" s="407">
        <f t="shared" si="5"/>
        <v>-4.6482632466240556E-2</v>
      </c>
      <c r="F68" s="384">
        <f t="shared" si="6"/>
        <v>5.0001508796282325E-2</v>
      </c>
    </row>
    <row r="69" spans="1:6" ht="15.75" thickBot="1" x14ac:dyDescent="0.3">
      <c r="A69" s="392" t="s">
        <v>8</v>
      </c>
      <c r="B69" s="460">
        <v>-607913</v>
      </c>
      <c r="C69" s="384">
        <f t="shared" si="4"/>
        <v>-0.28888466482444658</v>
      </c>
      <c r="D69" s="456">
        <v>-625569</v>
      </c>
      <c r="E69" s="407">
        <f t="shared" si="5"/>
        <v>-0.27855782186911943</v>
      </c>
      <c r="F69" s="384">
        <f t="shared" si="6"/>
        <v>2.9043629598314233E-2</v>
      </c>
    </row>
    <row r="70" spans="1:6" ht="15.75" thickBot="1" x14ac:dyDescent="0.3">
      <c r="A70" s="392" t="s">
        <v>84</v>
      </c>
      <c r="B70" s="460">
        <v>-33212</v>
      </c>
      <c r="C70" s="384">
        <f t="shared" si="4"/>
        <v>-1.5782583179088979E-2</v>
      </c>
      <c r="D70" s="456">
        <v>-33782</v>
      </c>
      <c r="E70" s="407">
        <f t="shared" si="5"/>
        <v>-1.5042689676730453E-2</v>
      </c>
      <c r="F70" s="384">
        <f t="shared" si="6"/>
        <v>1.7162471395881007E-2</v>
      </c>
    </row>
    <row r="71" spans="1:6" ht="15.75" thickBot="1" x14ac:dyDescent="0.3">
      <c r="A71" s="392" t="s">
        <v>197</v>
      </c>
      <c r="B71" s="460">
        <v>1952</v>
      </c>
      <c r="C71" s="384">
        <f t="shared" si="4"/>
        <v>9.2760455153503819E-4</v>
      </c>
      <c r="D71" s="456">
        <v>3810</v>
      </c>
      <c r="E71" s="407">
        <f t="shared" si="5"/>
        <v>1.6965439485034344E-3</v>
      </c>
      <c r="F71" s="384">
        <f t="shared" si="6"/>
        <v>0.95184426229508201</v>
      </c>
    </row>
    <row r="72" spans="1:6" ht="15.75" thickBot="1" x14ac:dyDescent="0.3">
      <c r="A72" s="392" t="s">
        <v>144</v>
      </c>
      <c r="B72" s="460">
        <v>4942</v>
      </c>
      <c r="C72" s="384">
        <f t="shared" si="4"/>
        <v>2.3484742283228274E-3</v>
      </c>
      <c r="D72" s="456">
        <v>-2136</v>
      </c>
      <c r="E72" s="407">
        <f t="shared" si="5"/>
        <v>-9.5113330026334278E-4</v>
      </c>
      <c r="F72" s="384">
        <f t="shared" si="6"/>
        <v>-1.4322136786726021</v>
      </c>
    </row>
    <row r="73" spans="1:6" ht="16.5" customHeight="1" thickBot="1" x14ac:dyDescent="0.3">
      <c r="A73" s="391" t="s">
        <v>198</v>
      </c>
      <c r="B73" s="458">
        <f>SUM(B67:B72)</f>
        <v>201982</v>
      </c>
      <c r="C73" s="387">
        <f t="shared" si="4"/>
        <v>9.5983310721388368E-2</v>
      </c>
      <c r="D73" s="458">
        <f>SUM(D67:D72)</f>
        <v>230163</v>
      </c>
      <c r="E73" s="387">
        <f t="shared" si="5"/>
        <v>0.10248862068750551</v>
      </c>
      <c r="F73" s="387">
        <f t="shared" si="6"/>
        <v>0.13952233367329761</v>
      </c>
    </row>
    <row r="74" spans="1:6" ht="15.75" thickBot="1" x14ac:dyDescent="0.3">
      <c r="A74" s="392" t="s">
        <v>51</v>
      </c>
      <c r="B74" s="460">
        <v>3241</v>
      </c>
      <c r="C74" s="384">
        <f t="shared" si="4"/>
        <v>1.5401466964780014E-3</v>
      </c>
      <c r="D74" s="456">
        <v>3427</v>
      </c>
      <c r="E74" s="407">
        <f t="shared" si="5"/>
        <v>1.5259989794019081E-3</v>
      </c>
      <c r="F74" s="384">
        <f t="shared" si="6"/>
        <v>5.7389694538722613E-2</v>
      </c>
    </row>
    <row r="75" spans="1:6" ht="15.75" thickBot="1" x14ac:dyDescent="0.3">
      <c r="A75" s="392" t="s">
        <v>11</v>
      </c>
      <c r="B75" s="460">
        <v>-71961</v>
      </c>
      <c r="C75" s="384">
        <f t="shared" si="4"/>
        <v>-3.4196388900109058E-2</v>
      </c>
      <c r="D75" s="456">
        <v>-72588</v>
      </c>
      <c r="E75" s="407">
        <f t="shared" si="5"/>
        <v>-3.2322501872432366E-2</v>
      </c>
      <c r="F75" s="384">
        <f t="shared" si="6"/>
        <v>8.7130529036561471E-3</v>
      </c>
    </row>
    <row r="76" spans="1:6" ht="15.75" thickBot="1" x14ac:dyDescent="0.3">
      <c r="A76" s="392" t="s">
        <v>272</v>
      </c>
      <c r="B76" s="460">
        <v>32336</v>
      </c>
      <c r="C76" s="384">
        <f t="shared" si="4"/>
        <v>1.5366301628297642E-2</v>
      </c>
      <c r="D76" s="456">
        <v>61493</v>
      </c>
      <c r="E76" s="407">
        <f t="shared" si="5"/>
        <v>2.7382041213995196E-2</v>
      </c>
      <c r="F76" s="384">
        <f t="shared" si="6"/>
        <v>0.90168852053438897</v>
      </c>
    </row>
    <row r="77" spans="1:6" ht="15.75" thickBot="1" x14ac:dyDescent="0.3">
      <c r="A77" s="392" t="s">
        <v>200</v>
      </c>
      <c r="B77" s="460">
        <v>-2666</v>
      </c>
      <c r="C77" s="384">
        <f t="shared" si="4"/>
        <v>-1.2669025278649652E-3</v>
      </c>
      <c r="D77" s="456">
        <v>702</v>
      </c>
      <c r="E77" s="407">
        <f t="shared" si="5"/>
        <v>3.1259156216519973E-4</v>
      </c>
      <c r="F77" s="384">
        <f t="shared" si="6"/>
        <v>-1.2633158289572393</v>
      </c>
    </row>
    <row r="78" spans="1:6" ht="15.75" thickBot="1" x14ac:dyDescent="0.3">
      <c r="A78" s="392" t="s">
        <v>275</v>
      </c>
      <c r="B78" s="460">
        <v>-2327</v>
      </c>
      <c r="C78" s="384">
        <f t="shared" si="4"/>
        <v>-1.1058072701957142E-3</v>
      </c>
      <c r="D78" s="456">
        <v>-377</v>
      </c>
      <c r="E78" s="407">
        <f t="shared" si="5"/>
        <v>-1.6787324634797763E-4</v>
      </c>
      <c r="F78" s="384">
        <f t="shared" si="6"/>
        <v>-0.83798882681564246</v>
      </c>
    </row>
    <row r="79" spans="1:6" ht="15.75" thickBot="1" x14ac:dyDescent="0.3">
      <c r="A79" s="393" t="s">
        <v>204</v>
      </c>
      <c r="B79" s="461">
        <f>SUM(B73:B78)</f>
        <v>160605</v>
      </c>
      <c r="C79" s="386">
        <f t="shared" si="4"/>
        <v>7.6320660347994271E-2</v>
      </c>
      <c r="D79" s="457">
        <f>SUM(D73:D78)</f>
        <v>222820</v>
      </c>
      <c r="E79" s="408">
        <f t="shared" si="5"/>
        <v>9.9218877324287469E-2</v>
      </c>
      <c r="F79" s="386">
        <f t="shared" si="6"/>
        <v>0.38737897325737058</v>
      </c>
    </row>
    <row r="80" spans="1:6" ht="15.75" thickBot="1" x14ac:dyDescent="0.3">
      <c r="A80" s="392" t="s">
        <v>205</v>
      </c>
      <c r="B80" s="460">
        <v>-44069</v>
      </c>
      <c r="C80" s="384">
        <f t="shared" si="4"/>
        <v>-2.094190828975287E-2</v>
      </c>
      <c r="D80" s="456">
        <v>-43888</v>
      </c>
      <c r="E80" s="407">
        <f t="shared" si="5"/>
        <v>-1.9542761367957674E-2</v>
      </c>
      <c r="F80" s="384">
        <f t="shared" si="6"/>
        <v>-4.1071955342757947E-3</v>
      </c>
    </row>
    <row r="81" spans="1:6" ht="15.75" thickBot="1" x14ac:dyDescent="0.3">
      <c r="A81" s="394" t="s">
        <v>206</v>
      </c>
      <c r="B81" s="462">
        <v>5479</v>
      </c>
      <c r="C81" s="385">
        <f t="shared" si="4"/>
        <v>2.6036605214449153E-3</v>
      </c>
      <c r="D81" s="459">
        <v>-2661</v>
      </c>
      <c r="E81" s="409">
        <f t="shared" si="5"/>
        <v>-1.1849090411988554E-3</v>
      </c>
      <c r="F81" s="385">
        <f t="shared" si="6"/>
        <v>-1.485672567986859</v>
      </c>
    </row>
    <row r="82" spans="1:6" ht="15.75" thickBot="1" x14ac:dyDescent="0.3">
      <c r="A82" s="393" t="s">
        <v>207</v>
      </c>
      <c r="B82" s="461">
        <f>SUM(B79:B81)</f>
        <v>122015</v>
      </c>
      <c r="C82" s="386">
        <f t="shared" si="4"/>
        <v>5.7982412579686317E-2</v>
      </c>
      <c r="D82" s="457">
        <f>SUM(D79:D81)</f>
        <v>176271</v>
      </c>
      <c r="E82" s="408">
        <f t="shared" si="5"/>
        <v>7.8491206915130951E-2</v>
      </c>
      <c r="F82" s="386">
        <f t="shared" si="6"/>
        <v>0.44466663934762118</v>
      </c>
    </row>
    <row r="83" spans="1:6" ht="15.75" thickBot="1" x14ac:dyDescent="0.3">
      <c r="A83" s="392" t="s">
        <v>208</v>
      </c>
      <c r="B83" s="460">
        <v>-226</v>
      </c>
      <c r="C83" s="384">
        <f t="shared" si="4"/>
        <v>-1.0739683844616734E-4</v>
      </c>
      <c r="D83" s="456">
        <v>-842</v>
      </c>
      <c r="E83" s="407">
        <f t="shared" si="5"/>
        <v>-3.7493175974800312E-4</v>
      </c>
      <c r="F83" s="384">
        <f t="shared" si="6"/>
        <v>2.7256637168141591</v>
      </c>
    </row>
    <row r="84" spans="1:6" ht="15.75" thickBot="1" x14ac:dyDescent="0.3">
      <c r="A84" s="391" t="s">
        <v>209</v>
      </c>
      <c r="B84" s="458">
        <f>SUM(B82:B83)</f>
        <v>121789</v>
      </c>
      <c r="C84" s="387">
        <f t="shared" si="4"/>
        <v>5.7875015741240148E-2</v>
      </c>
      <c r="D84" s="395">
        <f>SUM(D82:D83)</f>
        <v>175429</v>
      </c>
      <c r="E84" s="387">
        <f t="shared" si="5"/>
        <v>7.8116275155382942E-2</v>
      </c>
      <c r="F84" s="387">
        <f t="shared" si="6"/>
        <v>0.44043386512739247</v>
      </c>
    </row>
    <row r="85" spans="1:6" x14ac:dyDescent="0.25">
      <c r="A85" s="289"/>
      <c r="B85" s="291"/>
      <c r="C85" s="292"/>
      <c r="D85" s="294"/>
      <c r="E85" s="292"/>
      <c r="F85" s="292"/>
    </row>
    <row r="86" spans="1:6" x14ac:dyDescent="0.25">
      <c r="A86" s="295" t="s">
        <v>210</v>
      </c>
      <c r="B86" s="297"/>
      <c r="C86" s="298"/>
      <c r="D86" s="300"/>
      <c r="E86" s="298"/>
      <c r="F86" s="298"/>
    </row>
    <row r="87" spans="1:6" ht="15.75" thickBot="1" x14ac:dyDescent="0.3">
      <c r="A87" s="301" t="s">
        <v>211</v>
      </c>
      <c r="B87" s="274">
        <v>120867</v>
      </c>
      <c r="C87" s="384">
        <f>+B87/$B$65</f>
        <v>5.7436874656959763E-2</v>
      </c>
      <c r="D87" s="373">
        <v>174437</v>
      </c>
      <c r="E87" s="366">
        <f>+D87/$D$65</f>
        <v>7.7674550326796224E-2</v>
      </c>
      <c r="F87" s="384">
        <f>(D87-B87)/B87</f>
        <v>0.44321444232089818</v>
      </c>
    </row>
    <row r="88" spans="1:6" ht="15.75" thickBot="1" x14ac:dyDescent="0.3">
      <c r="A88" s="303" t="s">
        <v>188</v>
      </c>
      <c r="B88" s="304">
        <v>922</v>
      </c>
      <c r="C88" s="385">
        <f>+B88/$B$65</f>
        <v>4.3814108428038179E-4</v>
      </c>
      <c r="D88" s="374">
        <v>992</v>
      </c>
      <c r="E88" s="368">
        <f>+D88/$D$65</f>
        <v>4.4172482858672099E-4</v>
      </c>
      <c r="F88" s="385">
        <f>(D88-B88)/B88</f>
        <v>7.5921908893709325E-2</v>
      </c>
    </row>
    <row r="89" spans="1:6" ht="15.75" thickBot="1" x14ac:dyDescent="0.3">
      <c r="A89" s="306" t="s">
        <v>212</v>
      </c>
      <c r="B89" s="278">
        <f>SUM(B87:B88)</f>
        <v>121789</v>
      </c>
      <c r="C89" s="386">
        <f>+B89/$B$65</f>
        <v>5.7875015741240148E-2</v>
      </c>
      <c r="D89" s="375">
        <f>SUM(D87:D88)</f>
        <v>175429</v>
      </c>
      <c r="E89" s="367">
        <f>+D89/$D$65</f>
        <v>7.8116275155382942E-2</v>
      </c>
      <c r="F89" s="386">
        <f>(D89-B89)/B89</f>
        <v>0.44043386512739247</v>
      </c>
    </row>
    <row r="90" spans="1:6" ht="15.75" thickBot="1" x14ac:dyDescent="0.3">
      <c r="A90" s="369" t="s">
        <v>213</v>
      </c>
      <c r="B90" s="370">
        <v>273276</v>
      </c>
      <c r="C90" s="387">
        <f>+B90/$B$65</f>
        <v>0.12986273638590631</v>
      </c>
      <c r="D90" s="372">
        <v>320118</v>
      </c>
      <c r="E90" s="371">
        <f>+D90/$D$65</f>
        <v>0.14254442407008464</v>
      </c>
      <c r="F90" s="387">
        <f>(D90-B90)/B90</f>
        <v>0.17140912484082027</v>
      </c>
    </row>
  </sheetData>
  <mergeCells count="1">
    <mergeCell ref="A7:D7"/>
  </mergeCells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C79:C81 C67 C82:C84 C89" formula="1"/>
  </ignoredErrors>
  <drawing r:id="rId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1"/>
  <sheetViews>
    <sheetView topLeftCell="A54" zoomScaleNormal="100" workbookViewId="0">
      <selection activeCell="B68" sqref="B68"/>
    </sheetView>
  </sheetViews>
  <sheetFormatPr baseColWidth="10" defaultColWidth="11.42578125" defaultRowHeight="15" x14ac:dyDescent="0.25"/>
  <cols>
    <col min="1" max="1" width="50.85546875" style="229" bestFit="1" customWidth="1"/>
    <col min="2" max="6" width="11.42578125" style="229" customWidth="1"/>
    <col min="7" max="16384" width="11.42578125" style="229"/>
  </cols>
  <sheetData>
    <row r="1" spans="1:7" ht="18.75" x14ac:dyDescent="0.3">
      <c r="A1" s="228" t="s">
        <v>157</v>
      </c>
      <c r="B1" s="362"/>
      <c r="C1" s="362"/>
      <c r="D1" s="362"/>
      <c r="E1" s="362"/>
    </row>
    <row r="2" spans="1:7" x14ac:dyDescent="0.25">
      <c r="A2" s="332" t="s">
        <v>303</v>
      </c>
      <c r="B2" s="362"/>
      <c r="C2" s="362"/>
      <c r="D2" s="362"/>
      <c r="E2" s="362"/>
    </row>
    <row r="3" spans="1:7" x14ac:dyDescent="0.25">
      <c r="A3" s="332" t="s">
        <v>88</v>
      </c>
      <c r="B3" s="362"/>
      <c r="C3" s="362"/>
      <c r="D3" s="362"/>
      <c r="E3" s="362"/>
    </row>
    <row r="4" spans="1:7" x14ac:dyDescent="0.25">
      <c r="A4" s="231" t="s">
        <v>159</v>
      </c>
      <c r="B4" s="362"/>
      <c r="C4" s="362"/>
      <c r="D4" s="362"/>
      <c r="E4" s="362"/>
    </row>
    <row r="5" spans="1:7" x14ac:dyDescent="0.25">
      <c r="A5" s="231" t="s">
        <v>301</v>
      </c>
      <c r="B5" s="362"/>
      <c r="C5" s="362"/>
      <c r="D5" s="362"/>
      <c r="E5" s="362"/>
    </row>
    <row r="6" spans="1:7" ht="7.5" customHeight="1" x14ac:dyDescent="0.25">
      <c r="A6" s="231"/>
      <c r="B6" s="362"/>
      <c r="C6" s="362"/>
      <c r="D6" s="362"/>
      <c r="E6" s="362"/>
    </row>
    <row r="7" spans="1:7" ht="51.75" customHeight="1" x14ac:dyDescent="0.25">
      <c r="A7" s="482" t="s">
        <v>304</v>
      </c>
      <c r="B7" s="482"/>
      <c r="C7" s="482"/>
      <c r="D7" s="482"/>
      <c r="E7" s="362"/>
    </row>
    <row r="8" spans="1:7" ht="15.75" thickBot="1" x14ac:dyDescent="0.3"/>
    <row r="9" spans="1:7" ht="23.25" thickBot="1" x14ac:dyDescent="0.3">
      <c r="A9" s="337"/>
      <c r="B9" s="338" t="s">
        <v>294</v>
      </c>
      <c r="C9" s="410" t="s">
        <v>306</v>
      </c>
      <c r="D9" s="420" t="s">
        <v>140</v>
      </c>
      <c r="E9" s="338" t="s">
        <v>294</v>
      </c>
      <c r="F9" s="410" t="s">
        <v>305</v>
      </c>
      <c r="G9" s="420" t="s">
        <v>140</v>
      </c>
    </row>
    <row r="10" spans="1:7" ht="15.75" thickTop="1" x14ac:dyDescent="0.25">
      <c r="A10" s="376" t="s">
        <v>20</v>
      </c>
      <c r="B10" s="377"/>
      <c r="C10" s="411"/>
      <c r="D10" s="411"/>
      <c r="E10" s="377"/>
      <c r="F10" s="411"/>
      <c r="G10" s="411"/>
    </row>
    <row r="11" spans="1:7" x14ac:dyDescent="0.25">
      <c r="A11" s="378" t="s">
        <v>160</v>
      </c>
      <c r="B11" s="379"/>
      <c r="C11" s="412"/>
      <c r="D11" s="421"/>
      <c r="E11" s="379"/>
      <c r="F11" s="412"/>
      <c r="G11" s="421"/>
    </row>
    <row r="12" spans="1:7" ht="15.75" thickBot="1" x14ac:dyDescent="0.3">
      <c r="A12" s="240" t="s">
        <v>161</v>
      </c>
      <c r="B12" s="242">
        <v>347520</v>
      </c>
      <c r="C12" s="413">
        <v>290833</v>
      </c>
      <c r="D12" s="422">
        <f t="shared" ref="D12:D18" si="0">(C12-B12)/B12</f>
        <v>-0.16311866942909761</v>
      </c>
      <c r="E12" s="242">
        <v>347520</v>
      </c>
      <c r="F12" s="413">
        <v>291779</v>
      </c>
      <c r="G12" s="422">
        <f t="shared" ref="G12:G18" si="1">(F12-E12)/E12</f>
        <v>-0.16039652394106815</v>
      </c>
    </row>
    <row r="13" spans="1:7" ht="15.75" thickBot="1" x14ac:dyDescent="0.3">
      <c r="A13" s="240" t="s">
        <v>162</v>
      </c>
      <c r="B13" s="242">
        <v>1020579</v>
      </c>
      <c r="C13" s="413">
        <v>1088410</v>
      </c>
      <c r="D13" s="422">
        <f t="shared" si="0"/>
        <v>6.6463252722229249E-2</v>
      </c>
      <c r="E13" s="242">
        <v>1020579</v>
      </c>
      <c r="F13" s="413">
        <v>1114572</v>
      </c>
      <c r="G13" s="422">
        <f t="shared" si="1"/>
        <v>9.2097720999550256E-2</v>
      </c>
    </row>
    <row r="14" spans="1:7" ht="15.75" thickBot="1" x14ac:dyDescent="0.3">
      <c r="A14" s="240" t="s">
        <v>36</v>
      </c>
      <c r="B14" s="242">
        <v>1109878</v>
      </c>
      <c r="C14" s="413">
        <v>1152833</v>
      </c>
      <c r="D14" s="422">
        <f t="shared" si="0"/>
        <v>3.8702451981208745E-2</v>
      </c>
      <c r="E14" s="242">
        <v>1109878</v>
      </c>
      <c r="F14" s="413">
        <v>1210805</v>
      </c>
      <c r="G14" s="422">
        <f t="shared" si="1"/>
        <v>9.0935219907052847E-2</v>
      </c>
    </row>
    <row r="15" spans="1:7" ht="15.75" thickBot="1" x14ac:dyDescent="0.3">
      <c r="A15" s="240" t="s">
        <v>163</v>
      </c>
      <c r="B15" s="242">
        <v>94569</v>
      </c>
      <c r="C15" s="413">
        <v>85337</v>
      </c>
      <c r="D15" s="422">
        <f t="shared" si="0"/>
        <v>-9.7621842252746671E-2</v>
      </c>
      <c r="E15" s="242">
        <v>94569</v>
      </c>
      <c r="F15" s="413">
        <v>89735</v>
      </c>
      <c r="G15" s="422">
        <f t="shared" si="1"/>
        <v>-5.1116116274889233E-2</v>
      </c>
    </row>
    <row r="16" spans="1:7" ht="15.75" thickBot="1" x14ac:dyDescent="0.3">
      <c r="A16" s="240" t="s">
        <v>164</v>
      </c>
      <c r="B16" s="242">
        <v>241726</v>
      </c>
      <c r="C16" s="413">
        <v>259405</v>
      </c>
      <c r="D16" s="422">
        <f t="shared" si="0"/>
        <v>7.3136526480395161E-2</v>
      </c>
      <c r="E16" s="242">
        <v>241726</v>
      </c>
      <c r="F16" s="413">
        <v>318944</v>
      </c>
      <c r="G16" s="422">
        <f t="shared" si="1"/>
        <v>0.31944432953012913</v>
      </c>
    </row>
    <row r="17" spans="1:7" ht="15.75" thickBot="1" x14ac:dyDescent="0.3">
      <c r="A17" s="245" t="s">
        <v>165</v>
      </c>
      <c r="B17" s="247">
        <v>6777</v>
      </c>
      <c r="C17" s="414">
        <v>6695</v>
      </c>
      <c r="D17" s="422">
        <f t="shared" si="0"/>
        <v>-1.209974915154198E-2</v>
      </c>
      <c r="E17" s="247">
        <v>6777</v>
      </c>
      <c r="F17" s="414">
        <v>6729</v>
      </c>
      <c r="G17" s="422">
        <f t="shared" si="1"/>
        <v>-7.0827799911465251E-3</v>
      </c>
    </row>
    <row r="18" spans="1:7" ht="15.75" thickBot="1" x14ac:dyDescent="0.3">
      <c r="A18" s="249" t="s">
        <v>166</v>
      </c>
      <c r="B18" s="250">
        <f>SUM(B12:B17)</f>
        <v>2821049</v>
      </c>
      <c r="C18" s="415">
        <f>SUM(C12:C17)</f>
        <v>2883513</v>
      </c>
      <c r="D18" s="422">
        <f t="shared" si="0"/>
        <v>2.2142118056084813E-2</v>
      </c>
      <c r="E18" s="250">
        <f>SUM(E12:E17)</f>
        <v>2821049</v>
      </c>
      <c r="F18" s="415">
        <f>SUM(F12:F17)</f>
        <v>3032564</v>
      </c>
      <c r="G18" s="422">
        <f t="shared" si="1"/>
        <v>7.4977428609003249E-2</v>
      </c>
    </row>
    <row r="19" spans="1:7" x14ac:dyDescent="0.25">
      <c r="A19" s="378" t="s">
        <v>167</v>
      </c>
      <c r="B19" s="379"/>
      <c r="C19" s="412"/>
      <c r="D19" s="421"/>
      <c r="E19" s="379"/>
      <c r="F19" s="412"/>
      <c r="G19" s="421"/>
    </row>
    <row r="20" spans="1:7" ht="15.75" thickBot="1" x14ac:dyDescent="0.3">
      <c r="A20" s="240" t="s">
        <v>298</v>
      </c>
      <c r="B20" s="242">
        <v>28065</v>
      </c>
      <c r="C20" s="413">
        <v>26197</v>
      </c>
      <c r="D20" s="422">
        <f t="shared" ref="D20:D31" si="2">(C20-B20)/B20</f>
        <v>-6.6559771957954747E-2</v>
      </c>
      <c r="E20" s="242">
        <v>28065</v>
      </c>
      <c r="F20" s="413">
        <v>26610</v>
      </c>
      <c r="G20" s="422">
        <f>(F20-E20)/E20</f>
        <v>-5.1843933725280601E-2</v>
      </c>
    </row>
    <row r="21" spans="1:7" ht="15.75" thickBot="1" x14ac:dyDescent="0.3">
      <c r="A21" s="240" t="s">
        <v>169</v>
      </c>
      <c r="B21" s="242">
        <v>192795</v>
      </c>
      <c r="C21" s="413">
        <v>193085</v>
      </c>
      <c r="D21" s="422">
        <f t="shared" si="2"/>
        <v>1.5041883866282839E-3</v>
      </c>
      <c r="E21" s="242">
        <v>192795</v>
      </c>
      <c r="F21" s="413">
        <v>193771</v>
      </c>
      <c r="G21" s="422">
        <f>(F21-E21)/E21</f>
        <v>5.0623719494800176E-3</v>
      </c>
    </row>
    <row r="22" spans="1:7" ht="15.75" thickBot="1" x14ac:dyDescent="0.3">
      <c r="A22" s="240" t="s">
        <v>170</v>
      </c>
      <c r="B22" s="242">
        <v>3322694</v>
      </c>
      <c r="C22" s="413">
        <v>3682549</v>
      </c>
      <c r="D22" s="422">
        <f t="shared" si="2"/>
        <v>0.10830217889459577</v>
      </c>
      <c r="E22" s="242">
        <v>3322694</v>
      </c>
      <c r="F22" s="413">
        <v>3469931</v>
      </c>
      <c r="G22" s="422">
        <f>(F22-E22)/E22</f>
        <v>4.4312536754814016E-2</v>
      </c>
    </row>
    <row r="23" spans="1:7" ht="15.75" thickBot="1" x14ac:dyDescent="0.3">
      <c r="A23" s="240" t="s">
        <v>171</v>
      </c>
      <c r="B23" s="242">
        <v>3376364</v>
      </c>
      <c r="C23" s="413">
        <v>3334889</v>
      </c>
      <c r="D23" s="422">
        <f t="shared" si="2"/>
        <v>-1.2283924363605345E-2</v>
      </c>
      <c r="E23" s="242">
        <v>3376364</v>
      </c>
      <c r="F23" s="413">
        <v>3320816</v>
      </c>
      <c r="G23" s="422">
        <f>(F23-E23)/E23</f>
        <v>-1.6452017614214581E-2</v>
      </c>
    </row>
    <row r="24" spans="1:7" ht="15.75" thickBot="1" x14ac:dyDescent="0.3">
      <c r="A24" s="240" t="s">
        <v>295</v>
      </c>
      <c r="B24" s="242">
        <v>0</v>
      </c>
      <c r="C24" s="413">
        <v>911015</v>
      </c>
      <c r="D24" s="422" t="s">
        <v>131</v>
      </c>
      <c r="E24" s="242">
        <v>0</v>
      </c>
      <c r="F24" s="413">
        <v>912962</v>
      </c>
      <c r="G24" s="422" t="s">
        <v>131</v>
      </c>
    </row>
    <row r="25" spans="1:7" ht="15.75" thickBot="1" x14ac:dyDescent="0.3">
      <c r="A25" s="240" t="s">
        <v>141</v>
      </c>
      <c r="B25" s="242">
        <v>77062</v>
      </c>
      <c r="C25" s="413">
        <v>76974</v>
      </c>
      <c r="D25" s="422">
        <f t="shared" si="2"/>
        <v>-1.1419376605849836E-3</v>
      </c>
      <c r="E25" s="242">
        <v>77062</v>
      </c>
      <c r="F25" s="413">
        <v>76886</v>
      </c>
      <c r="G25" s="422">
        <f t="shared" ref="G25:G30" si="3">(F25-E25)/E25</f>
        <v>-2.2838753211699672E-3</v>
      </c>
    </row>
    <row r="26" spans="1:7" ht="15.75" thickBot="1" x14ac:dyDescent="0.3">
      <c r="A26" s="240" t="s">
        <v>247</v>
      </c>
      <c r="B26" s="242">
        <v>2085908</v>
      </c>
      <c r="C26" s="413">
        <v>2085257</v>
      </c>
      <c r="D26" s="422">
        <f t="shared" si="2"/>
        <v>-3.1209430137858432E-4</v>
      </c>
      <c r="E26" s="242">
        <v>2085908</v>
      </c>
      <c r="F26" s="413">
        <v>2097084</v>
      </c>
      <c r="G26" s="422">
        <f t="shared" si="3"/>
        <v>5.3578585440968631E-3</v>
      </c>
    </row>
    <row r="27" spans="1:7" ht="15.75" thickBot="1" x14ac:dyDescent="0.3">
      <c r="A27" s="240" t="s">
        <v>173</v>
      </c>
      <c r="B27" s="242">
        <v>1167536</v>
      </c>
      <c r="C27" s="413">
        <v>1168448</v>
      </c>
      <c r="D27" s="422">
        <f t="shared" si="2"/>
        <v>7.8113223061216101E-4</v>
      </c>
      <c r="E27" s="242">
        <v>1167536</v>
      </c>
      <c r="F27" s="413">
        <v>1181080</v>
      </c>
      <c r="G27" s="422">
        <f t="shared" si="3"/>
        <v>1.1600498828301654E-2</v>
      </c>
    </row>
    <row r="28" spans="1:7" ht="15.75" thickBot="1" x14ac:dyDescent="0.3">
      <c r="A28" s="240" t="s">
        <v>274</v>
      </c>
      <c r="B28" s="242">
        <v>379753</v>
      </c>
      <c r="C28" s="413">
        <v>589304</v>
      </c>
      <c r="D28" s="422">
        <f t="shared" si="2"/>
        <v>0.55180867563916547</v>
      </c>
      <c r="E28" s="242">
        <v>379753</v>
      </c>
      <c r="F28" s="413">
        <v>629109</v>
      </c>
      <c r="G28" s="422">
        <f t="shared" si="3"/>
        <v>0.65662680742482615</v>
      </c>
    </row>
    <row r="29" spans="1:7" ht="15.75" thickBot="1" x14ac:dyDescent="0.3">
      <c r="A29" s="245" t="s">
        <v>271</v>
      </c>
      <c r="B29" s="247">
        <v>72471</v>
      </c>
      <c r="C29" s="414">
        <v>73785</v>
      </c>
      <c r="D29" s="423">
        <f t="shared" si="2"/>
        <v>1.8131390487229376E-2</v>
      </c>
      <c r="E29" s="247">
        <v>72471</v>
      </c>
      <c r="F29" s="414">
        <v>75097</v>
      </c>
      <c r="G29" s="423">
        <f t="shared" si="3"/>
        <v>3.6235183728663876E-2</v>
      </c>
    </row>
    <row r="30" spans="1:7" ht="15.75" thickBot="1" x14ac:dyDescent="0.3">
      <c r="A30" s="249" t="s">
        <v>175</v>
      </c>
      <c r="B30" s="250">
        <f>SUM(B20:B29)</f>
        <v>10702648</v>
      </c>
      <c r="C30" s="415">
        <f>SUM(C20:C29)</f>
        <v>12141503</v>
      </c>
      <c r="D30" s="424">
        <f t="shared" si="2"/>
        <v>0.13443915935570339</v>
      </c>
      <c r="E30" s="250">
        <f>SUM(E20:E29)</f>
        <v>10702648</v>
      </c>
      <c r="F30" s="415">
        <f>SUM(F20:F29)</f>
        <v>11983346</v>
      </c>
      <c r="G30" s="424">
        <f t="shared" si="3"/>
        <v>0.11966178837237289</v>
      </c>
    </row>
    <row r="31" spans="1:7" ht="15.75" thickBot="1" x14ac:dyDescent="0.3">
      <c r="A31" s="382" t="s">
        <v>176</v>
      </c>
      <c r="B31" s="383">
        <f>+B18+B30</f>
        <v>13523697</v>
      </c>
      <c r="C31" s="416">
        <f>+C18+C30</f>
        <v>15025016</v>
      </c>
      <c r="D31" s="425">
        <f t="shared" si="2"/>
        <v>0.11101394833084474</v>
      </c>
      <c r="E31" s="383">
        <f>+E18+E30</f>
        <v>13523697</v>
      </c>
      <c r="F31" s="416">
        <f>+F18+F30</f>
        <v>15015910</v>
      </c>
      <c r="G31" s="425">
        <f>(F31-E31)/E31</f>
        <v>0.11034061174248432</v>
      </c>
    </row>
    <row r="32" spans="1:7" x14ac:dyDescent="0.25">
      <c r="A32" s="376" t="s">
        <v>142</v>
      </c>
      <c r="B32" s="377"/>
      <c r="C32" s="411"/>
      <c r="D32" s="411"/>
      <c r="E32" s="377"/>
      <c r="F32" s="411"/>
      <c r="G32" s="411"/>
    </row>
    <row r="33" spans="1:7" x14ac:dyDescent="0.25">
      <c r="A33" s="378" t="s">
        <v>177</v>
      </c>
      <c r="B33" s="379"/>
      <c r="C33" s="412"/>
      <c r="D33" s="421"/>
      <c r="E33" s="379"/>
      <c r="F33" s="412"/>
      <c r="G33" s="421"/>
    </row>
    <row r="34" spans="1:7" ht="15.75" thickBot="1" x14ac:dyDescent="0.3">
      <c r="A34" s="240" t="s">
        <v>28</v>
      </c>
      <c r="B34" s="242">
        <v>522302</v>
      </c>
      <c r="C34" s="413">
        <v>557006</v>
      </c>
      <c r="D34" s="422">
        <f t="shared" ref="D34:D40" si="4">(C34-B34)/B34</f>
        <v>6.644431765530287E-2</v>
      </c>
      <c r="E34" s="242">
        <v>522302</v>
      </c>
      <c r="F34" s="413">
        <v>545046</v>
      </c>
      <c r="G34" s="422">
        <f t="shared" ref="G34:G40" si="5">(F34-E34)/E34</f>
        <v>4.3545688126792548E-2</v>
      </c>
    </row>
    <row r="35" spans="1:7" ht="15.75" thickBot="1" x14ac:dyDescent="0.3">
      <c r="A35" s="240" t="s">
        <v>178</v>
      </c>
      <c r="B35" s="242">
        <v>1094960</v>
      </c>
      <c r="C35" s="413">
        <v>1147187</v>
      </c>
      <c r="D35" s="422">
        <f t="shared" si="4"/>
        <v>4.7697632790238913E-2</v>
      </c>
      <c r="E35" s="242">
        <v>1094960</v>
      </c>
      <c r="F35" s="413">
        <v>1087230</v>
      </c>
      <c r="G35" s="422">
        <f t="shared" si="5"/>
        <v>-7.0596186162051582E-3</v>
      </c>
    </row>
    <row r="36" spans="1:7" ht="15.75" thickBot="1" x14ac:dyDescent="0.3">
      <c r="A36" s="240" t="s">
        <v>257</v>
      </c>
      <c r="B36" s="242">
        <v>228841</v>
      </c>
      <c r="C36" s="413">
        <v>186532</v>
      </c>
      <c r="D36" s="422">
        <f t="shared" si="4"/>
        <v>-0.18488382763578204</v>
      </c>
      <c r="E36" s="242">
        <v>228841</v>
      </c>
      <c r="F36" s="413">
        <v>265827</v>
      </c>
      <c r="G36" s="422">
        <f t="shared" si="5"/>
        <v>0.16162313571431694</v>
      </c>
    </row>
    <row r="37" spans="1:7" ht="15.75" thickBot="1" x14ac:dyDescent="0.3">
      <c r="A37" s="240" t="s">
        <v>179</v>
      </c>
      <c r="B37" s="242">
        <v>165833</v>
      </c>
      <c r="C37" s="413">
        <v>159605</v>
      </c>
      <c r="D37" s="422">
        <f t="shared" si="4"/>
        <v>-3.7555854383626901E-2</v>
      </c>
      <c r="E37" s="242">
        <v>165833</v>
      </c>
      <c r="F37" s="413">
        <v>165255</v>
      </c>
      <c r="G37" s="422">
        <f t="shared" si="5"/>
        <v>-3.4854341415761639E-3</v>
      </c>
    </row>
    <row r="38" spans="1:7" ht="15.75" thickBot="1" x14ac:dyDescent="0.3">
      <c r="A38" s="240" t="s">
        <v>180</v>
      </c>
      <c r="B38" s="242">
        <v>4118</v>
      </c>
      <c r="C38" s="413">
        <v>4149</v>
      </c>
      <c r="D38" s="422">
        <f t="shared" si="4"/>
        <v>7.5279261777561925E-3</v>
      </c>
      <c r="E38" s="242">
        <v>4118</v>
      </c>
      <c r="F38" s="413">
        <v>2084</v>
      </c>
      <c r="G38" s="422">
        <f t="shared" si="5"/>
        <v>-0.49392909179213212</v>
      </c>
    </row>
    <row r="39" spans="1:7" ht="15.75" thickBot="1" x14ac:dyDescent="0.3">
      <c r="A39" s="245" t="s">
        <v>260</v>
      </c>
      <c r="B39" s="247">
        <v>26676</v>
      </c>
      <c r="C39" s="414">
        <v>16056</v>
      </c>
      <c r="D39" s="423">
        <f t="shared" si="4"/>
        <v>-0.39811066126855599</v>
      </c>
      <c r="E39" s="247">
        <v>26676</v>
      </c>
      <c r="F39" s="414">
        <v>17671</v>
      </c>
      <c r="G39" s="423">
        <f t="shared" si="5"/>
        <v>-0.33756935072724548</v>
      </c>
    </row>
    <row r="40" spans="1:7" ht="15.75" thickBot="1" x14ac:dyDescent="0.3">
      <c r="A40" s="249" t="s">
        <v>181</v>
      </c>
      <c r="B40" s="250">
        <f>SUM(B34:B39)</f>
        <v>2042730</v>
      </c>
      <c r="C40" s="415">
        <f>SUM(C34:C39)</f>
        <v>2070535</v>
      </c>
      <c r="D40" s="424">
        <f t="shared" si="4"/>
        <v>1.3611686321736108E-2</v>
      </c>
      <c r="E40" s="250">
        <f>SUM(E34:E39)</f>
        <v>2042730</v>
      </c>
      <c r="F40" s="415">
        <f>SUM(F34:F39)</f>
        <v>2083113</v>
      </c>
      <c r="G40" s="424">
        <f t="shared" si="5"/>
        <v>1.9769132484469314E-2</v>
      </c>
    </row>
    <row r="41" spans="1:7" x14ac:dyDescent="0.25">
      <c r="A41" s="378" t="s">
        <v>182</v>
      </c>
      <c r="B41" s="379"/>
      <c r="C41" s="412"/>
      <c r="D41" s="421"/>
      <c r="E41" s="379"/>
      <c r="F41" s="412"/>
      <c r="G41" s="421"/>
    </row>
    <row r="42" spans="1:7" ht="15.75" thickBot="1" x14ac:dyDescent="0.3">
      <c r="A42" s="240" t="s">
        <v>28</v>
      </c>
      <c r="B42" s="242">
        <v>2265743</v>
      </c>
      <c r="C42" s="413">
        <v>2371920</v>
      </c>
      <c r="D42" s="422">
        <f t="shared" ref="D42:D50" si="6">(C42-B42)/B42</f>
        <v>4.6861890337959775E-2</v>
      </c>
      <c r="E42" s="242">
        <v>2265743</v>
      </c>
      <c r="F42" s="413">
        <v>2352222</v>
      </c>
      <c r="G42" s="422">
        <f>(F42-E42)/E42</f>
        <v>3.8168053481793834E-2</v>
      </c>
    </row>
    <row r="43" spans="1:7" ht="15.75" thickBot="1" x14ac:dyDescent="0.3">
      <c r="A43" s="240" t="s">
        <v>296</v>
      </c>
      <c r="B43" s="242">
        <v>0</v>
      </c>
      <c r="C43" s="413">
        <v>911359</v>
      </c>
      <c r="D43" s="422" t="s">
        <v>131</v>
      </c>
      <c r="E43" s="242">
        <v>0</v>
      </c>
      <c r="F43" s="413">
        <v>903448</v>
      </c>
      <c r="G43" s="422" t="s">
        <v>131</v>
      </c>
    </row>
    <row r="44" spans="1:7" ht="15.75" thickBot="1" x14ac:dyDescent="0.3">
      <c r="A44" s="240" t="s">
        <v>178</v>
      </c>
      <c r="B44" s="241">
        <v>158</v>
      </c>
      <c r="C44" s="417">
        <v>158</v>
      </c>
      <c r="D44" s="422">
        <f t="shared" si="6"/>
        <v>0</v>
      </c>
      <c r="E44" s="241">
        <v>158</v>
      </c>
      <c r="F44" s="417">
        <v>158</v>
      </c>
      <c r="G44" s="422">
        <f>(F44-E44)/E44</f>
        <v>0</v>
      </c>
    </row>
    <row r="45" spans="1:7" ht="15.75" thickBot="1" x14ac:dyDescent="0.3">
      <c r="A45" s="240" t="s">
        <v>179</v>
      </c>
      <c r="B45" s="242">
        <v>175036</v>
      </c>
      <c r="C45" s="413">
        <v>176068</v>
      </c>
      <c r="D45" s="422">
        <f t="shared" si="6"/>
        <v>5.8959299801183756E-3</v>
      </c>
      <c r="E45" s="242">
        <v>175036</v>
      </c>
      <c r="F45" s="413">
        <v>181266</v>
      </c>
      <c r="G45" s="422">
        <f>(F45-E45)/E45</f>
        <v>3.5592678077652595E-2</v>
      </c>
    </row>
    <row r="46" spans="1:7" ht="15.75" thickBot="1" x14ac:dyDescent="0.3">
      <c r="A46" s="240" t="s">
        <v>183</v>
      </c>
      <c r="B46" s="242">
        <v>704763</v>
      </c>
      <c r="C46" s="413">
        <v>914360</v>
      </c>
      <c r="D46" s="422">
        <f t="shared" si="6"/>
        <v>0.29740068647190615</v>
      </c>
      <c r="E46" s="242">
        <v>704763</v>
      </c>
      <c r="F46" s="413">
        <v>957086</v>
      </c>
      <c r="G46" s="422">
        <f>(F46-E46)/E46</f>
        <v>0.35802532198767528</v>
      </c>
    </row>
    <row r="47" spans="1:7" ht="15.75" thickBot="1" x14ac:dyDescent="0.3">
      <c r="A47" s="240" t="s">
        <v>297</v>
      </c>
      <c r="B47" s="242">
        <v>0</v>
      </c>
      <c r="C47" s="413">
        <v>5901</v>
      </c>
      <c r="D47" s="422" t="s">
        <v>131</v>
      </c>
      <c r="E47" s="242">
        <v>0</v>
      </c>
      <c r="F47" s="413">
        <v>22883</v>
      </c>
      <c r="G47" s="422" t="s">
        <v>131</v>
      </c>
    </row>
    <row r="48" spans="1:7" ht="15.75" thickBot="1" x14ac:dyDescent="0.3">
      <c r="A48" s="245" t="s">
        <v>261</v>
      </c>
      <c r="B48" s="246">
        <v>536</v>
      </c>
      <c r="C48" s="418">
        <v>514</v>
      </c>
      <c r="D48" s="422">
        <f t="shared" si="6"/>
        <v>-4.1044776119402986E-2</v>
      </c>
      <c r="E48" s="246">
        <v>536</v>
      </c>
      <c r="F48" s="418">
        <v>505</v>
      </c>
      <c r="G48" s="422">
        <f>(F48-E48)/E48</f>
        <v>-5.7835820895522388E-2</v>
      </c>
    </row>
    <row r="49" spans="1:20" ht="15.75" thickBot="1" x14ac:dyDescent="0.3">
      <c r="A49" s="249" t="s">
        <v>185</v>
      </c>
      <c r="B49" s="250">
        <f>SUM(B42:B48)</f>
        <v>3146236</v>
      </c>
      <c r="C49" s="415">
        <f>SUM(C42:C48)</f>
        <v>4380280</v>
      </c>
      <c r="D49" s="424">
        <f t="shared" si="6"/>
        <v>0.39222868214590384</v>
      </c>
      <c r="E49" s="250">
        <f>SUM(E42:E48)</f>
        <v>3146236</v>
      </c>
      <c r="F49" s="415">
        <f>SUM(F42:F48)</f>
        <v>4417568</v>
      </c>
      <c r="G49" s="424">
        <f>(F49-E49)/E49</f>
        <v>0.40408030421112723</v>
      </c>
    </row>
    <row r="50" spans="1:20" ht="15.75" thickBot="1" x14ac:dyDescent="0.3">
      <c r="A50" s="382" t="s">
        <v>186</v>
      </c>
      <c r="B50" s="383">
        <f>+B40+B49</f>
        <v>5188966</v>
      </c>
      <c r="C50" s="416">
        <f>+C40+C49</f>
        <v>6450815</v>
      </c>
      <c r="D50" s="425">
        <f t="shared" si="6"/>
        <v>0.24317927695035968</v>
      </c>
      <c r="E50" s="383">
        <f>+E40+E49</f>
        <v>5188966</v>
      </c>
      <c r="F50" s="416">
        <f>+F40+F49</f>
        <v>6500681</v>
      </c>
      <c r="G50" s="425">
        <f>(F50-E50)/E50</f>
        <v>0.25278928403076839</v>
      </c>
    </row>
    <row r="51" spans="1:20" x14ac:dyDescent="0.25">
      <c r="A51" s="376" t="s">
        <v>34</v>
      </c>
      <c r="B51" s="377"/>
      <c r="C51" s="411"/>
      <c r="D51" s="411"/>
      <c r="E51" s="377"/>
      <c r="F51" s="411"/>
      <c r="G51" s="411"/>
    </row>
    <row r="52" spans="1:20" ht="15.75" thickBot="1" x14ac:dyDescent="0.3">
      <c r="A52" s="249" t="s">
        <v>187</v>
      </c>
      <c r="B52" s="250">
        <v>8290443</v>
      </c>
      <c r="C52" s="415">
        <v>8530766</v>
      </c>
      <c r="D52" s="424">
        <f>(C52-B52)/B52</f>
        <v>2.8987956373380769E-2</v>
      </c>
      <c r="E52" s="250">
        <v>8290443</v>
      </c>
      <c r="F52" s="415">
        <v>8471641</v>
      </c>
      <c r="G52" s="424">
        <f>(F52-E52)/E52</f>
        <v>2.1856250624966603E-2</v>
      </c>
    </row>
    <row r="53" spans="1:20" ht="15.75" thickBot="1" x14ac:dyDescent="0.3">
      <c r="A53" s="259" t="s">
        <v>188</v>
      </c>
      <c r="B53" s="247">
        <v>44288</v>
      </c>
      <c r="C53" s="414">
        <v>43435</v>
      </c>
      <c r="D53" s="423">
        <f>(C53-B53)/B53</f>
        <v>-1.9260296242774567E-2</v>
      </c>
      <c r="E53" s="247">
        <v>44288</v>
      </c>
      <c r="F53" s="414">
        <v>43588</v>
      </c>
      <c r="G53" s="423">
        <f>(F53-E53)/E53</f>
        <v>-1.5805635838150291E-2</v>
      </c>
    </row>
    <row r="54" spans="1:20" ht="15.75" thickBot="1" x14ac:dyDescent="0.3">
      <c r="A54" s="382" t="s">
        <v>189</v>
      </c>
      <c r="B54" s="383">
        <f>SUM(B52:B53)</f>
        <v>8334731</v>
      </c>
      <c r="C54" s="416">
        <f>SUM(C52:C53)</f>
        <v>8574201</v>
      </c>
      <c r="D54" s="425">
        <f>(C54-B54)/B54</f>
        <v>2.8731581139211333E-2</v>
      </c>
      <c r="E54" s="383">
        <f>SUM(E52:E53)</f>
        <v>8334731</v>
      </c>
      <c r="F54" s="416">
        <f>SUM(F52:F53)</f>
        <v>8515229</v>
      </c>
      <c r="G54" s="425">
        <f>(F54-E54)/E54</f>
        <v>2.165612783423964E-2</v>
      </c>
    </row>
    <row r="55" spans="1:20" ht="15.75" thickBot="1" x14ac:dyDescent="0.3">
      <c r="A55" s="380" t="s">
        <v>190</v>
      </c>
      <c r="B55" s="381">
        <f>+B50+B54</f>
        <v>13523697</v>
      </c>
      <c r="C55" s="419">
        <f>+C50+C54</f>
        <v>15025016</v>
      </c>
      <c r="D55" s="426">
        <f>(C55-B55)/B55</f>
        <v>0.11101394833084474</v>
      </c>
      <c r="E55" s="381">
        <f>+E50+E54</f>
        <v>13523697</v>
      </c>
      <c r="F55" s="419">
        <f>+F50+F54</f>
        <v>15015910</v>
      </c>
      <c r="G55" s="426">
        <f>(F55-E55)/E55</f>
        <v>0.11034061174248432</v>
      </c>
    </row>
    <row r="57" spans="1:20" x14ac:dyDescent="0.25">
      <c r="B57" s="263"/>
      <c r="C57" s="263"/>
      <c r="D57" s="263"/>
      <c r="E57" s="263"/>
      <c r="F57" s="263"/>
      <c r="H57" s="263"/>
      <c r="J57" s="263"/>
      <c r="M57" s="263"/>
      <c r="O57" s="263"/>
      <c r="R57" s="263"/>
      <c r="T57" s="263"/>
    </row>
    <row r="58" spans="1:20" ht="18.75" x14ac:dyDescent="0.3">
      <c r="A58" s="264" t="s">
        <v>191</v>
      </c>
      <c r="B58" s="362"/>
      <c r="C58" s="362"/>
      <c r="D58" s="362"/>
      <c r="E58" s="362"/>
    </row>
    <row r="59" spans="1:20" x14ac:dyDescent="0.25">
      <c r="A59" s="332" t="s">
        <v>215</v>
      </c>
      <c r="B59" s="362"/>
      <c r="C59" s="362"/>
      <c r="D59" s="362"/>
      <c r="E59" s="362"/>
    </row>
    <row r="60" spans="1:20" x14ac:dyDescent="0.25">
      <c r="A60" s="332" t="s">
        <v>88</v>
      </c>
      <c r="B60" s="362"/>
      <c r="C60" s="362"/>
      <c r="D60" s="362"/>
      <c r="E60" s="362"/>
    </row>
    <row r="61" spans="1:20" x14ac:dyDescent="0.25">
      <c r="A61" s="265" t="s">
        <v>159</v>
      </c>
      <c r="B61" s="362"/>
      <c r="C61" s="362"/>
      <c r="D61" s="362"/>
      <c r="E61" s="362"/>
    </row>
    <row r="62" spans="1:20" ht="15.75" thickBot="1" x14ac:dyDescent="0.3">
      <c r="B62" s="364"/>
      <c r="C62" s="364"/>
      <c r="D62" s="364"/>
      <c r="E62" s="364"/>
    </row>
    <row r="63" spans="1:20" ht="15.75" customHeight="1" thickBot="1" x14ac:dyDescent="0.3">
      <c r="A63" s="353"/>
      <c r="B63" s="388" t="s">
        <v>270</v>
      </c>
      <c r="C63" s="388" t="s">
        <v>55</v>
      </c>
      <c r="D63" s="400" t="s">
        <v>299</v>
      </c>
      <c r="E63" s="400" t="s">
        <v>55</v>
      </c>
      <c r="F63" s="388" t="s">
        <v>46</v>
      </c>
      <c r="G63" s="388" t="s">
        <v>270</v>
      </c>
      <c r="H63" s="400" t="s">
        <v>299</v>
      </c>
      <c r="I63" s="388" t="s">
        <v>277</v>
      </c>
      <c r="J63" s="388" t="s">
        <v>55</v>
      </c>
      <c r="K63" s="400" t="s">
        <v>307</v>
      </c>
      <c r="L63" s="400" t="s">
        <v>55</v>
      </c>
      <c r="M63" s="388" t="s">
        <v>46</v>
      </c>
      <c r="N63" s="388" t="s">
        <v>278</v>
      </c>
      <c r="O63" s="388" t="s">
        <v>55</v>
      </c>
      <c r="P63" s="400" t="s">
        <v>309</v>
      </c>
      <c r="Q63" s="400" t="s">
        <v>55</v>
      </c>
      <c r="R63" s="388" t="s">
        <v>46</v>
      </c>
    </row>
    <row r="64" spans="1:20" ht="15.75" thickTop="1" x14ac:dyDescent="0.25">
      <c r="A64" s="390" t="s">
        <v>193</v>
      </c>
      <c r="B64" s="389"/>
      <c r="C64" s="389"/>
      <c r="D64" s="401"/>
      <c r="E64" s="406"/>
      <c r="F64" s="389"/>
      <c r="G64" s="389"/>
      <c r="H64" s="401"/>
      <c r="I64" s="389"/>
      <c r="J64" s="389"/>
      <c r="K64" s="401"/>
      <c r="L64" s="406"/>
      <c r="M64" s="389"/>
      <c r="N64" s="389"/>
      <c r="O64" s="389"/>
      <c r="P64" s="401"/>
      <c r="Q64" s="406"/>
      <c r="R64" s="389"/>
    </row>
    <row r="65" spans="1:18" ht="15.75" thickBot="1" x14ac:dyDescent="0.3">
      <c r="A65" s="391" t="s">
        <v>194</v>
      </c>
      <c r="B65" s="458">
        <v>2104345</v>
      </c>
      <c r="C65" s="387">
        <f t="shared" ref="C65:C85" si="7">+B65/$B$65</f>
        <v>1</v>
      </c>
      <c r="D65" s="395">
        <v>2245742</v>
      </c>
      <c r="E65" s="387">
        <f t="shared" ref="E65:E85" si="8">+D65/$D$65</f>
        <v>1</v>
      </c>
      <c r="F65" s="387">
        <f t="shared" ref="F65:F85" si="9">(D65-B65)/B65</f>
        <v>6.7192879494569563E-2</v>
      </c>
      <c r="G65" s="458">
        <v>2104345</v>
      </c>
      <c r="H65" s="395">
        <v>2245742</v>
      </c>
      <c r="I65" s="395">
        <v>2222169</v>
      </c>
      <c r="J65" s="387">
        <f>I65/$I$65</f>
        <v>1</v>
      </c>
      <c r="K65" s="395">
        <v>2400675</v>
      </c>
      <c r="L65" s="387">
        <f>K65/$K$65</f>
        <v>1</v>
      </c>
      <c r="M65" s="387">
        <f t="shared" ref="M65:M85" si="10">(K65-I65)/I65</f>
        <v>8.0329623894492275E-2</v>
      </c>
      <c r="N65" s="395">
        <f>+G65+I65</f>
        <v>4326514</v>
      </c>
      <c r="O65" s="387">
        <f>N65/$N$65</f>
        <v>1</v>
      </c>
      <c r="P65" s="395">
        <f>+H65+K65</f>
        <v>4646417</v>
      </c>
      <c r="Q65" s="387">
        <f>P65/$P$65</f>
        <v>1</v>
      </c>
      <c r="R65" s="387">
        <f>(P65-N65)/N65</f>
        <v>7.3940128241813161E-2</v>
      </c>
    </row>
    <row r="66" spans="1:18" ht="15.75" thickBot="1" x14ac:dyDescent="0.3">
      <c r="A66" s="392" t="s">
        <v>273</v>
      </c>
      <c r="B66" s="460">
        <v>-1168715</v>
      </c>
      <c r="C66" s="384">
        <f t="shared" si="7"/>
        <v>-0.5553818409053648</v>
      </c>
      <c r="D66" s="456">
        <v>-1253514</v>
      </c>
      <c r="E66" s="407">
        <f t="shared" si="8"/>
        <v>-0.55817364594864416</v>
      </c>
      <c r="F66" s="384">
        <f t="shared" si="9"/>
        <v>7.2557466961577458E-2</v>
      </c>
      <c r="G66" s="460">
        <v>-1168715</v>
      </c>
      <c r="H66" s="456">
        <v>-1253514</v>
      </c>
      <c r="I66" s="460">
        <v>-1229625</v>
      </c>
      <c r="J66" s="384">
        <f t="shared" ref="J66:J90" si="11">I66/$I$65</f>
        <v>-0.55334450260083734</v>
      </c>
      <c r="K66" s="456">
        <v>-1330189</v>
      </c>
      <c r="L66" s="407">
        <f t="shared" ref="L66:L91" si="12">K66/$K$65</f>
        <v>-0.5540895789725806</v>
      </c>
      <c r="M66" s="384">
        <f t="shared" si="10"/>
        <v>8.1784283826369833E-2</v>
      </c>
      <c r="N66" s="460">
        <f t="shared" ref="N66:N79" si="13">+G66+I66</f>
        <v>-2398340</v>
      </c>
      <c r="O66" s="384">
        <f t="shared" ref="O66:O91" si="14">N66/$N$65</f>
        <v>-0.55433543032566168</v>
      </c>
      <c r="P66" s="456">
        <f t="shared" ref="P66:P79" si="15">+H66+K66</f>
        <v>-2583703</v>
      </c>
      <c r="Q66" s="407">
        <f t="shared" ref="Q66:Q91" si="16">P66/$P$65</f>
        <v>-0.55606352163398165</v>
      </c>
      <c r="R66" s="384">
        <f t="shared" ref="R66:R79" si="17">(P66-N66)/N66</f>
        <v>7.7288040894952337E-2</v>
      </c>
    </row>
    <row r="67" spans="1:18" ht="15.75" thickBot="1" x14ac:dyDescent="0.3">
      <c r="A67" s="393" t="s">
        <v>196</v>
      </c>
      <c r="B67" s="461">
        <f>SUM(B65:B66)</f>
        <v>935630</v>
      </c>
      <c r="C67" s="386">
        <f t="shared" si="7"/>
        <v>0.44461815909463515</v>
      </c>
      <c r="D67" s="457">
        <f>SUM(D65:D66)</f>
        <v>992228</v>
      </c>
      <c r="E67" s="408">
        <f t="shared" si="8"/>
        <v>0.44182635405135584</v>
      </c>
      <c r="F67" s="386">
        <f t="shared" si="9"/>
        <v>6.0491861098938685E-2</v>
      </c>
      <c r="G67" s="461">
        <f>SUM(G65:G66)</f>
        <v>935630</v>
      </c>
      <c r="H67" s="457">
        <f>SUM(H65:H66)</f>
        <v>992228</v>
      </c>
      <c r="I67" s="397">
        <f>SUM(I65:I66)</f>
        <v>992544</v>
      </c>
      <c r="J67" s="386">
        <f t="shared" si="11"/>
        <v>0.44665549739916272</v>
      </c>
      <c r="K67" s="457">
        <f>SUM(K65:K66)</f>
        <v>1070486</v>
      </c>
      <c r="L67" s="408">
        <f t="shared" si="12"/>
        <v>0.44591042102741935</v>
      </c>
      <c r="M67" s="386">
        <f t="shared" si="10"/>
        <v>7.852750104781249E-2</v>
      </c>
      <c r="N67" s="397">
        <f t="shared" si="13"/>
        <v>1928174</v>
      </c>
      <c r="O67" s="386">
        <f t="shared" si="14"/>
        <v>0.44566456967433826</v>
      </c>
      <c r="P67" s="403">
        <f t="shared" si="15"/>
        <v>2062714</v>
      </c>
      <c r="Q67" s="408">
        <f t="shared" si="16"/>
        <v>0.44393647836601835</v>
      </c>
      <c r="R67" s="386">
        <f t="shared" si="17"/>
        <v>6.9775860477322066E-2</v>
      </c>
    </row>
    <row r="68" spans="1:18" ht="15.75" thickBot="1" x14ac:dyDescent="0.3">
      <c r="A68" s="392" t="s">
        <v>7</v>
      </c>
      <c r="B68" s="460">
        <v>-99417</v>
      </c>
      <c r="C68" s="384">
        <f t="shared" si="7"/>
        <v>-4.7243679149569104E-2</v>
      </c>
      <c r="D68" s="456">
        <v>-104388</v>
      </c>
      <c r="E68" s="407">
        <f t="shared" si="8"/>
        <v>-4.6482632466240556E-2</v>
      </c>
      <c r="F68" s="384">
        <f t="shared" si="9"/>
        <v>5.0001508796282325E-2</v>
      </c>
      <c r="G68" s="460">
        <v>-99417</v>
      </c>
      <c r="H68" s="456">
        <v>-104388</v>
      </c>
      <c r="I68" s="460">
        <v>-97486</v>
      </c>
      <c r="J68" s="384">
        <f t="shared" si="11"/>
        <v>-4.3869750680528799E-2</v>
      </c>
      <c r="K68" s="456">
        <v>-108782</v>
      </c>
      <c r="L68" s="407">
        <f t="shared" si="12"/>
        <v>-4.5313089027044479E-2</v>
      </c>
      <c r="M68" s="384">
        <f t="shared" si="10"/>
        <v>0.11587304843772439</v>
      </c>
      <c r="N68" s="460">
        <f t="shared" si="13"/>
        <v>-196903</v>
      </c>
      <c r="O68" s="384">
        <f t="shared" si="14"/>
        <v>-4.5510773800801291E-2</v>
      </c>
      <c r="P68" s="456">
        <f t="shared" si="15"/>
        <v>-213170</v>
      </c>
      <c r="Q68" s="407">
        <f t="shared" si="16"/>
        <v>-4.5878361757026975E-2</v>
      </c>
      <c r="R68" s="384">
        <f t="shared" si="17"/>
        <v>8.2614282159235761E-2</v>
      </c>
    </row>
    <row r="69" spans="1:18" ht="15.75" thickBot="1" x14ac:dyDescent="0.3">
      <c r="A69" s="392" t="s">
        <v>8</v>
      </c>
      <c r="B69" s="460">
        <v>-607913</v>
      </c>
      <c r="C69" s="384">
        <f t="shared" si="7"/>
        <v>-0.28888466482444658</v>
      </c>
      <c r="D69" s="456">
        <v>-625569</v>
      </c>
      <c r="E69" s="407">
        <f t="shared" si="8"/>
        <v>-0.27855782186911943</v>
      </c>
      <c r="F69" s="384">
        <f t="shared" si="9"/>
        <v>2.9043629598314233E-2</v>
      </c>
      <c r="G69" s="460">
        <v>-607913</v>
      </c>
      <c r="H69" s="456">
        <v>-625569</v>
      </c>
      <c r="I69" s="460">
        <v>-655615</v>
      </c>
      <c r="J69" s="384">
        <f t="shared" si="11"/>
        <v>-0.29503381605989465</v>
      </c>
      <c r="K69" s="456">
        <v>-691588</v>
      </c>
      <c r="L69" s="407">
        <f t="shared" si="12"/>
        <v>-0.28808064398554573</v>
      </c>
      <c r="M69" s="384">
        <f t="shared" si="10"/>
        <v>5.4869092378911404E-2</v>
      </c>
      <c r="N69" s="460">
        <f t="shared" si="13"/>
        <v>-1263528</v>
      </c>
      <c r="O69" s="384">
        <f t="shared" si="14"/>
        <v>-0.2920429703914052</v>
      </c>
      <c r="P69" s="456">
        <f t="shared" si="15"/>
        <v>-1317157</v>
      </c>
      <c r="Q69" s="407">
        <f t="shared" si="16"/>
        <v>-0.28347800036027759</v>
      </c>
      <c r="R69" s="384">
        <f t="shared" si="17"/>
        <v>4.2443855616970894E-2</v>
      </c>
    </row>
    <row r="70" spans="1:18" ht="15.75" thickBot="1" x14ac:dyDescent="0.3">
      <c r="A70" s="392" t="s">
        <v>84</v>
      </c>
      <c r="B70" s="460">
        <v>-33212</v>
      </c>
      <c r="C70" s="384">
        <f t="shared" si="7"/>
        <v>-1.5782583179088979E-2</v>
      </c>
      <c r="D70" s="456">
        <v>-33782</v>
      </c>
      <c r="E70" s="407">
        <f t="shared" si="8"/>
        <v>-1.5042689676730453E-2</v>
      </c>
      <c r="F70" s="384">
        <f t="shared" si="9"/>
        <v>1.7162471395881007E-2</v>
      </c>
      <c r="G70" s="460">
        <v>-33212</v>
      </c>
      <c r="H70" s="456">
        <v>-33782</v>
      </c>
      <c r="I70" s="460">
        <v>-35500</v>
      </c>
      <c r="J70" s="384">
        <f t="shared" si="11"/>
        <v>-1.5975382610413518E-2</v>
      </c>
      <c r="K70" s="456">
        <v>-39119</v>
      </c>
      <c r="L70" s="407">
        <f t="shared" si="12"/>
        <v>-1.6295000364480824E-2</v>
      </c>
      <c r="M70" s="384">
        <f t="shared" si="10"/>
        <v>0.10194366197183098</v>
      </c>
      <c r="N70" s="460">
        <f t="shared" si="13"/>
        <v>-68712</v>
      </c>
      <c r="O70" s="384">
        <f t="shared" si="14"/>
        <v>-1.5881608149193555E-2</v>
      </c>
      <c r="P70" s="456">
        <f t="shared" si="15"/>
        <v>-72901</v>
      </c>
      <c r="Q70" s="407">
        <f t="shared" si="16"/>
        <v>-1.5689723931364748E-2</v>
      </c>
      <c r="R70" s="384">
        <f t="shared" si="17"/>
        <v>6.0964605891256261E-2</v>
      </c>
    </row>
    <row r="71" spans="1:18" ht="15.75" thickBot="1" x14ac:dyDescent="0.3">
      <c r="A71" s="392" t="s">
        <v>197</v>
      </c>
      <c r="B71" s="460">
        <v>1952</v>
      </c>
      <c r="C71" s="384">
        <f t="shared" si="7"/>
        <v>9.2760455153503819E-4</v>
      </c>
      <c r="D71" s="456">
        <v>3810</v>
      </c>
      <c r="E71" s="407">
        <f t="shared" si="8"/>
        <v>1.6965439485034344E-3</v>
      </c>
      <c r="F71" s="384">
        <f t="shared" si="9"/>
        <v>0.95184426229508201</v>
      </c>
      <c r="G71" s="460">
        <v>1952</v>
      </c>
      <c r="H71" s="456">
        <v>3810</v>
      </c>
      <c r="I71" s="460">
        <v>-88</v>
      </c>
      <c r="J71" s="384">
        <f t="shared" si="11"/>
        <v>-3.9600948442715201E-5</v>
      </c>
      <c r="K71" s="456">
        <v>854</v>
      </c>
      <c r="L71" s="407">
        <f t="shared" si="12"/>
        <v>3.5573328334739189E-4</v>
      </c>
      <c r="M71" s="384">
        <f t="shared" si="10"/>
        <v>-10.704545454545455</v>
      </c>
      <c r="N71" s="396">
        <f t="shared" si="13"/>
        <v>1864</v>
      </c>
      <c r="O71" s="384">
        <f t="shared" si="14"/>
        <v>4.3083184291094401E-4</v>
      </c>
      <c r="P71" s="456">
        <f t="shared" si="15"/>
        <v>4664</v>
      </c>
      <c r="Q71" s="407">
        <f t="shared" si="16"/>
        <v>1.0037842061958709E-3</v>
      </c>
      <c r="R71" s="384">
        <f t="shared" si="17"/>
        <v>1.502145922746781</v>
      </c>
    </row>
    <row r="72" spans="1:18" ht="15.75" thickBot="1" x14ac:dyDescent="0.3">
      <c r="A72" s="392" t="s">
        <v>144</v>
      </c>
      <c r="B72" s="460">
        <v>4942</v>
      </c>
      <c r="C72" s="384">
        <f t="shared" si="7"/>
        <v>2.3484742283228274E-3</v>
      </c>
      <c r="D72" s="456">
        <v>-2136</v>
      </c>
      <c r="E72" s="407">
        <f t="shared" si="8"/>
        <v>-9.5113330026334278E-4</v>
      </c>
      <c r="F72" s="384">
        <f t="shared" si="9"/>
        <v>-1.4322136786726021</v>
      </c>
      <c r="G72" s="460">
        <v>4942</v>
      </c>
      <c r="H72" s="456">
        <v>-2136</v>
      </c>
      <c r="I72" s="460">
        <v>-5545</v>
      </c>
      <c r="J72" s="384">
        <f t="shared" si="11"/>
        <v>-2.4953097626688159E-3</v>
      </c>
      <c r="K72" s="456">
        <v>3310</v>
      </c>
      <c r="L72" s="407">
        <f t="shared" si="12"/>
        <v>1.3787788851052309E-3</v>
      </c>
      <c r="M72" s="384">
        <f t="shared" si="10"/>
        <v>-1.5969341749323716</v>
      </c>
      <c r="N72" s="460">
        <f t="shared" si="13"/>
        <v>-603</v>
      </c>
      <c r="O72" s="384">
        <f t="shared" si="14"/>
        <v>-1.3937317664983865E-4</v>
      </c>
      <c r="P72" s="456">
        <f t="shared" si="15"/>
        <v>1174</v>
      </c>
      <c r="Q72" s="407">
        <f t="shared" si="16"/>
        <v>2.5266780833489548E-4</v>
      </c>
      <c r="R72" s="384" t="s">
        <v>131</v>
      </c>
    </row>
    <row r="73" spans="1:18" ht="16.5" customHeight="1" thickBot="1" x14ac:dyDescent="0.3">
      <c r="A73" s="391" t="s">
        <v>198</v>
      </c>
      <c r="B73" s="458">
        <f>SUM(B67:B72)</f>
        <v>201982</v>
      </c>
      <c r="C73" s="387">
        <f t="shared" si="7"/>
        <v>9.5983310721388368E-2</v>
      </c>
      <c r="D73" s="458">
        <f>SUM(D67:D72)</f>
        <v>230163</v>
      </c>
      <c r="E73" s="387">
        <f t="shared" si="8"/>
        <v>0.10248862068750551</v>
      </c>
      <c r="F73" s="387">
        <f t="shared" si="9"/>
        <v>0.13952233367329761</v>
      </c>
      <c r="G73" s="395">
        <f>SUM(G67:G72)</f>
        <v>201982</v>
      </c>
      <c r="H73" s="395">
        <f>SUM(H67:H72)</f>
        <v>230163</v>
      </c>
      <c r="I73" s="395">
        <f>SUM(I67:I72)</f>
        <v>198310</v>
      </c>
      <c r="J73" s="387">
        <f t="shared" si="11"/>
        <v>8.9241637337214227E-2</v>
      </c>
      <c r="K73" s="395">
        <f>SUM(K67:K72)</f>
        <v>235161</v>
      </c>
      <c r="L73" s="387">
        <f t="shared" si="12"/>
        <v>9.7956199818800965E-2</v>
      </c>
      <c r="M73" s="387">
        <f t="shared" si="10"/>
        <v>0.18582522313549493</v>
      </c>
      <c r="N73" s="395">
        <f t="shared" si="13"/>
        <v>400292</v>
      </c>
      <c r="O73" s="387">
        <f t="shared" si="14"/>
        <v>9.2520675999199359E-2</v>
      </c>
      <c r="P73" s="395">
        <f t="shared" si="15"/>
        <v>465324</v>
      </c>
      <c r="Q73" s="387">
        <f t="shared" si="16"/>
        <v>0.10014684433187981</v>
      </c>
      <c r="R73" s="387">
        <f t="shared" si="17"/>
        <v>0.16246140317568175</v>
      </c>
    </row>
    <row r="74" spans="1:18" ht="15.75" thickBot="1" x14ac:dyDescent="0.3">
      <c r="A74" s="392" t="s">
        <v>51</v>
      </c>
      <c r="B74" s="460">
        <v>3241</v>
      </c>
      <c r="C74" s="384">
        <f t="shared" si="7"/>
        <v>1.5401466964780014E-3</v>
      </c>
      <c r="D74" s="456">
        <v>3427</v>
      </c>
      <c r="E74" s="407">
        <f t="shared" si="8"/>
        <v>1.5259989794019081E-3</v>
      </c>
      <c r="F74" s="384">
        <f t="shared" si="9"/>
        <v>5.7389694538722613E-2</v>
      </c>
      <c r="G74" s="460">
        <v>3241</v>
      </c>
      <c r="H74" s="456">
        <v>3427</v>
      </c>
      <c r="I74" s="396">
        <v>3793</v>
      </c>
      <c r="J74" s="384">
        <f t="shared" si="11"/>
        <v>1.7068908800365768E-3</v>
      </c>
      <c r="K74" s="456">
        <v>3687</v>
      </c>
      <c r="L74" s="407">
        <f t="shared" si="12"/>
        <v>1.5358180511731076E-3</v>
      </c>
      <c r="M74" s="384">
        <f t="shared" si="10"/>
        <v>-2.7946216715001318E-2</v>
      </c>
      <c r="N74" s="396">
        <f t="shared" si="13"/>
        <v>7034</v>
      </c>
      <c r="O74" s="384">
        <f t="shared" si="14"/>
        <v>1.6257892612851824E-3</v>
      </c>
      <c r="P74" s="402">
        <f t="shared" si="15"/>
        <v>7114</v>
      </c>
      <c r="Q74" s="407">
        <f t="shared" si="16"/>
        <v>1.5310722218862406E-3</v>
      </c>
      <c r="R74" s="384">
        <f t="shared" si="17"/>
        <v>1.1373329542223486E-2</v>
      </c>
    </row>
    <row r="75" spans="1:18" ht="15.75" thickBot="1" x14ac:dyDescent="0.3">
      <c r="A75" s="392" t="s">
        <v>11</v>
      </c>
      <c r="B75" s="460">
        <v>-71961</v>
      </c>
      <c r="C75" s="384">
        <f t="shared" si="7"/>
        <v>-3.4196388900109058E-2</v>
      </c>
      <c r="D75" s="456">
        <v>-72588</v>
      </c>
      <c r="E75" s="407">
        <f t="shared" si="8"/>
        <v>-3.2322501872432366E-2</v>
      </c>
      <c r="F75" s="384">
        <f t="shared" si="9"/>
        <v>8.7130529036561471E-3</v>
      </c>
      <c r="G75" s="460">
        <v>-71961</v>
      </c>
      <c r="H75" s="456">
        <v>-72588</v>
      </c>
      <c r="I75" s="460">
        <v>-61395</v>
      </c>
      <c r="J75" s="384">
        <f t="shared" si="11"/>
        <v>-2.7628411700460227E-2</v>
      </c>
      <c r="K75" s="456">
        <v>-74889</v>
      </c>
      <c r="L75" s="407">
        <f t="shared" si="12"/>
        <v>-3.1194976412883876E-2</v>
      </c>
      <c r="M75" s="384">
        <f t="shared" si="10"/>
        <v>0.21978988516980211</v>
      </c>
      <c r="N75" s="460">
        <f t="shared" si="13"/>
        <v>-133356</v>
      </c>
      <c r="O75" s="384">
        <f t="shared" si="14"/>
        <v>-3.0822967405167302E-2</v>
      </c>
      <c r="P75" s="456">
        <f t="shared" si="15"/>
        <v>-147477</v>
      </c>
      <c r="Q75" s="407">
        <f t="shared" si="16"/>
        <v>-3.1739940689783114E-2</v>
      </c>
      <c r="R75" s="384">
        <f t="shared" si="17"/>
        <v>0.10588949878520651</v>
      </c>
    </row>
    <row r="76" spans="1:18" ht="15.75" thickBot="1" x14ac:dyDescent="0.3">
      <c r="A76" s="392" t="s">
        <v>272</v>
      </c>
      <c r="B76" s="460">
        <v>32336</v>
      </c>
      <c r="C76" s="384">
        <f t="shared" si="7"/>
        <v>1.5366301628297642E-2</v>
      </c>
      <c r="D76" s="456">
        <v>61493</v>
      </c>
      <c r="E76" s="407">
        <f t="shared" si="8"/>
        <v>2.7382041213995196E-2</v>
      </c>
      <c r="F76" s="384">
        <f t="shared" si="9"/>
        <v>0.90168852053438897</v>
      </c>
      <c r="G76" s="460">
        <v>32336</v>
      </c>
      <c r="H76" s="456">
        <v>61493</v>
      </c>
      <c r="I76" s="396">
        <v>26223</v>
      </c>
      <c r="J76" s="384">
        <f t="shared" si="11"/>
        <v>1.1800632625151372E-2</v>
      </c>
      <c r="K76" s="456">
        <v>10</v>
      </c>
      <c r="L76" s="407">
        <f t="shared" si="12"/>
        <v>4.1654951211638396E-6</v>
      </c>
      <c r="M76" s="384">
        <f t="shared" si="10"/>
        <v>-0.99961865537886585</v>
      </c>
      <c r="N76" s="396">
        <f t="shared" si="13"/>
        <v>58559</v>
      </c>
      <c r="O76" s="384">
        <f t="shared" si="14"/>
        <v>1.3534915176513932E-2</v>
      </c>
      <c r="P76" s="456">
        <f t="shared" si="15"/>
        <v>61503</v>
      </c>
      <c r="Q76" s="407">
        <f t="shared" si="16"/>
        <v>1.3236650950614205E-2</v>
      </c>
      <c r="R76" s="384">
        <f t="shared" si="17"/>
        <v>5.0274082549223859E-2</v>
      </c>
    </row>
    <row r="77" spans="1:18" ht="15.75" thickBot="1" x14ac:dyDescent="0.3">
      <c r="A77" s="392" t="s">
        <v>200</v>
      </c>
      <c r="B77" s="460">
        <v>-2666</v>
      </c>
      <c r="C77" s="384">
        <f t="shared" si="7"/>
        <v>-1.2669025278649652E-3</v>
      </c>
      <c r="D77" s="456">
        <v>702</v>
      </c>
      <c r="E77" s="407">
        <f t="shared" si="8"/>
        <v>3.1259156216519973E-4</v>
      </c>
      <c r="F77" s="384">
        <f t="shared" si="9"/>
        <v>-1.2633158289572393</v>
      </c>
      <c r="G77" s="460">
        <v>-2666</v>
      </c>
      <c r="H77" s="456">
        <v>702</v>
      </c>
      <c r="I77" s="460">
        <v>13251</v>
      </c>
      <c r="J77" s="384">
        <f t="shared" si="11"/>
        <v>5.963092816072945E-3</v>
      </c>
      <c r="K77" s="456">
        <v>-1437</v>
      </c>
      <c r="L77" s="407">
        <f t="shared" si="12"/>
        <v>-5.9858164891124369E-4</v>
      </c>
      <c r="M77" s="384">
        <f t="shared" si="10"/>
        <v>-1.108444645687118</v>
      </c>
      <c r="N77" s="460">
        <f t="shared" si="13"/>
        <v>10585</v>
      </c>
      <c r="O77" s="384">
        <f t="shared" si="14"/>
        <v>2.4465424126675658E-3</v>
      </c>
      <c r="P77" s="456">
        <f t="shared" si="15"/>
        <v>-735</v>
      </c>
      <c r="Q77" s="407">
        <f t="shared" si="16"/>
        <v>-1.5818640470711089E-4</v>
      </c>
      <c r="R77" s="384" t="s">
        <v>131</v>
      </c>
    </row>
    <row r="78" spans="1:18" ht="15.75" thickBot="1" x14ac:dyDescent="0.3">
      <c r="A78" s="392" t="s">
        <v>275</v>
      </c>
      <c r="B78" s="460">
        <v>-2327</v>
      </c>
      <c r="C78" s="384">
        <f t="shared" si="7"/>
        <v>-1.1058072701957142E-3</v>
      </c>
      <c r="D78" s="456">
        <v>-377</v>
      </c>
      <c r="E78" s="407">
        <f t="shared" si="8"/>
        <v>-1.6787324634797763E-4</v>
      </c>
      <c r="F78" s="384">
        <f t="shared" si="9"/>
        <v>-0.83798882681564246</v>
      </c>
      <c r="G78" s="460">
        <v>-2327</v>
      </c>
      <c r="H78" s="456">
        <v>-377</v>
      </c>
      <c r="I78" s="464">
        <v>1623</v>
      </c>
      <c r="J78" s="384">
        <f t="shared" si="11"/>
        <v>7.303674923014406E-4</v>
      </c>
      <c r="K78" s="456">
        <v>-523</v>
      </c>
      <c r="L78" s="407">
        <f t="shared" si="12"/>
        <v>-2.178553948368688E-4</v>
      </c>
      <c r="M78" s="384">
        <f t="shared" si="10"/>
        <v>-1.3222427603203943</v>
      </c>
      <c r="N78" s="460">
        <f t="shared" si="13"/>
        <v>-704</v>
      </c>
      <c r="O78" s="384">
        <f t="shared" si="14"/>
        <v>-1.6271760590627927E-4</v>
      </c>
      <c r="P78" s="456">
        <f t="shared" si="15"/>
        <v>-900</v>
      </c>
      <c r="Q78" s="407">
        <f t="shared" si="16"/>
        <v>-1.9369763841687047E-4</v>
      </c>
      <c r="R78" s="384">
        <f t="shared" si="17"/>
        <v>0.27840909090909088</v>
      </c>
    </row>
    <row r="79" spans="1:18" ht="15.75" thickBot="1" x14ac:dyDescent="0.3">
      <c r="A79" s="392" t="s">
        <v>308</v>
      </c>
      <c r="B79" s="460">
        <v>0</v>
      </c>
      <c r="C79" s="384">
        <f t="shared" si="7"/>
        <v>0</v>
      </c>
      <c r="D79" s="456">
        <v>0</v>
      </c>
      <c r="E79" s="407">
        <f t="shared" si="8"/>
        <v>0</v>
      </c>
      <c r="F79" s="384" t="s">
        <v>131</v>
      </c>
      <c r="G79" s="460">
        <v>0</v>
      </c>
      <c r="H79" s="456">
        <v>0</v>
      </c>
      <c r="I79" s="464">
        <v>-2755</v>
      </c>
      <c r="J79" s="384">
        <f t="shared" si="11"/>
        <v>-1.2397796927236407E-3</v>
      </c>
      <c r="K79" s="456">
        <v>0</v>
      </c>
      <c r="L79" s="407">
        <f t="shared" si="12"/>
        <v>0</v>
      </c>
      <c r="M79" s="384">
        <f t="shared" si="10"/>
        <v>-1</v>
      </c>
      <c r="N79" s="460">
        <f t="shared" si="13"/>
        <v>-2755</v>
      </c>
      <c r="O79" s="384">
        <f t="shared" si="14"/>
        <v>-6.3677131288607876E-4</v>
      </c>
      <c r="P79" s="456">
        <f t="shared" si="15"/>
        <v>0</v>
      </c>
      <c r="Q79" s="407">
        <f t="shared" si="16"/>
        <v>0</v>
      </c>
      <c r="R79" s="384">
        <f t="shared" si="17"/>
        <v>-1</v>
      </c>
    </row>
    <row r="80" spans="1:18" ht="15.75" thickBot="1" x14ac:dyDescent="0.3">
      <c r="A80" s="393" t="s">
        <v>204</v>
      </c>
      <c r="B80" s="461">
        <f>SUM(B73:B79)</f>
        <v>160605</v>
      </c>
      <c r="C80" s="386">
        <f>+B80/$B$65</f>
        <v>7.6320660347994271E-2</v>
      </c>
      <c r="D80" s="457">
        <f>SUM(D73:D79)</f>
        <v>222820</v>
      </c>
      <c r="E80" s="408">
        <f>+D80/$D$65</f>
        <v>9.9218877324287469E-2</v>
      </c>
      <c r="F80" s="386">
        <f>(D80-B80)/B80</f>
        <v>0.38737897325737058</v>
      </c>
      <c r="G80" s="397">
        <f>SUM(G73:G79)</f>
        <v>160605</v>
      </c>
      <c r="H80" s="403">
        <f>SUM(H73:H79)</f>
        <v>222820</v>
      </c>
      <c r="I80" s="397">
        <f>SUM(I73:I79)</f>
        <v>179050</v>
      </c>
      <c r="J80" s="386">
        <f>I80/$I$65</f>
        <v>8.05744297575927E-2</v>
      </c>
      <c r="K80" s="403">
        <f>SUM(K73:K79)</f>
        <v>162009</v>
      </c>
      <c r="L80" s="408">
        <f>K80/$K$65</f>
        <v>6.7484769908463249E-2</v>
      </c>
      <c r="M80" s="386">
        <f t="shared" si="10"/>
        <v>-9.5174532253560457E-2</v>
      </c>
      <c r="N80" s="397">
        <f t="shared" ref="N80:N85" si="18">+G80+I80</f>
        <v>339655</v>
      </c>
      <c r="O80" s="386">
        <f t="shared" si="14"/>
        <v>7.8505466525706377E-2</v>
      </c>
      <c r="P80" s="403">
        <f t="shared" ref="P80:P85" si="19">+H80+K80</f>
        <v>384829</v>
      </c>
      <c r="Q80" s="408">
        <f t="shared" si="16"/>
        <v>8.2822742771473154E-2</v>
      </c>
      <c r="R80" s="386">
        <f t="shared" ref="R80:R85" si="20">(P80-N80)/N80</f>
        <v>0.13299966142114794</v>
      </c>
    </row>
    <row r="81" spans="1:18" ht="15.75" thickBot="1" x14ac:dyDescent="0.3">
      <c r="A81" s="392" t="s">
        <v>205</v>
      </c>
      <c r="B81" s="460">
        <v>-44069</v>
      </c>
      <c r="C81" s="384">
        <f t="shared" si="7"/>
        <v>-2.094190828975287E-2</v>
      </c>
      <c r="D81" s="456">
        <v>-43888</v>
      </c>
      <c r="E81" s="407">
        <f t="shared" si="8"/>
        <v>-1.9542761367957674E-2</v>
      </c>
      <c r="F81" s="384">
        <f t="shared" si="9"/>
        <v>-4.1071955342757947E-3</v>
      </c>
      <c r="G81" s="460">
        <v>-44069</v>
      </c>
      <c r="H81" s="456">
        <v>-43888</v>
      </c>
      <c r="I81" s="460">
        <v>-43360</v>
      </c>
      <c r="J81" s="384">
        <f t="shared" si="11"/>
        <v>-1.9512467323592401E-2</v>
      </c>
      <c r="K81" s="456">
        <v>-49555</v>
      </c>
      <c r="L81" s="407">
        <f t="shared" si="12"/>
        <v>-2.0642111072927405E-2</v>
      </c>
      <c r="M81" s="384">
        <f t="shared" si="10"/>
        <v>0.14287361623616235</v>
      </c>
      <c r="N81" s="468">
        <f t="shared" si="18"/>
        <v>-87429</v>
      </c>
      <c r="O81" s="384">
        <f t="shared" si="14"/>
        <v>-2.0207723816448992E-2</v>
      </c>
      <c r="P81" s="456">
        <f t="shared" si="19"/>
        <v>-93443</v>
      </c>
      <c r="Q81" s="407">
        <f t="shared" si="16"/>
        <v>-2.0110764918430696E-2</v>
      </c>
      <c r="R81" s="384">
        <f t="shared" si="20"/>
        <v>6.8787244506971365E-2</v>
      </c>
    </row>
    <row r="82" spans="1:18" ht="15.75" thickBot="1" x14ac:dyDescent="0.3">
      <c r="A82" s="394" t="s">
        <v>206</v>
      </c>
      <c r="B82" s="462">
        <v>5479</v>
      </c>
      <c r="C82" s="385">
        <f t="shared" si="7"/>
        <v>2.6036605214449153E-3</v>
      </c>
      <c r="D82" s="459">
        <v>-2661</v>
      </c>
      <c r="E82" s="409">
        <f t="shared" si="8"/>
        <v>-1.1849090411988554E-3</v>
      </c>
      <c r="F82" s="385">
        <f t="shared" si="9"/>
        <v>-1.485672567986859</v>
      </c>
      <c r="G82" s="462">
        <v>5479</v>
      </c>
      <c r="H82" s="459">
        <v>-2661</v>
      </c>
      <c r="I82" s="399">
        <v>-10591</v>
      </c>
      <c r="J82" s="385">
        <f t="shared" si="11"/>
        <v>-4.766064147236326E-3</v>
      </c>
      <c r="K82" s="459">
        <v>-4414</v>
      </c>
      <c r="L82" s="409">
        <f t="shared" si="12"/>
        <v>-1.8386495464817187E-3</v>
      </c>
      <c r="M82" s="385">
        <f t="shared" si="10"/>
        <v>-0.58323104522707958</v>
      </c>
      <c r="N82" s="468">
        <f t="shared" si="18"/>
        <v>-5112</v>
      </c>
      <c r="O82" s="385">
        <f t="shared" si="14"/>
        <v>-1.1815517065240052E-3</v>
      </c>
      <c r="P82" s="456">
        <f t="shared" si="19"/>
        <v>-7075</v>
      </c>
      <c r="Q82" s="409">
        <f t="shared" si="16"/>
        <v>-1.5226786575548428E-3</v>
      </c>
      <c r="R82" s="385">
        <f t="shared" si="20"/>
        <v>0.3839984350547731</v>
      </c>
    </row>
    <row r="83" spans="1:18" ht="15.75" thickBot="1" x14ac:dyDescent="0.3">
      <c r="A83" s="393" t="s">
        <v>207</v>
      </c>
      <c r="B83" s="461">
        <f>SUM(B80:B82)</f>
        <v>122015</v>
      </c>
      <c r="C83" s="386">
        <f t="shared" si="7"/>
        <v>5.7982412579686317E-2</v>
      </c>
      <c r="D83" s="457">
        <f>SUM(D80:D82)</f>
        <v>176271</v>
      </c>
      <c r="E83" s="408">
        <f t="shared" si="8"/>
        <v>7.8491206915130951E-2</v>
      </c>
      <c r="F83" s="386">
        <f t="shared" si="9"/>
        <v>0.44466663934762118</v>
      </c>
      <c r="G83" s="397">
        <f>SUM(G80:G82)</f>
        <v>122015</v>
      </c>
      <c r="H83" s="403">
        <f>SUM(H80:H82)</f>
        <v>176271</v>
      </c>
      <c r="I83" s="397">
        <f>SUM(I80:I82)</f>
        <v>125099</v>
      </c>
      <c r="J83" s="386">
        <f t="shared" si="11"/>
        <v>5.6295898286763971E-2</v>
      </c>
      <c r="K83" s="403">
        <f>SUM(K80:K82)</f>
        <v>108040</v>
      </c>
      <c r="L83" s="408">
        <f t="shared" si="12"/>
        <v>4.5004009289054119E-2</v>
      </c>
      <c r="M83" s="386">
        <f t="shared" si="10"/>
        <v>-0.13636399971222793</v>
      </c>
      <c r="N83" s="397">
        <f t="shared" si="18"/>
        <v>247114</v>
      </c>
      <c r="O83" s="386">
        <f t="shared" si="14"/>
        <v>5.711619100273338E-2</v>
      </c>
      <c r="P83" s="403">
        <f t="shared" si="19"/>
        <v>284311</v>
      </c>
      <c r="Q83" s="408">
        <f t="shared" si="16"/>
        <v>6.1189299195487622E-2</v>
      </c>
      <c r="R83" s="386">
        <f t="shared" si="20"/>
        <v>0.1505256683150287</v>
      </c>
    </row>
    <row r="84" spans="1:18" ht="15.75" thickBot="1" x14ac:dyDescent="0.3">
      <c r="A84" s="392" t="s">
        <v>208</v>
      </c>
      <c r="B84" s="460">
        <v>-226</v>
      </c>
      <c r="C84" s="384">
        <f t="shared" si="7"/>
        <v>-1.0739683844616734E-4</v>
      </c>
      <c r="D84" s="456">
        <v>-842</v>
      </c>
      <c r="E84" s="407">
        <f t="shared" si="8"/>
        <v>-3.7493175974800312E-4</v>
      </c>
      <c r="F84" s="384">
        <f t="shared" si="9"/>
        <v>2.7256637168141591</v>
      </c>
      <c r="G84" s="460">
        <v>-226</v>
      </c>
      <c r="H84" s="456">
        <v>-842</v>
      </c>
      <c r="I84" s="460">
        <v>-617</v>
      </c>
      <c r="J84" s="467">
        <f t="shared" si="11"/>
        <v>-2.7765664987676453E-4</v>
      </c>
      <c r="K84" s="456">
        <v>-14</v>
      </c>
      <c r="L84" s="407">
        <f t="shared" si="12"/>
        <v>-5.8316931696293748E-6</v>
      </c>
      <c r="M84" s="384">
        <f t="shared" si="10"/>
        <v>-0.97730956239870337</v>
      </c>
      <c r="N84" s="460">
        <f t="shared" si="18"/>
        <v>-843</v>
      </c>
      <c r="O84" s="384">
        <f t="shared" si="14"/>
        <v>-1.9484508775425205E-4</v>
      </c>
      <c r="P84" s="456">
        <f t="shared" si="19"/>
        <v>-856</v>
      </c>
      <c r="Q84" s="407">
        <f t="shared" si="16"/>
        <v>-1.8422797609426791E-4</v>
      </c>
      <c r="R84" s="467">
        <f t="shared" si="20"/>
        <v>1.542111506524318E-2</v>
      </c>
    </row>
    <row r="85" spans="1:18" ht="15.75" thickBot="1" x14ac:dyDescent="0.3">
      <c r="A85" s="391" t="s">
        <v>209</v>
      </c>
      <c r="B85" s="458">
        <f>SUM(B83:B84)</f>
        <v>121789</v>
      </c>
      <c r="C85" s="387">
        <f t="shared" si="7"/>
        <v>5.7875015741240148E-2</v>
      </c>
      <c r="D85" s="395">
        <f>SUM(D83:D84)</f>
        <v>175429</v>
      </c>
      <c r="E85" s="387">
        <f t="shared" si="8"/>
        <v>7.8116275155382942E-2</v>
      </c>
      <c r="F85" s="387">
        <f t="shared" si="9"/>
        <v>0.44043386512739247</v>
      </c>
      <c r="G85" s="395">
        <f>SUM(G83:G84)</f>
        <v>121789</v>
      </c>
      <c r="H85" s="395">
        <f>SUM(H83:H84)</f>
        <v>175429</v>
      </c>
      <c r="I85" s="395">
        <f>SUM(I83:I84)</f>
        <v>124482</v>
      </c>
      <c r="J85" s="387">
        <f t="shared" si="11"/>
        <v>5.6018241636887206E-2</v>
      </c>
      <c r="K85" s="395">
        <f>SUM(K83:K84)</f>
        <v>108026</v>
      </c>
      <c r="L85" s="387">
        <f t="shared" si="12"/>
        <v>4.4998177595884488E-2</v>
      </c>
      <c r="M85" s="387">
        <f t="shared" si="10"/>
        <v>-0.13219581947590817</v>
      </c>
      <c r="N85" s="395">
        <f t="shared" si="18"/>
        <v>246271</v>
      </c>
      <c r="O85" s="387">
        <f t="shared" si="14"/>
        <v>5.6921345914979125E-2</v>
      </c>
      <c r="P85" s="395">
        <f t="shared" si="19"/>
        <v>283455</v>
      </c>
      <c r="Q85" s="387">
        <f t="shared" si="16"/>
        <v>6.1005071219393352E-2</v>
      </c>
      <c r="R85" s="387">
        <f t="shared" si="20"/>
        <v>0.1509881390825554</v>
      </c>
    </row>
    <row r="86" spans="1:18" x14ac:dyDescent="0.25">
      <c r="A86" s="289"/>
      <c r="B86" s="291"/>
      <c r="C86" s="292"/>
      <c r="D86" s="294"/>
      <c r="E86" s="292"/>
      <c r="F86" s="292"/>
      <c r="G86" s="291"/>
      <c r="H86" s="294"/>
      <c r="I86" s="263"/>
      <c r="K86" s="294"/>
    </row>
    <row r="87" spans="1:18" x14ac:dyDescent="0.25">
      <c r="A87" s="295" t="s">
        <v>210</v>
      </c>
      <c r="B87" s="297"/>
      <c r="C87" s="298"/>
      <c r="D87" s="300"/>
      <c r="E87" s="298"/>
      <c r="F87" s="298"/>
      <c r="G87" s="297"/>
      <c r="H87" s="300"/>
      <c r="K87" s="300"/>
    </row>
    <row r="88" spans="1:18" ht="15.75" thickBot="1" x14ac:dyDescent="0.3">
      <c r="A88" s="301" t="s">
        <v>211</v>
      </c>
      <c r="B88" s="274">
        <v>120867</v>
      </c>
      <c r="C88" s="384">
        <f>+B88/$B$65</f>
        <v>5.7436874656959763E-2</v>
      </c>
      <c r="D88" s="373">
        <v>174437</v>
      </c>
      <c r="E88" s="366">
        <f>+D88/$D$65</f>
        <v>7.7674550326796224E-2</v>
      </c>
      <c r="F88" s="384">
        <f>(D88-B88)/B88</f>
        <v>0.44321444232089818</v>
      </c>
      <c r="G88" s="274">
        <v>120867</v>
      </c>
      <c r="H88" s="373">
        <v>174437</v>
      </c>
      <c r="I88" s="274">
        <v>124270</v>
      </c>
      <c r="J88" s="384">
        <f t="shared" si="11"/>
        <v>5.5922839352002478E-2</v>
      </c>
      <c r="K88" s="373">
        <v>106483</v>
      </c>
      <c r="L88" s="366">
        <f>K88/$K$65</f>
        <v>4.4355441698688908E-2</v>
      </c>
      <c r="M88" s="384">
        <f>(K88-I88)/I88</f>
        <v>-0.14313189023899572</v>
      </c>
      <c r="N88" s="274">
        <f>+G88+I88</f>
        <v>245137</v>
      </c>
      <c r="O88" s="384">
        <f>N88/$N$65</f>
        <v>5.6659241135010772E-2</v>
      </c>
      <c r="P88" s="373">
        <f>+H88+K88</f>
        <v>280920</v>
      </c>
      <c r="Q88" s="366">
        <f t="shared" si="16"/>
        <v>6.0459489537852497E-2</v>
      </c>
      <c r="R88" s="384">
        <f>(P88-N88)/N88</f>
        <v>0.14597143638047297</v>
      </c>
    </row>
    <row r="89" spans="1:18" ht="15.75" thickBot="1" x14ac:dyDescent="0.3">
      <c r="A89" s="303" t="s">
        <v>188</v>
      </c>
      <c r="B89" s="304">
        <v>922</v>
      </c>
      <c r="C89" s="385">
        <f>+B89/$B$65</f>
        <v>4.3814108428038179E-4</v>
      </c>
      <c r="D89" s="374">
        <v>992</v>
      </c>
      <c r="E89" s="368">
        <f>+D89/$D$65</f>
        <v>4.4172482858672099E-4</v>
      </c>
      <c r="F89" s="385">
        <f>(D89-B89)/B89</f>
        <v>7.5921908893709325E-2</v>
      </c>
      <c r="G89" s="304">
        <v>922</v>
      </c>
      <c r="H89" s="374">
        <v>992</v>
      </c>
      <c r="I89" s="304">
        <v>212</v>
      </c>
      <c r="J89" s="385">
        <f t="shared" si="11"/>
        <v>9.5402284884722995E-5</v>
      </c>
      <c r="K89" s="374">
        <v>1543</v>
      </c>
      <c r="L89" s="368">
        <f t="shared" si="12"/>
        <v>6.4273589719558038E-4</v>
      </c>
      <c r="M89" s="385">
        <f>(K89-I89)/I89</f>
        <v>6.2783018867924527</v>
      </c>
      <c r="N89" s="319">
        <f>+G89+I89</f>
        <v>1134</v>
      </c>
      <c r="O89" s="385">
        <f t="shared" si="14"/>
        <v>2.6210477996835329E-4</v>
      </c>
      <c r="P89" s="466">
        <f>+H89+K89</f>
        <v>2535</v>
      </c>
      <c r="Q89" s="368">
        <f t="shared" si="16"/>
        <v>5.4558168154085181E-4</v>
      </c>
      <c r="R89" s="385">
        <f>(P89-N89)/N89</f>
        <v>1.2354497354497354</v>
      </c>
    </row>
    <row r="90" spans="1:18" ht="15.75" thickBot="1" x14ac:dyDescent="0.3">
      <c r="A90" s="306" t="s">
        <v>212</v>
      </c>
      <c r="B90" s="278">
        <f>SUM(B88:B89)</f>
        <v>121789</v>
      </c>
      <c r="C90" s="386">
        <f>+B90/$B$65</f>
        <v>5.7875015741240148E-2</v>
      </c>
      <c r="D90" s="375">
        <f>SUM(D88:D89)</f>
        <v>175429</v>
      </c>
      <c r="E90" s="367">
        <f>+D90/$D$65</f>
        <v>7.8116275155382942E-2</v>
      </c>
      <c r="F90" s="386">
        <f>(D90-B90)/B90</f>
        <v>0.44043386512739247</v>
      </c>
      <c r="G90" s="278">
        <f>SUM(G88:G89)</f>
        <v>121789</v>
      </c>
      <c r="H90" s="375">
        <f>SUM(H88:H89)</f>
        <v>175429</v>
      </c>
      <c r="I90" s="278">
        <f>SUM(I88:I89)</f>
        <v>124482</v>
      </c>
      <c r="J90" s="386">
        <f t="shared" si="11"/>
        <v>5.6018241636887206E-2</v>
      </c>
      <c r="K90" s="375">
        <f>SUM(K88:K89)</f>
        <v>108026</v>
      </c>
      <c r="L90" s="367">
        <f t="shared" si="12"/>
        <v>4.4998177595884488E-2</v>
      </c>
      <c r="M90" s="386">
        <f>(K90-I90)/I90</f>
        <v>-0.13219581947590817</v>
      </c>
      <c r="N90" s="278">
        <f>+G90+I90</f>
        <v>246271</v>
      </c>
      <c r="O90" s="386">
        <f t="shared" si="14"/>
        <v>5.6921345914979125E-2</v>
      </c>
      <c r="P90" s="375">
        <f>+H90+K90</f>
        <v>283455</v>
      </c>
      <c r="Q90" s="367">
        <f t="shared" si="16"/>
        <v>6.1005071219393352E-2</v>
      </c>
      <c r="R90" s="386">
        <f>(P90-N90)/N90</f>
        <v>0.1509881390825554</v>
      </c>
    </row>
    <row r="91" spans="1:18" ht="15.75" thickBot="1" x14ac:dyDescent="0.3">
      <c r="A91" s="369" t="s">
        <v>213</v>
      </c>
      <c r="B91" s="370">
        <v>273276</v>
      </c>
      <c r="C91" s="387">
        <f>+B91/$B$65</f>
        <v>0.12986273638590631</v>
      </c>
      <c r="D91" s="372">
        <v>320118</v>
      </c>
      <c r="E91" s="371">
        <f>+D91/$D$65</f>
        <v>0.14254442407008464</v>
      </c>
      <c r="F91" s="387">
        <f>(D91-B91)/B91</f>
        <v>0.17140912484082027</v>
      </c>
      <c r="G91" s="370">
        <v>273276</v>
      </c>
      <c r="H91" s="372">
        <v>320118</v>
      </c>
      <c r="I91" s="370">
        <v>266740</v>
      </c>
      <c r="J91" s="387">
        <f>I91/$I$65</f>
        <v>0.12003587485920288</v>
      </c>
      <c r="K91" s="372">
        <v>327876</v>
      </c>
      <c r="L91" s="371">
        <f t="shared" si="12"/>
        <v>0.1365765878346715</v>
      </c>
      <c r="M91" s="387">
        <f>(K91-I91)/I91</f>
        <v>0.22919697083302093</v>
      </c>
      <c r="N91" s="370">
        <f>+G91+I91</f>
        <v>540016</v>
      </c>
      <c r="O91" s="387">
        <f t="shared" si="14"/>
        <v>0.12481549811233709</v>
      </c>
      <c r="P91" s="372">
        <f>+H91+K91</f>
        <v>647994</v>
      </c>
      <c r="Q91" s="371">
        <f t="shared" si="16"/>
        <v>0.13946100834255729</v>
      </c>
      <c r="R91" s="387">
        <f>(P91-N91)/N91</f>
        <v>0.1999533347160084</v>
      </c>
    </row>
  </sheetData>
  <mergeCells count="1">
    <mergeCell ref="A7:D7"/>
  </mergeCells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D30 D40 D49 D55 D18 C81:C85 C90 J80:J85 J90 C67 J67 C73:C80" formula="1"/>
  </ignoredErrors>
  <drawing r:id="rId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1"/>
  <sheetViews>
    <sheetView topLeftCell="A70" zoomScaleNormal="100" workbookViewId="0">
      <selection activeCell="A79" sqref="A79"/>
    </sheetView>
  </sheetViews>
  <sheetFormatPr baseColWidth="10" defaultColWidth="11.42578125" defaultRowHeight="15" x14ac:dyDescent="0.25"/>
  <cols>
    <col min="1" max="1" width="50.85546875" style="229" bestFit="1" customWidth="1"/>
    <col min="2" max="6" width="11.42578125" style="229" customWidth="1"/>
    <col min="7" max="8" width="11.42578125" style="229"/>
    <col min="9" max="9" width="13.28515625" style="229" customWidth="1"/>
    <col min="10" max="16384" width="11.42578125" style="229"/>
  </cols>
  <sheetData>
    <row r="1" spans="1:10" ht="18.75" x14ac:dyDescent="0.3">
      <c r="A1" s="228" t="s">
        <v>157</v>
      </c>
      <c r="B1" s="362"/>
      <c r="C1" s="362"/>
      <c r="D1" s="362"/>
      <c r="E1" s="362"/>
    </row>
    <row r="2" spans="1:10" x14ac:dyDescent="0.25">
      <c r="A2" s="332" t="s">
        <v>310</v>
      </c>
      <c r="B2" s="362"/>
      <c r="C2" s="362"/>
      <c r="D2" s="362"/>
      <c r="E2" s="362"/>
    </row>
    <row r="3" spans="1:10" x14ac:dyDescent="0.25">
      <c r="A3" s="332" t="s">
        <v>88</v>
      </c>
      <c r="B3" s="362"/>
      <c r="C3" s="362"/>
      <c r="D3" s="362"/>
      <c r="E3" s="362"/>
    </row>
    <row r="4" spans="1:10" x14ac:dyDescent="0.25">
      <c r="A4" s="231" t="s">
        <v>159</v>
      </c>
      <c r="B4" s="362"/>
      <c r="C4" s="362"/>
      <c r="D4" s="362"/>
      <c r="E4" s="362"/>
    </row>
    <row r="5" spans="1:10" x14ac:dyDescent="0.25">
      <c r="A5" s="231" t="s">
        <v>301</v>
      </c>
      <c r="B5" s="362"/>
      <c r="C5" s="362"/>
      <c r="D5" s="362"/>
      <c r="E5" s="362"/>
    </row>
    <row r="6" spans="1:10" ht="7.5" customHeight="1" x14ac:dyDescent="0.25">
      <c r="A6" s="231"/>
      <c r="B6" s="362"/>
      <c r="C6" s="362"/>
      <c r="D6" s="362"/>
      <c r="E6" s="362"/>
    </row>
    <row r="7" spans="1:10" ht="51.75" customHeight="1" x14ac:dyDescent="0.25">
      <c r="A7" s="482" t="s">
        <v>311</v>
      </c>
      <c r="B7" s="482"/>
      <c r="C7" s="482"/>
      <c r="D7" s="482"/>
      <c r="E7" s="362"/>
    </row>
    <row r="8" spans="1:10" ht="15.75" thickBot="1" x14ac:dyDescent="0.3"/>
    <row r="9" spans="1:10" ht="23.25" thickBot="1" x14ac:dyDescent="0.3">
      <c r="A9" s="337"/>
      <c r="B9" s="338" t="s">
        <v>294</v>
      </c>
      <c r="C9" s="410" t="s">
        <v>306</v>
      </c>
      <c r="D9" s="420" t="s">
        <v>140</v>
      </c>
      <c r="E9" s="338" t="s">
        <v>294</v>
      </c>
      <c r="F9" s="410" t="s">
        <v>305</v>
      </c>
      <c r="G9" s="420" t="s">
        <v>140</v>
      </c>
      <c r="H9" s="338" t="s">
        <v>294</v>
      </c>
      <c r="I9" s="410" t="s">
        <v>312</v>
      </c>
      <c r="J9" s="420" t="s">
        <v>140</v>
      </c>
    </row>
    <row r="10" spans="1:10" ht="15.75" thickTop="1" x14ac:dyDescent="0.25">
      <c r="A10" s="376" t="s">
        <v>20</v>
      </c>
      <c r="B10" s="377"/>
      <c r="C10" s="411"/>
      <c r="D10" s="411"/>
      <c r="E10" s="377"/>
      <c r="F10" s="411"/>
      <c r="G10" s="411"/>
      <c r="H10" s="377"/>
      <c r="I10" s="411"/>
      <c r="J10" s="411"/>
    </row>
    <row r="11" spans="1:10" x14ac:dyDescent="0.25">
      <c r="A11" s="378" t="s">
        <v>160</v>
      </c>
      <c r="B11" s="379"/>
      <c r="C11" s="412"/>
      <c r="D11" s="421"/>
      <c r="E11" s="379"/>
      <c r="F11" s="412"/>
      <c r="G11" s="421"/>
      <c r="H11" s="379"/>
      <c r="I11" s="412"/>
      <c r="J11" s="421"/>
    </row>
    <row r="12" spans="1:10" ht="15.75" thickBot="1" x14ac:dyDescent="0.3">
      <c r="A12" s="240" t="s">
        <v>161</v>
      </c>
      <c r="B12" s="242">
        <v>347520</v>
      </c>
      <c r="C12" s="413">
        <v>290833</v>
      </c>
      <c r="D12" s="422">
        <f t="shared" ref="D12:D18" si="0">(C12-B12)/B12</f>
        <v>-0.16311866942909761</v>
      </c>
      <c r="E12" s="242">
        <v>347520</v>
      </c>
      <c r="F12" s="413">
        <v>291779</v>
      </c>
      <c r="G12" s="422">
        <f t="shared" ref="G12:G18" si="1">(F12-E12)/E12</f>
        <v>-0.16039652394106815</v>
      </c>
      <c r="H12" s="242">
        <v>347520</v>
      </c>
      <c r="I12" s="413">
        <v>362711</v>
      </c>
      <c r="J12" s="422">
        <f t="shared" ref="J12:J18" si="2">(I12-H12)/H12</f>
        <v>4.3712592081031308E-2</v>
      </c>
    </row>
    <row r="13" spans="1:10" ht="15.75" thickBot="1" x14ac:dyDescent="0.3">
      <c r="A13" s="240" t="s">
        <v>162</v>
      </c>
      <c r="B13" s="242">
        <v>1020579</v>
      </c>
      <c r="C13" s="413">
        <v>1088410</v>
      </c>
      <c r="D13" s="422">
        <f t="shared" si="0"/>
        <v>6.6463252722229249E-2</v>
      </c>
      <c r="E13" s="242">
        <v>1020579</v>
      </c>
      <c r="F13" s="413">
        <v>1114572</v>
      </c>
      <c r="G13" s="422">
        <f t="shared" si="1"/>
        <v>9.2097720999550256E-2</v>
      </c>
      <c r="H13" s="242">
        <v>1020579</v>
      </c>
      <c r="I13" s="413">
        <v>1203505</v>
      </c>
      <c r="J13" s="422">
        <f t="shared" si="2"/>
        <v>0.17923747206242732</v>
      </c>
    </row>
    <row r="14" spans="1:10" ht="15.75" thickBot="1" x14ac:dyDescent="0.3">
      <c r="A14" s="240" t="s">
        <v>36</v>
      </c>
      <c r="B14" s="242">
        <v>1109878</v>
      </c>
      <c r="C14" s="413">
        <v>1152833</v>
      </c>
      <c r="D14" s="422">
        <f t="shared" si="0"/>
        <v>3.8702451981208745E-2</v>
      </c>
      <c r="E14" s="242">
        <v>1109878</v>
      </c>
      <c r="F14" s="413">
        <v>1210805</v>
      </c>
      <c r="G14" s="422">
        <f t="shared" si="1"/>
        <v>9.0935219907052847E-2</v>
      </c>
      <c r="H14" s="242">
        <v>1109878</v>
      </c>
      <c r="I14" s="413">
        <v>1252556</v>
      </c>
      <c r="J14" s="422">
        <f t="shared" si="2"/>
        <v>0.12855286797287629</v>
      </c>
    </row>
    <row r="15" spans="1:10" ht="15.75" thickBot="1" x14ac:dyDescent="0.3">
      <c r="A15" s="240" t="s">
        <v>163</v>
      </c>
      <c r="B15" s="242">
        <v>94569</v>
      </c>
      <c r="C15" s="413">
        <v>85337</v>
      </c>
      <c r="D15" s="422">
        <f t="shared" si="0"/>
        <v>-9.7621842252746671E-2</v>
      </c>
      <c r="E15" s="242">
        <v>94569</v>
      </c>
      <c r="F15" s="413">
        <v>89735</v>
      </c>
      <c r="G15" s="422">
        <f t="shared" si="1"/>
        <v>-5.1116116274889233E-2</v>
      </c>
      <c r="H15" s="242">
        <v>94569</v>
      </c>
      <c r="I15" s="413">
        <v>83043</v>
      </c>
      <c r="J15" s="422">
        <f t="shared" si="2"/>
        <v>-0.12187926276052406</v>
      </c>
    </row>
    <row r="16" spans="1:10" ht="15.75" thickBot="1" x14ac:dyDescent="0.3">
      <c r="A16" s="240" t="s">
        <v>164</v>
      </c>
      <c r="B16" s="242">
        <v>241726</v>
      </c>
      <c r="C16" s="413">
        <v>259405</v>
      </c>
      <c r="D16" s="422">
        <f t="shared" si="0"/>
        <v>7.3136526480395161E-2</v>
      </c>
      <c r="E16" s="242">
        <v>241726</v>
      </c>
      <c r="F16" s="413">
        <v>318944</v>
      </c>
      <c r="G16" s="422">
        <f t="shared" si="1"/>
        <v>0.31944432953012913</v>
      </c>
      <c r="H16" s="242">
        <v>241726</v>
      </c>
      <c r="I16" s="413">
        <v>379367</v>
      </c>
      <c r="J16" s="422">
        <f t="shared" si="2"/>
        <v>0.56940916574965039</v>
      </c>
    </row>
    <row r="17" spans="1:10" ht="15.75" thickBot="1" x14ac:dyDescent="0.3">
      <c r="A17" s="245" t="s">
        <v>165</v>
      </c>
      <c r="B17" s="247">
        <v>6777</v>
      </c>
      <c r="C17" s="414">
        <v>6695</v>
      </c>
      <c r="D17" s="422">
        <f t="shared" si="0"/>
        <v>-1.209974915154198E-2</v>
      </c>
      <c r="E17" s="247">
        <v>6777</v>
      </c>
      <c r="F17" s="414">
        <v>6729</v>
      </c>
      <c r="G17" s="422">
        <f t="shared" si="1"/>
        <v>-7.0827799911465251E-3</v>
      </c>
      <c r="H17" s="247">
        <v>6777</v>
      </c>
      <c r="I17" s="414">
        <v>3241</v>
      </c>
      <c r="J17" s="422">
        <f t="shared" si="2"/>
        <v>-0.5217647926811273</v>
      </c>
    </row>
    <row r="18" spans="1:10" ht="15.75" thickBot="1" x14ac:dyDescent="0.3">
      <c r="A18" s="249" t="s">
        <v>166</v>
      </c>
      <c r="B18" s="250">
        <f>SUM(B12:B17)</f>
        <v>2821049</v>
      </c>
      <c r="C18" s="415">
        <f>SUM(C12:C17)</f>
        <v>2883513</v>
      </c>
      <c r="D18" s="422">
        <f t="shared" si="0"/>
        <v>2.2142118056084813E-2</v>
      </c>
      <c r="E18" s="250">
        <f>SUM(E12:E17)</f>
        <v>2821049</v>
      </c>
      <c r="F18" s="415">
        <f>SUM(F12:F17)</f>
        <v>3032564</v>
      </c>
      <c r="G18" s="422">
        <f t="shared" si="1"/>
        <v>7.4977428609003249E-2</v>
      </c>
      <c r="H18" s="250">
        <f>SUM(H12:H17)</f>
        <v>2821049</v>
      </c>
      <c r="I18" s="415">
        <f>SUM(I12:I17)</f>
        <v>3284423</v>
      </c>
      <c r="J18" s="422">
        <f t="shared" si="2"/>
        <v>0.16425592040407663</v>
      </c>
    </row>
    <row r="19" spans="1:10" x14ac:dyDescent="0.25">
      <c r="A19" s="378" t="s">
        <v>167</v>
      </c>
      <c r="B19" s="379"/>
      <c r="C19" s="412"/>
      <c r="D19" s="421"/>
      <c r="E19" s="379"/>
      <c r="F19" s="412"/>
      <c r="G19" s="421"/>
      <c r="H19" s="379"/>
      <c r="I19" s="412"/>
      <c r="J19" s="421"/>
    </row>
    <row r="20" spans="1:10" ht="15.75" thickBot="1" x14ac:dyDescent="0.3">
      <c r="A20" s="240" t="s">
        <v>298</v>
      </c>
      <c r="B20" s="242">
        <v>28065</v>
      </c>
      <c r="C20" s="413">
        <v>26197</v>
      </c>
      <c r="D20" s="422">
        <f t="shared" ref="D20:D31" si="3">(C20-B20)/B20</f>
        <v>-6.6559771957954747E-2</v>
      </c>
      <c r="E20" s="242">
        <v>28065</v>
      </c>
      <c r="F20" s="413">
        <v>26610</v>
      </c>
      <c r="G20" s="422">
        <f>(F20-E20)/E20</f>
        <v>-5.1843933725280601E-2</v>
      </c>
      <c r="H20" s="242">
        <v>28065</v>
      </c>
      <c r="I20" s="413">
        <v>25856</v>
      </c>
      <c r="J20" s="422">
        <f>(I20-H20)/H20</f>
        <v>-7.871013718154285E-2</v>
      </c>
    </row>
    <row r="21" spans="1:10" ht="15.75" thickBot="1" x14ac:dyDescent="0.3">
      <c r="A21" s="240" t="s">
        <v>169</v>
      </c>
      <c r="B21" s="242">
        <v>192795</v>
      </c>
      <c r="C21" s="413">
        <v>193085</v>
      </c>
      <c r="D21" s="422">
        <f t="shared" si="3"/>
        <v>1.5041883866282839E-3</v>
      </c>
      <c r="E21" s="242">
        <v>192795</v>
      </c>
      <c r="F21" s="413">
        <v>193771</v>
      </c>
      <c r="G21" s="422">
        <f>(F21-E21)/E21</f>
        <v>5.0623719494800176E-3</v>
      </c>
      <c r="H21" s="242">
        <v>192795</v>
      </c>
      <c r="I21" s="413">
        <v>195023</v>
      </c>
      <c r="J21" s="422">
        <f>(I21-H21)/H21</f>
        <v>1.1556316294509712E-2</v>
      </c>
    </row>
    <row r="22" spans="1:10" ht="15.75" thickBot="1" x14ac:dyDescent="0.3">
      <c r="A22" s="240" t="s">
        <v>170</v>
      </c>
      <c r="B22" s="242">
        <v>3322694</v>
      </c>
      <c r="C22" s="413">
        <v>3682549</v>
      </c>
      <c r="D22" s="422">
        <f t="shared" si="3"/>
        <v>0.10830217889459577</v>
      </c>
      <c r="E22" s="242">
        <v>3322694</v>
      </c>
      <c r="F22" s="413">
        <v>3469931</v>
      </c>
      <c r="G22" s="422">
        <f>(F22-E22)/E22</f>
        <v>4.4312536754814016E-2</v>
      </c>
      <c r="H22" s="242">
        <v>3322694</v>
      </c>
      <c r="I22" s="413">
        <v>3384110</v>
      </c>
      <c r="J22" s="422">
        <f>(I22-H22)/H22</f>
        <v>1.8483796581930206E-2</v>
      </c>
    </row>
    <row r="23" spans="1:10" ht="15.75" thickBot="1" x14ac:dyDescent="0.3">
      <c r="A23" s="240" t="s">
        <v>171</v>
      </c>
      <c r="B23" s="242">
        <v>3376364</v>
      </c>
      <c r="C23" s="413">
        <v>3334889</v>
      </c>
      <c r="D23" s="422">
        <f t="shared" si="3"/>
        <v>-1.2283924363605345E-2</v>
      </c>
      <c r="E23" s="242">
        <v>3376364</v>
      </c>
      <c r="F23" s="413">
        <v>3320816</v>
      </c>
      <c r="G23" s="422">
        <f>(F23-E23)/E23</f>
        <v>-1.6452017614214581E-2</v>
      </c>
      <c r="H23" s="242">
        <v>3376364</v>
      </c>
      <c r="I23" s="413">
        <v>3415677</v>
      </c>
      <c r="J23" s="422">
        <f>(I23-H23)/H23</f>
        <v>1.164359056073338E-2</v>
      </c>
    </row>
    <row r="24" spans="1:10" ht="15.75" thickBot="1" x14ac:dyDescent="0.3">
      <c r="A24" s="240" t="s">
        <v>295</v>
      </c>
      <c r="B24" s="242">
        <v>0</v>
      </c>
      <c r="C24" s="413">
        <v>911015</v>
      </c>
      <c r="D24" s="422" t="s">
        <v>131</v>
      </c>
      <c r="E24" s="242">
        <v>0</v>
      </c>
      <c r="F24" s="413">
        <v>912962</v>
      </c>
      <c r="G24" s="422" t="s">
        <v>131</v>
      </c>
      <c r="H24" s="242">
        <v>0</v>
      </c>
      <c r="I24" s="413">
        <v>896689</v>
      </c>
      <c r="J24" s="422" t="s">
        <v>131</v>
      </c>
    </row>
    <row r="25" spans="1:10" ht="15.75" thickBot="1" x14ac:dyDescent="0.3">
      <c r="A25" s="240" t="s">
        <v>141</v>
      </c>
      <c r="B25" s="242">
        <v>77062</v>
      </c>
      <c r="C25" s="413">
        <v>76974</v>
      </c>
      <c r="D25" s="422">
        <f t="shared" si="3"/>
        <v>-1.1419376605849836E-3</v>
      </c>
      <c r="E25" s="242">
        <v>77062</v>
      </c>
      <c r="F25" s="413">
        <v>76886</v>
      </c>
      <c r="G25" s="422">
        <f t="shared" ref="G25:G30" si="4">(F25-E25)/E25</f>
        <v>-2.2838753211699672E-3</v>
      </c>
      <c r="H25" s="242">
        <v>77062</v>
      </c>
      <c r="I25" s="413">
        <v>76798</v>
      </c>
      <c r="J25" s="422">
        <f t="shared" ref="J25:J30" si="5">(I25-H25)/H25</f>
        <v>-3.4258129817549506E-3</v>
      </c>
    </row>
    <row r="26" spans="1:10" ht="15.75" thickBot="1" x14ac:dyDescent="0.3">
      <c r="A26" s="240" t="s">
        <v>247</v>
      </c>
      <c r="B26" s="242">
        <v>2085908</v>
      </c>
      <c r="C26" s="413">
        <v>2085257</v>
      </c>
      <c r="D26" s="422">
        <f t="shared" si="3"/>
        <v>-3.1209430137858432E-4</v>
      </c>
      <c r="E26" s="242">
        <v>2085908</v>
      </c>
      <c r="F26" s="413">
        <v>2097084</v>
      </c>
      <c r="G26" s="422">
        <f t="shared" si="4"/>
        <v>5.3578585440968631E-3</v>
      </c>
      <c r="H26" s="242">
        <v>2085908</v>
      </c>
      <c r="I26" s="413">
        <v>2387986</v>
      </c>
      <c r="J26" s="422">
        <f t="shared" si="5"/>
        <v>0.14481846754506911</v>
      </c>
    </row>
    <row r="27" spans="1:10" ht="15.75" thickBot="1" x14ac:dyDescent="0.3">
      <c r="A27" s="240" t="s">
        <v>173</v>
      </c>
      <c r="B27" s="242">
        <v>1167536</v>
      </c>
      <c r="C27" s="413">
        <v>1168448</v>
      </c>
      <c r="D27" s="422">
        <f t="shared" si="3"/>
        <v>7.8113223061216101E-4</v>
      </c>
      <c r="E27" s="242">
        <v>1167536</v>
      </c>
      <c r="F27" s="413">
        <v>1181080</v>
      </c>
      <c r="G27" s="422">
        <f t="shared" si="4"/>
        <v>1.1600498828301654E-2</v>
      </c>
      <c r="H27" s="242">
        <v>1167536</v>
      </c>
      <c r="I27" s="413">
        <v>1277900</v>
      </c>
      <c r="J27" s="422">
        <f t="shared" si="5"/>
        <v>9.4527277959737435E-2</v>
      </c>
    </row>
    <row r="28" spans="1:10" ht="15.75" thickBot="1" x14ac:dyDescent="0.3">
      <c r="A28" s="240" t="s">
        <v>274</v>
      </c>
      <c r="B28" s="242">
        <v>379753</v>
      </c>
      <c r="C28" s="413">
        <v>589304</v>
      </c>
      <c r="D28" s="422">
        <f t="shared" si="3"/>
        <v>0.55180867563916547</v>
      </c>
      <c r="E28" s="242">
        <v>379753</v>
      </c>
      <c r="F28" s="413">
        <v>629109</v>
      </c>
      <c r="G28" s="422">
        <f t="shared" si="4"/>
        <v>0.65662680742482615</v>
      </c>
      <c r="H28" s="242">
        <v>379753</v>
      </c>
      <c r="I28" s="413">
        <v>665835</v>
      </c>
      <c r="J28" s="422">
        <f t="shared" si="5"/>
        <v>0.75333703749542469</v>
      </c>
    </row>
    <row r="29" spans="1:10" ht="15.75" thickBot="1" x14ac:dyDescent="0.3">
      <c r="A29" s="245" t="s">
        <v>271</v>
      </c>
      <c r="B29" s="247">
        <v>72471</v>
      </c>
      <c r="C29" s="414">
        <v>73785</v>
      </c>
      <c r="D29" s="423">
        <f t="shared" si="3"/>
        <v>1.8131390487229376E-2</v>
      </c>
      <c r="E29" s="247">
        <v>72471</v>
      </c>
      <c r="F29" s="414">
        <v>75097</v>
      </c>
      <c r="G29" s="423">
        <f t="shared" si="4"/>
        <v>3.6235183728663876E-2</v>
      </c>
      <c r="H29" s="247">
        <v>72471</v>
      </c>
      <c r="I29" s="414">
        <v>78221</v>
      </c>
      <c r="J29" s="423">
        <f t="shared" si="5"/>
        <v>7.9342081660250308E-2</v>
      </c>
    </row>
    <row r="30" spans="1:10" ht="15.75" thickBot="1" x14ac:dyDescent="0.3">
      <c r="A30" s="249" t="s">
        <v>175</v>
      </c>
      <c r="B30" s="250">
        <f>SUM(B20:B29)</f>
        <v>10702648</v>
      </c>
      <c r="C30" s="415">
        <f>SUM(C20:C29)</f>
        <v>12141503</v>
      </c>
      <c r="D30" s="424">
        <f t="shared" si="3"/>
        <v>0.13443915935570339</v>
      </c>
      <c r="E30" s="250">
        <f>SUM(E20:E29)</f>
        <v>10702648</v>
      </c>
      <c r="F30" s="415">
        <f>SUM(F20:F29)</f>
        <v>11983346</v>
      </c>
      <c r="G30" s="424">
        <f t="shared" si="4"/>
        <v>0.11966178837237289</v>
      </c>
      <c r="H30" s="250">
        <f>SUM(H20:H29)</f>
        <v>10702648</v>
      </c>
      <c r="I30" s="415">
        <f>SUM(I20:I29)</f>
        <v>12404095</v>
      </c>
      <c r="J30" s="424">
        <f t="shared" si="5"/>
        <v>0.15897439586913445</v>
      </c>
    </row>
    <row r="31" spans="1:10" ht="15.75" thickBot="1" x14ac:dyDescent="0.3">
      <c r="A31" s="382" t="s">
        <v>176</v>
      </c>
      <c r="B31" s="383">
        <f>+B18+B30</f>
        <v>13523697</v>
      </c>
      <c r="C31" s="416">
        <f>+C18+C30</f>
        <v>15025016</v>
      </c>
      <c r="D31" s="425">
        <f t="shared" si="3"/>
        <v>0.11101394833084474</v>
      </c>
      <c r="E31" s="383">
        <f>+E18+E30</f>
        <v>13523697</v>
      </c>
      <c r="F31" s="416">
        <f>+F18+F30</f>
        <v>15015910</v>
      </c>
      <c r="G31" s="425">
        <f>(F31-E31)/E31</f>
        <v>0.11034061174248432</v>
      </c>
      <c r="H31" s="383">
        <f>+H18+H30</f>
        <v>13523697</v>
      </c>
      <c r="I31" s="416">
        <f>+I18+I30</f>
        <v>15688518</v>
      </c>
      <c r="J31" s="425">
        <f>(I31-H31)/H31</f>
        <v>0.16007612415451189</v>
      </c>
    </row>
    <row r="32" spans="1:10" x14ac:dyDescent="0.25">
      <c r="A32" s="376" t="s">
        <v>142</v>
      </c>
      <c r="B32" s="377"/>
      <c r="C32" s="411"/>
      <c r="D32" s="411"/>
      <c r="E32" s="377"/>
      <c r="F32" s="411"/>
      <c r="G32" s="411"/>
      <c r="H32" s="377"/>
      <c r="I32" s="411"/>
      <c r="J32" s="411"/>
    </row>
    <row r="33" spans="1:10" x14ac:dyDescent="0.25">
      <c r="A33" s="378" t="s">
        <v>177</v>
      </c>
      <c r="B33" s="379"/>
      <c r="C33" s="412"/>
      <c r="D33" s="421"/>
      <c r="E33" s="379"/>
      <c r="F33" s="412"/>
      <c r="G33" s="421"/>
      <c r="H33" s="379"/>
      <c r="I33" s="412"/>
      <c r="J33" s="421"/>
    </row>
    <row r="34" spans="1:10" ht="15.75" thickBot="1" x14ac:dyDescent="0.3">
      <c r="A34" s="240" t="s">
        <v>28</v>
      </c>
      <c r="B34" s="242">
        <v>522302</v>
      </c>
      <c r="C34" s="413">
        <v>557006</v>
      </c>
      <c r="D34" s="422">
        <f t="shared" ref="D34:D40" si="6">(C34-B34)/B34</f>
        <v>6.644431765530287E-2</v>
      </c>
      <c r="E34" s="242">
        <v>522302</v>
      </c>
      <c r="F34" s="413">
        <v>545046</v>
      </c>
      <c r="G34" s="422">
        <f t="shared" ref="G34:G40" si="7">(F34-E34)/E34</f>
        <v>4.3545688126792548E-2</v>
      </c>
      <c r="H34" s="242">
        <v>522302</v>
      </c>
      <c r="I34" s="413">
        <v>548976</v>
      </c>
      <c r="J34" s="422">
        <f t="shared" ref="J34:J40" si="8">(I34-H34)/H34</f>
        <v>5.1070070572197694E-2</v>
      </c>
    </row>
    <row r="35" spans="1:10" ht="15.75" thickBot="1" x14ac:dyDescent="0.3">
      <c r="A35" s="240" t="s">
        <v>178</v>
      </c>
      <c r="B35" s="242">
        <v>1094960</v>
      </c>
      <c r="C35" s="413">
        <v>1147187</v>
      </c>
      <c r="D35" s="422">
        <f t="shared" si="6"/>
        <v>4.7697632790238913E-2</v>
      </c>
      <c r="E35" s="242">
        <v>1094960</v>
      </c>
      <c r="F35" s="413">
        <v>1087230</v>
      </c>
      <c r="G35" s="422">
        <f t="shared" si="7"/>
        <v>-7.0596186162051582E-3</v>
      </c>
      <c r="H35" s="242">
        <v>1094960</v>
      </c>
      <c r="I35" s="413">
        <v>1110887</v>
      </c>
      <c r="J35" s="422">
        <f t="shared" si="8"/>
        <v>1.4545736830569153E-2</v>
      </c>
    </row>
    <row r="36" spans="1:10" ht="15.75" thickBot="1" x14ac:dyDescent="0.3">
      <c r="A36" s="240" t="s">
        <v>257</v>
      </c>
      <c r="B36" s="242">
        <v>228841</v>
      </c>
      <c r="C36" s="413">
        <v>186532</v>
      </c>
      <c r="D36" s="422">
        <f t="shared" si="6"/>
        <v>-0.18488382763578204</v>
      </c>
      <c r="E36" s="242">
        <v>228841</v>
      </c>
      <c r="F36" s="413">
        <v>265827</v>
      </c>
      <c r="G36" s="422">
        <f t="shared" si="7"/>
        <v>0.16162313571431694</v>
      </c>
      <c r="H36" s="242">
        <v>228841</v>
      </c>
      <c r="I36" s="413">
        <v>286329</v>
      </c>
      <c r="J36" s="422">
        <f t="shared" si="8"/>
        <v>0.25121372481329829</v>
      </c>
    </row>
    <row r="37" spans="1:10" ht="15.75" thickBot="1" x14ac:dyDescent="0.3">
      <c r="A37" s="240" t="s">
        <v>179</v>
      </c>
      <c r="B37" s="242">
        <v>165833</v>
      </c>
      <c r="C37" s="413">
        <v>159605</v>
      </c>
      <c r="D37" s="422">
        <f t="shared" si="6"/>
        <v>-3.7555854383626901E-2</v>
      </c>
      <c r="E37" s="242">
        <v>165833</v>
      </c>
      <c r="F37" s="413">
        <v>165255</v>
      </c>
      <c r="G37" s="422">
        <f t="shared" si="7"/>
        <v>-3.4854341415761639E-3</v>
      </c>
      <c r="H37" s="242">
        <v>165833</v>
      </c>
      <c r="I37" s="413">
        <v>214960</v>
      </c>
      <c r="J37" s="422">
        <f t="shared" si="8"/>
        <v>0.29624381154534984</v>
      </c>
    </row>
    <row r="38" spans="1:10" ht="15.75" thickBot="1" x14ac:dyDescent="0.3">
      <c r="A38" s="240" t="s">
        <v>180</v>
      </c>
      <c r="B38" s="242">
        <v>4118</v>
      </c>
      <c r="C38" s="413">
        <v>4149</v>
      </c>
      <c r="D38" s="422">
        <f t="shared" si="6"/>
        <v>7.5279261777561925E-3</v>
      </c>
      <c r="E38" s="242">
        <v>4118</v>
      </c>
      <c r="F38" s="413">
        <v>2084</v>
      </c>
      <c r="G38" s="422">
        <f t="shared" si="7"/>
        <v>-0.49392909179213212</v>
      </c>
      <c r="H38" s="242">
        <v>4118</v>
      </c>
      <c r="I38" s="413">
        <v>1981</v>
      </c>
      <c r="J38" s="422">
        <f t="shared" si="8"/>
        <v>-0.51894123360854783</v>
      </c>
    </row>
    <row r="39" spans="1:10" ht="15.75" thickBot="1" x14ac:dyDescent="0.3">
      <c r="A39" s="245" t="s">
        <v>260</v>
      </c>
      <c r="B39" s="247">
        <v>26676</v>
      </c>
      <c r="C39" s="414">
        <v>16056</v>
      </c>
      <c r="D39" s="423">
        <f t="shared" si="6"/>
        <v>-0.39811066126855599</v>
      </c>
      <c r="E39" s="247">
        <v>26676</v>
      </c>
      <c r="F39" s="414">
        <v>17671</v>
      </c>
      <c r="G39" s="423">
        <f t="shared" si="7"/>
        <v>-0.33756935072724548</v>
      </c>
      <c r="H39" s="247">
        <v>26676</v>
      </c>
      <c r="I39" s="414">
        <v>26576</v>
      </c>
      <c r="J39" s="423">
        <f t="shared" si="8"/>
        <v>-3.748687959214275E-3</v>
      </c>
    </row>
    <row r="40" spans="1:10" ht="15.75" thickBot="1" x14ac:dyDescent="0.3">
      <c r="A40" s="249" t="s">
        <v>181</v>
      </c>
      <c r="B40" s="250">
        <f>SUM(B34:B39)</f>
        <v>2042730</v>
      </c>
      <c r="C40" s="415">
        <f>SUM(C34:C39)</f>
        <v>2070535</v>
      </c>
      <c r="D40" s="424">
        <f t="shared" si="6"/>
        <v>1.3611686321736108E-2</v>
      </c>
      <c r="E40" s="250">
        <f>SUM(E34:E39)</f>
        <v>2042730</v>
      </c>
      <c r="F40" s="415">
        <f>SUM(F34:F39)</f>
        <v>2083113</v>
      </c>
      <c r="G40" s="424">
        <f t="shared" si="7"/>
        <v>1.9769132484469314E-2</v>
      </c>
      <c r="H40" s="250">
        <f>SUM(H34:H39)</f>
        <v>2042730</v>
      </c>
      <c r="I40" s="415">
        <f>SUM(I34:I39)</f>
        <v>2189709</v>
      </c>
      <c r="J40" s="424">
        <f t="shared" si="8"/>
        <v>7.1952240384191749E-2</v>
      </c>
    </row>
    <row r="41" spans="1:10" x14ac:dyDescent="0.25">
      <c r="A41" s="378" t="s">
        <v>182</v>
      </c>
      <c r="B41" s="379"/>
      <c r="C41" s="412"/>
      <c r="D41" s="421"/>
      <c r="E41" s="379"/>
      <c r="F41" s="412"/>
      <c r="G41" s="421"/>
      <c r="H41" s="379"/>
      <c r="I41" s="412"/>
      <c r="J41" s="421"/>
    </row>
    <row r="42" spans="1:10" ht="15.75" thickBot="1" x14ac:dyDescent="0.3">
      <c r="A42" s="240" t="s">
        <v>28</v>
      </c>
      <c r="B42" s="242">
        <v>2265743</v>
      </c>
      <c r="C42" s="413">
        <v>2371920</v>
      </c>
      <c r="D42" s="422">
        <f t="shared" ref="D42:D50" si="9">(C42-B42)/B42</f>
        <v>4.6861890337959775E-2</v>
      </c>
      <c r="E42" s="242">
        <v>2265743</v>
      </c>
      <c r="F42" s="413">
        <v>2352222</v>
      </c>
      <c r="G42" s="422">
        <f>(F42-E42)/E42</f>
        <v>3.8168053481793834E-2</v>
      </c>
      <c r="H42" s="242">
        <v>2265743</v>
      </c>
      <c r="I42" s="413">
        <v>2714299</v>
      </c>
      <c r="J42" s="422">
        <f>(I42-H42)/H42</f>
        <v>0.19797302694965846</v>
      </c>
    </row>
    <row r="43" spans="1:10" ht="15.75" thickBot="1" x14ac:dyDescent="0.3">
      <c r="A43" s="240" t="s">
        <v>296</v>
      </c>
      <c r="B43" s="242">
        <v>0</v>
      </c>
      <c r="C43" s="413">
        <v>911359</v>
      </c>
      <c r="D43" s="422" t="s">
        <v>131</v>
      </c>
      <c r="E43" s="242">
        <v>0</v>
      </c>
      <c r="F43" s="413">
        <v>903448</v>
      </c>
      <c r="G43" s="422" t="s">
        <v>131</v>
      </c>
      <c r="H43" s="242">
        <v>0</v>
      </c>
      <c r="I43" s="413">
        <v>893964</v>
      </c>
      <c r="J43" s="422" t="s">
        <v>131</v>
      </c>
    </row>
    <row r="44" spans="1:10" ht="15.75" thickBot="1" x14ac:dyDescent="0.3">
      <c r="A44" s="240" t="s">
        <v>178</v>
      </c>
      <c r="B44" s="241">
        <v>158</v>
      </c>
      <c r="C44" s="417">
        <v>158</v>
      </c>
      <c r="D44" s="422">
        <f t="shared" si="9"/>
        <v>0</v>
      </c>
      <c r="E44" s="241">
        <v>158</v>
      </c>
      <c r="F44" s="417">
        <v>158</v>
      </c>
      <c r="G44" s="422">
        <f>(F44-E44)/E44</f>
        <v>0</v>
      </c>
      <c r="H44" s="241">
        <v>158</v>
      </c>
      <c r="I44" s="417">
        <v>158</v>
      </c>
      <c r="J44" s="422">
        <f>(I44-H44)/H44</f>
        <v>0</v>
      </c>
    </row>
    <row r="45" spans="1:10" ht="15.75" thickBot="1" x14ac:dyDescent="0.3">
      <c r="A45" s="240" t="s">
        <v>179</v>
      </c>
      <c r="B45" s="242">
        <v>175036</v>
      </c>
      <c r="C45" s="413">
        <v>176068</v>
      </c>
      <c r="D45" s="422">
        <f t="shared" si="9"/>
        <v>5.8959299801183756E-3</v>
      </c>
      <c r="E45" s="242">
        <v>175036</v>
      </c>
      <c r="F45" s="413">
        <v>181266</v>
      </c>
      <c r="G45" s="422">
        <f>(F45-E45)/E45</f>
        <v>3.5592678077652595E-2</v>
      </c>
      <c r="H45" s="242">
        <v>175036</v>
      </c>
      <c r="I45" s="413">
        <v>185118</v>
      </c>
      <c r="J45" s="422">
        <f>(I45-H45)/H45</f>
        <v>5.7599579515071185E-2</v>
      </c>
    </row>
    <row r="46" spans="1:10" ht="15.75" thickBot="1" x14ac:dyDescent="0.3">
      <c r="A46" s="240" t="s">
        <v>183</v>
      </c>
      <c r="B46" s="242">
        <v>704763</v>
      </c>
      <c r="C46" s="413">
        <v>914360</v>
      </c>
      <c r="D46" s="422">
        <f t="shared" si="9"/>
        <v>0.29740068647190615</v>
      </c>
      <c r="E46" s="242">
        <v>704763</v>
      </c>
      <c r="F46" s="413">
        <v>957086</v>
      </c>
      <c r="G46" s="422">
        <f>(F46-E46)/E46</f>
        <v>0.35802532198767528</v>
      </c>
      <c r="H46" s="242">
        <v>704763</v>
      </c>
      <c r="I46" s="413">
        <v>989205</v>
      </c>
      <c r="J46" s="422">
        <f>(I46-H46)/H46</f>
        <v>0.40359950791968363</v>
      </c>
    </row>
    <row r="47" spans="1:10" ht="15.75" thickBot="1" x14ac:dyDescent="0.3">
      <c r="A47" s="240" t="s">
        <v>297</v>
      </c>
      <c r="B47" s="242">
        <v>0</v>
      </c>
      <c r="C47" s="413">
        <v>5901</v>
      </c>
      <c r="D47" s="422" t="s">
        <v>131</v>
      </c>
      <c r="E47" s="242">
        <v>0</v>
      </c>
      <c r="F47" s="413">
        <v>22883</v>
      </c>
      <c r="G47" s="422" t="s">
        <v>131</v>
      </c>
      <c r="H47" s="242">
        <v>0</v>
      </c>
      <c r="I47" s="413">
        <v>23075</v>
      </c>
      <c r="J47" s="422" t="s">
        <v>131</v>
      </c>
    </row>
    <row r="48" spans="1:10" ht="15.75" thickBot="1" x14ac:dyDescent="0.3">
      <c r="A48" s="245" t="s">
        <v>261</v>
      </c>
      <c r="B48" s="246">
        <v>536</v>
      </c>
      <c r="C48" s="418">
        <v>514</v>
      </c>
      <c r="D48" s="422">
        <f t="shared" si="9"/>
        <v>-4.1044776119402986E-2</v>
      </c>
      <c r="E48" s="246">
        <v>536</v>
      </c>
      <c r="F48" s="418">
        <v>505</v>
      </c>
      <c r="G48" s="422">
        <f>(F48-E48)/E48</f>
        <v>-5.7835820895522388E-2</v>
      </c>
      <c r="H48" s="246">
        <v>536</v>
      </c>
      <c r="I48" s="418">
        <v>514</v>
      </c>
      <c r="J48" s="422">
        <f>(I48-H48)/H48</f>
        <v>-4.1044776119402986E-2</v>
      </c>
    </row>
    <row r="49" spans="1:25" ht="15.75" thickBot="1" x14ac:dyDescent="0.3">
      <c r="A49" s="249" t="s">
        <v>185</v>
      </c>
      <c r="B49" s="250">
        <f>SUM(B42:B48)</f>
        <v>3146236</v>
      </c>
      <c r="C49" s="415">
        <f>SUM(C42:C48)</f>
        <v>4380280</v>
      </c>
      <c r="D49" s="424">
        <f t="shared" si="9"/>
        <v>0.39222868214590384</v>
      </c>
      <c r="E49" s="250">
        <f>SUM(E42:E48)</f>
        <v>3146236</v>
      </c>
      <c r="F49" s="415">
        <f>SUM(F42:F48)</f>
        <v>4417568</v>
      </c>
      <c r="G49" s="424">
        <f>(F49-E49)/E49</f>
        <v>0.40408030421112723</v>
      </c>
      <c r="H49" s="250">
        <f>SUM(H42:H48)</f>
        <v>3146236</v>
      </c>
      <c r="I49" s="415">
        <f>SUM(I42:I48)</f>
        <v>4806333</v>
      </c>
      <c r="J49" s="424">
        <f>(I49-H49)/H49</f>
        <v>0.52764541502926032</v>
      </c>
    </row>
    <row r="50" spans="1:25" ht="15.75" thickBot="1" x14ac:dyDescent="0.3">
      <c r="A50" s="382" t="s">
        <v>186</v>
      </c>
      <c r="B50" s="383">
        <f>+B40+B49</f>
        <v>5188966</v>
      </c>
      <c r="C50" s="416">
        <f>+C40+C49</f>
        <v>6450815</v>
      </c>
      <c r="D50" s="425">
        <f t="shared" si="9"/>
        <v>0.24317927695035968</v>
      </c>
      <c r="E50" s="383">
        <f>+E40+E49</f>
        <v>5188966</v>
      </c>
      <c r="F50" s="416">
        <f>+F40+F49</f>
        <v>6500681</v>
      </c>
      <c r="G50" s="425">
        <f>(F50-E50)/E50</f>
        <v>0.25278928403076839</v>
      </c>
      <c r="H50" s="383">
        <f>+H40+H49</f>
        <v>5188966</v>
      </c>
      <c r="I50" s="416">
        <f>+I40+I49</f>
        <v>6996042</v>
      </c>
      <c r="J50" s="425">
        <f>(I50-H50)/H50</f>
        <v>0.34825358269836421</v>
      </c>
    </row>
    <row r="51" spans="1:25" x14ac:dyDescent="0.25">
      <c r="A51" s="376" t="s">
        <v>34</v>
      </c>
      <c r="B51" s="377"/>
      <c r="C51" s="411"/>
      <c r="D51" s="411"/>
      <c r="E51" s="377"/>
      <c r="F51" s="411"/>
      <c r="G51" s="411"/>
      <c r="H51" s="377"/>
      <c r="I51" s="411"/>
      <c r="J51" s="411"/>
    </row>
    <row r="52" spans="1:25" ht="15.75" thickBot="1" x14ac:dyDescent="0.3">
      <c r="A52" s="249" t="s">
        <v>187</v>
      </c>
      <c r="B52" s="250">
        <v>8290443</v>
      </c>
      <c r="C52" s="415">
        <v>8530766</v>
      </c>
      <c r="D52" s="424">
        <f>(C52-B52)/B52</f>
        <v>2.8987956373380769E-2</v>
      </c>
      <c r="E52" s="250">
        <v>8290443</v>
      </c>
      <c r="F52" s="415">
        <v>8471641</v>
      </c>
      <c r="G52" s="424">
        <f>(F52-E52)/E52</f>
        <v>2.1856250624966603E-2</v>
      </c>
      <c r="H52" s="250">
        <v>8290443</v>
      </c>
      <c r="I52" s="415">
        <v>8647734</v>
      </c>
      <c r="J52" s="424">
        <f>(I52-H52)/H52</f>
        <v>4.3096731984044762E-2</v>
      </c>
    </row>
    <row r="53" spans="1:25" ht="15.75" thickBot="1" x14ac:dyDescent="0.3">
      <c r="A53" s="259" t="s">
        <v>188</v>
      </c>
      <c r="B53" s="247">
        <v>44288</v>
      </c>
      <c r="C53" s="414">
        <v>43435</v>
      </c>
      <c r="D53" s="423">
        <f>(C53-B53)/B53</f>
        <v>-1.9260296242774567E-2</v>
      </c>
      <c r="E53" s="247">
        <v>44288</v>
      </c>
      <c r="F53" s="414">
        <v>43588</v>
      </c>
      <c r="G53" s="423">
        <f>(F53-E53)/E53</f>
        <v>-1.5805635838150291E-2</v>
      </c>
      <c r="H53" s="247">
        <v>44288</v>
      </c>
      <c r="I53" s="414">
        <v>44742</v>
      </c>
      <c r="J53" s="423">
        <f>(I53-H53)/H53</f>
        <v>1.0251083815028901E-2</v>
      </c>
    </row>
    <row r="54" spans="1:25" ht="15.75" thickBot="1" x14ac:dyDescent="0.3">
      <c r="A54" s="382" t="s">
        <v>189</v>
      </c>
      <c r="B54" s="383">
        <f>SUM(B52:B53)</f>
        <v>8334731</v>
      </c>
      <c r="C54" s="416">
        <f>SUM(C52:C53)</f>
        <v>8574201</v>
      </c>
      <c r="D54" s="425">
        <f>(C54-B54)/B54</f>
        <v>2.8731581139211333E-2</v>
      </c>
      <c r="E54" s="383">
        <f>SUM(E52:E53)</f>
        <v>8334731</v>
      </c>
      <c r="F54" s="416">
        <f>SUM(F52:F53)</f>
        <v>8515229</v>
      </c>
      <c r="G54" s="425">
        <f>(F54-E54)/E54</f>
        <v>2.165612783423964E-2</v>
      </c>
      <c r="H54" s="383">
        <f>SUM(H52:H53)</f>
        <v>8334731</v>
      </c>
      <c r="I54" s="416">
        <f>SUM(I52:I53)</f>
        <v>8692476</v>
      </c>
      <c r="J54" s="425">
        <f>(I54-H54)/H54</f>
        <v>4.2922201088433448E-2</v>
      </c>
    </row>
    <row r="55" spans="1:25" ht="15.75" thickBot="1" x14ac:dyDescent="0.3">
      <c r="A55" s="380" t="s">
        <v>190</v>
      </c>
      <c r="B55" s="381">
        <f>+B50+B54</f>
        <v>13523697</v>
      </c>
      <c r="C55" s="419">
        <f>+C50+C54</f>
        <v>15025016</v>
      </c>
      <c r="D55" s="426">
        <f>(C55-B55)/B55</f>
        <v>0.11101394833084474</v>
      </c>
      <c r="E55" s="381">
        <f>+E50+E54</f>
        <v>13523697</v>
      </c>
      <c r="F55" s="419">
        <f>+F50+F54</f>
        <v>15015910</v>
      </c>
      <c r="G55" s="426">
        <f>(F55-E55)/E55</f>
        <v>0.11034061174248432</v>
      </c>
      <c r="H55" s="381">
        <f>+H50+H54</f>
        <v>13523697</v>
      </c>
      <c r="I55" s="419">
        <f>+I50+I54</f>
        <v>15688518</v>
      </c>
      <c r="J55" s="426">
        <f>(I55-H55)/H55</f>
        <v>0.16007612415451189</v>
      </c>
    </row>
    <row r="57" spans="1:25" x14ac:dyDescent="0.25">
      <c r="B57" s="263"/>
      <c r="C57" s="263"/>
      <c r="D57" s="263"/>
      <c r="E57" s="263"/>
      <c r="F57" s="263"/>
      <c r="G57" s="263"/>
      <c r="H57" s="263"/>
      <c r="I57" s="263"/>
      <c r="J57" s="263"/>
      <c r="M57" s="263"/>
      <c r="O57" s="263"/>
      <c r="R57" s="263"/>
      <c r="T57" s="263"/>
    </row>
    <row r="58" spans="1:25" ht="18.75" x14ac:dyDescent="0.3">
      <c r="A58" s="264" t="s">
        <v>191</v>
      </c>
      <c r="B58" s="362"/>
      <c r="C58" s="362"/>
      <c r="D58" s="362"/>
      <c r="E58" s="362"/>
    </row>
    <row r="59" spans="1:25" x14ac:dyDescent="0.25">
      <c r="A59" s="332" t="s">
        <v>235</v>
      </c>
      <c r="B59" s="362"/>
      <c r="C59" s="362"/>
      <c r="D59" s="362"/>
      <c r="E59" s="362"/>
    </row>
    <row r="60" spans="1:25" x14ac:dyDescent="0.25">
      <c r="A60" s="332" t="s">
        <v>88</v>
      </c>
      <c r="B60" s="362"/>
      <c r="C60" s="362"/>
      <c r="D60" s="362"/>
      <c r="E60" s="362"/>
    </row>
    <row r="61" spans="1:25" x14ac:dyDescent="0.25">
      <c r="A61" s="265" t="s">
        <v>159</v>
      </c>
      <c r="B61" s="362"/>
      <c r="C61" s="362"/>
      <c r="D61" s="362"/>
      <c r="E61" s="362"/>
    </row>
    <row r="62" spans="1:25" ht="15.75" thickBot="1" x14ac:dyDescent="0.3">
      <c r="B62" s="364"/>
      <c r="C62" s="364"/>
      <c r="D62" s="364"/>
      <c r="E62" s="364"/>
    </row>
    <row r="63" spans="1:25" ht="15.75" customHeight="1" thickBot="1" x14ac:dyDescent="0.3">
      <c r="A63" s="353"/>
      <c r="B63" s="388" t="s">
        <v>270</v>
      </c>
      <c r="C63" s="388" t="s">
        <v>55</v>
      </c>
      <c r="D63" s="400" t="s">
        <v>299</v>
      </c>
      <c r="E63" s="400" t="s">
        <v>55</v>
      </c>
      <c r="F63" s="388" t="s">
        <v>46</v>
      </c>
      <c r="G63" s="388" t="s">
        <v>278</v>
      </c>
      <c r="H63" s="388" t="s">
        <v>55</v>
      </c>
      <c r="I63" s="400" t="s">
        <v>309</v>
      </c>
      <c r="J63" s="400" t="s">
        <v>55</v>
      </c>
      <c r="K63" s="388" t="s">
        <v>46</v>
      </c>
      <c r="L63" s="388" t="s">
        <v>270</v>
      </c>
      <c r="M63" s="400" t="s">
        <v>299</v>
      </c>
      <c r="N63" s="388" t="s">
        <v>277</v>
      </c>
      <c r="O63" s="400" t="s">
        <v>307</v>
      </c>
      <c r="P63" s="388" t="s">
        <v>284</v>
      </c>
      <c r="Q63" s="388" t="s">
        <v>55</v>
      </c>
      <c r="R63" s="400" t="s">
        <v>313</v>
      </c>
      <c r="S63" s="400" t="s">
        <v>55</v>
      </c>
      <c r="T63" s="388" t="s">
        <v>46</v>
      </c>
      <c r="U63" s="388" t="s">
        <v>285</v>
      </c>
      <c r="V63" s="388" t="s">
        <v>55</v>
      </c>
      <c r="W63" s="400" t="s">
        <v>314</v>
      </c>
      <c r="X63" s="400" t="s">
        <v>55</v>
      </c>
      <c r="Y63" s="388" t="s">
        <v>46</v>
      </c>
    </row>
    <row r="64" spans="1:25" ht="15.75" thickTop="1" x14ac:dyDescent="0.25">
      <c r="A64" s="390" t="s">
        <v>193</v>
      </c>
      <c r="B64" s="389"/>
      <c r="C64" s="389"/>
      <c r="D64" s="401"/>
      <c r="E64" s="406"/>
      <c r="F64" s="389"/>
      <c r="G64" s="389"/>
      <c r="H64" s="389"/>
      <c r="I64" s="401"/>
      <c r="J64" s="406"/>
      <c r="K64" s="389"/>
      <c r="L64" s="389"/>
      <c r="M64" s="401"/>
      <c r="N64" s="389"/>
      <c r="O64" s="401"/>
      <c r="P64" s="389"/>
      <c r="Q64" s="389"/>
      <c r="R64" s="401"/>
      <c r="S64" s="406"/>
      <c r="T64" s="389"/>
      <c r="U64" s="389"/>
      <c r="V64" s="389"/>
      <c r="W64" s="401"/>
      <c r="X64" s="406"/>
      <c r="Y64" s="389"/>
    </row>
    <row r="65" spans="1:25" ht="15.75" thickBot="1" x14ac:dyDescent="0.3">
      <c r="A65" s="391" t="s">
        <v>194</v>
      </c>
      <c r="B65" s="458">
        <v>2104345</v>
      </c>
      <c r="C65" s="387">
        <f t="shared" ref="C65:C85" si="10">+B65/$B$65</f>
        <v>1</v>
      </c>
      <c r="D65" s="395">
        <v>2245742</v>
      </c>
      <c r="E65" s="387">
        <f t="shared" ref="E65:E85" si="11">+D65/$D$65</f>
        <v>1</v>
      </c>
      <c r="F65" s="387">
        <f>(D65-B65)/B65</f>
        <v>6.7192879494569563E-2</v>
      </c>
      <c r="G65" s="458">
        <v>4326514</v>
      </c>
      <c r="H65" s="387">
        <f t="shared" ref="H65:H85" si="12">G65/$G$65</f>
        <v>1</v>
      </c>
      <c r="I65" s="395">
        <v>4646417</v>
      </c>
      <c r="J65" s="387">
        <f t="shared" ref="J65:J85" si="13">I65/$I$65</f>
        <v>1</v>
      </c>
      <c r="K65" s="387">
        <f>(I65-G65)/G65</f>
        <v>7.3940128241813161E-2</v>
      </c>
      <c r="L65" s="458">
        <v>2104345</v>
      </c>
      <c r="M65" s="395">
        <v>2245742</v>
      </c>
      <c r="N65" s="395">
        <v>2222169</v>
      </c>
      <c r="O65" s="395">
        <v>2400675</v>
      </c>
      <c r="P65" s="395">
        <v>2282784</v>
      </c>
      <c r="Q65" s="387">
        <f t="shared" ref="Q65:Q85" si="14">P65/$P$65</f>
        <v>1</v>
      </c>
      <c r="R65" s="395">
        <v>2553619</v>
      </c>
      <c r="S65" s="387">
        <f>R65/$R$65</f>
        <v>1</v>
      </c>
      <c r="T65" s="387">
        <f>(R65-P65)/P65</f>
        <v>0.11864241207227666</v>
      </c>
      <c r="U65" s="395">
        <f>L65+N65+P65</f>
        <v>6609298</v>
      </c>
      <c r="V65" s="387">
        <f t="shared" ref="V65:V85" si="15">U65/$U$65</f>
        <v>1</v>
      </c>
      <c r="W65" s="395">
        <f>M65+O65+R65</f>
        <v>7200036</v>
      </c>
      <c r="X65" s="387">
        <f t="shared" ref="X65:X85" si="16">W65/$W$65</f>
        <v>1</v>
      </c>
      <c r="Y65" s="387">
        <f>(W65-U65)/U65</f>
        <v>8.9379840340078481E-2</v>
      </c>
    </row>
    <row r="66" spans="1:25" ht="15.75" thickBot="1" x14ac:dyDescent="0.3">
      <c r="A66" s="392" t="s">
        <v>273</v>
      </c>
      <c r="B66" s="460">
        <v>-1168715</v>
      </c>
      <c r="C66" s="384">
        <f t="shared" si="10"/>
        <v>-0.5553818409053648</v>
      </c>
      <c r="D66" s="456">
        <v>-1253514</v>
      </c>
      <c r="E66" s="407">
        <f t="shared" si="11"/>
        <v>-0.55817364594864416</v>
      </c>
      <c r="F66" s="384">
        <f t="shared" ref="F66:F85" si="17">(D66-B66)/B66</f>
        <v>7.2557466961577458E-2</v>
      </c>
      <c r="G66" s="460">
        <v>-2398340</v>
      </c>
      <c r="H66" s="384">
        <f t="shared" si="12"/>
        <v>-0.55433543032566168</v>
      </c>
      <c r="I66" s="456">
        <v>-2583703</v>
      </c>
      <c r="J66" s="407">
        <f t="shared" si="13"/>
        <v>-0.55606352163398165</v>
      </c>
      <c r="K66" s="384">
        <f t="shared" ref="K66:K85" si="18">(I66-G66)/G66</f>
        <v>7.7288040894952337E-2</v>
      </c>
      <c r="L66" s="460">
        <v>-1168715</v>
      </c>
      <c r="M66" s="456">
        <v>-1253514</v>
      </c>
      <c r="N66" s="460">
        <v>-1229625</v>
      </c>
      <c r="O66" s="456">
        <v>-1330189</v>
      </c>
      <c r="P66" s="460">
        <v>-1242686</v>
      </c>
      <c r="Q66" s="384">
        <f t="shared" si="14"/>
        <v>-0.54437301120035886</v>
      </c>
      <c r="R66" s="456">
        <v>-1426054</v>
      </c>
      <c r="S66" s="407">
        <f t="shared" ref="S66:S91" si="19">R66/$R$65</f>
        <v>-0.55844430982068982</v>
      </c>
      <c r="T66" s="384">
        <f t="shared" ref="T66:T91" si="20">(R66-P66)/P66</f>
        <v>0.14755779014167697</v>
      </c>
      <c r="U66" s="460">
        <f t="shared" ref="U66:U91" si="21">L66+N66+P66</f>
        <v>-3641026</v>
      </c>
      <c r="V66" s="384">
        <f t="shared" si="15"/>
        <v>-0.55089451254883648</v>
      </c>
      <c r="W66" s="456">
        <f t="shared" ref="W66:W91" si="22">M66+O66+R66</f>
        <v>-4009757</v>
      </c>
      <c r="X66" s="407">
        <f t="shared" si="16"/>
        <v>-0.55690790990489492</v>
      </c>
      <c r="Y66" s="384">
        <f t="shared" ref="Y66:Y91" si="23">(W66-U66)/U66</f>
        <v>0.10127118015636252</v>
      </c>
    </row>
    <row r="67" spans="1:25" ht="15.75" thickBot="1" x14ac:dyDescent="0.3">
      <c r="A67" s="393" t="s">
        <v>196</v>
      </c>
      <c r="B67" s="461">
        <f>SUM(B65:B66)</f>
        <v>935630</v>
      </c>
      <c r="C67" s="386">
        <f t="shared" si="10"/>
        <v>0.44461815909463515</v>
      </c>
      <c r="D67" s="457">
        <f>SUM(D65:D66)</f>
        <v>992228</v>
      </c>
      <c r="E67" s="408">
        <f t="shared" si="11"/>
        <v>0.44182635405135584</v>
      </c>
      <c r="F67" s="386">
        <f t="shared" si="17"/>
        <v>6.0491861098938685E-2</v>
      </c>
      <c r="G67" s="461">
        <v>1928174</v>
      </c>
      <c r="H67" s="386">
        <f t="shared" si="12"/>
        <v>0.44566456967433826</v>
      </c>
      <c r="I67" s="457">
        <v>2062714</v>
      </c>
      <c r="J67" s="408">
        <f t="shared" si="13"/>
        <v>0.44393647836601835</v>
      </c>
      <c r="K67" s="386">
        <f t="shared" si="18"/>
        <v>6.9775860477322066E-2</v>
      </c>
      <c r="L67" s="461">
        <f>SUM(L65:L66)</f>
        <v>935630</v>
      </c>
      <c r="M67" s="457">
        <f>SUM(M65:M66)</f>
        <v>992228</v>
      </c>
      <c r="N67" s="397">
        <f>SUM(N65:N66)</f>
        <v>992544</v>
      </c>
      <c r="O67" s="457">
        <f>SUM(O65:O66)</f>
        <v>1070486</v>
      </c>
      <c r="P67" s="397">
        <f>SUM(P65:P66)</f>
        <v>1040098</v>
      </c>
      <c r="Q67" s="386">
        <f t="shared" si="14"/>
        <v>0.45562698879964114</v>
      </c>
      <c r="R67" s="457">
        <f>SUM(R65:R66)</f>
        <v>1127565</v>
      </c>
      <c r="S67" s="408">
        <f t="shared" si="19"/>
        <v>0.44155569017931023</v>
      </c>
      <c r="T67" s="386">
        <f t="shared" si="20"/>
        <v>8.4094960282588754E-2</v>
      </c>
      <c r="U67" s="397">
        <f t="shared" si="21"/>
        <v>2968272</v>
      </c>
      <c r="V67" s="386">
        <f t="shared" si="15"/>
        <v>0.44910548745116352</v>
      </c>
      <c r="W67" s="403">
        <f>M67+O67+R67</f>
        <v>3190279</v>
      </c>
      <c r="X67" s="408">
        <f t="shared" si="16"/>
        <v>0.44309209009510508</v>
      </c>
      <c r="Y67" s="386">
        <f t="shared" si="23"/>
        <v>7.4793347779448779E-2</v>
      </c>
    </row>
    <row r="68" spans="1:25" ht="15.75" thickBot="1" x14ac:dyDescent="0.3">
      <c r="A68" s="392" t="s">
        <v>7</v>
      </c>
      <c r="B68" s="460">
        <v>-99417</v>
      </c>
      <c r="C68" s="384">
        <f t="shared" si="10"/>
        <v>-4.7243679149569104E-2</v>
      </c>
      <c r="D68" s="456">
        <v>-104388</v>
      </c>
      <c r="E68" s="407">
        <f t="shared" si="11"/>
        <v>-4.6482632466240556E-2</v>
      </c>
      <c r="F68" s="384">
        <f t="shared" si="17"/>
        <v>5.0001508796282325E-2</v>
      </c>
      <c r="G68" s="460">
        <v>-196903</v>
      </c>
      <c r="H68" s="384">
        <f t="shared" si="12"/>
        <v>-4.5510773800801291E-2</v>
      </c>
      <c r="I68" s="456">
        <v>-213170</v>
      </c>
      <c r="J68" s="407">
        <f t="shared" si="13"/>
        <v>-4.5878361757026975E-2</v>
      </c>
      <c r="K68" s="384">
        <f t="shared" si="18"/>
        <v>8.2614282159235761E-2</v>
      </c>
      <c r="L68" s="460">
        <v>-99417</v>
      </c>
      <c r="M68" s="456">
        <v>-104388</v>
      </c>
      <c r="N68" s="460">
        <v>-97486</v>
      </c>
      <c r="O68" s="456">
        <v>-108782</v>
      </c>
      <c r="P68" s="460">
        <v>-102539</v>
      </c>
      <c r="Q68" s="384">
        <f t="shared" si="14"/>
        <v>-4.4918397886089964E-2</v>
      </c>
      <c r="R68" s="456">
        <v>-111656</v>
      </c>
      <c r="S68" s="407">
        <f t="shared" si="19"/>
        <v>-4.3724612011423789E-2</v>
      </c>
      <c r="T68" s="384">
        <f t="shared" si="20"/>
        <v>8.8912511337149766E-2</v>
      </c>
      <c r="U68" s="460">
        <f t="shared" si="21"/>
        <v>-299442</v>
      </c>
      <c r="V68" s="384">
        <f t="shared" si="15"/>
        <v>-4.5306173212344182E-2</v>
      </c>
      <c r="W68" s="456">
        <f t="shared" si="22"/>
        <v>-324826</v>
      </c>
      <c r="X68" s="407">
        <f t="shared" si="16"/>
        <v>-4.5114496649738975E-2</v>
      </c>
      <c r="Y68" s="384">
        <f t="shared" si="23"/>
        <v>8.4771007407110563E-2</v>
      </c>
    </row>
    <row r="69" spans="1:25" ht="15.75" thickBot="1" x14ac:dyDescent="0.3">
      <c r="A69" s="392" t="s">
        <v>8</v>
      </c>
      <c r="B69" s="460">
        <v>-607913</v>
      </c>
      <c r="C69" s="384">
        <f t="shared" si="10"/>
        <v>-0.28888466482444658</v>
      </c>
      <c r="D69" s="456">
        <v>-625569</v>
      </c>
      <c r="E69" s="407">
        <f t="shared" si="11"/>
        <v>-0.27855782186911943</v>
      </c>
      <c r="F69" s="384">
        <f t="shared" si="17"/>
        <v>2.9043629598314233E-2</v>
      </c>
      <c r="G69" s="460">
        <v>-1263528</v>
      </c>
      <c r="H69" s="384">
        <f t="shared" si="12"/>
        <v>-0.2920429703914052</v>
      </c>
      <c r="I69" s="456">
        <v>-1317157</v>
      </c>
      <c r="J69" s="407">
        <f t="shared" si="13"/>
        <v>-0.28347800036027759</v>
      </c>
      <c r="K69" s="384">
        <f t="shared" si="18"/>
        <v>4.2443855616970894E-2</v>
      </c>
      <c r="L69" s="460">
        <v>-607913</v>
      </c>
      <c r="M69" s="456">
        <v>-625569</v>
      </c>
      <c r="N69" s="460">
        <v>-655615</v>
      </c>
      <c r="O69" s="456">
        <v>-691588</v>
      </c>
      <c r="P69" s="460">
        <v>-669434</v>
      </c>
      <c r="Q69" s="384">
        <f t="shared" si="14"/>
        <v>-0.29325332576362895</v>
      </c>
      <c r="R69" s="456">
        <v>-727342</v>
      </c>
      <c r="S69" s="407">
        <f t="shared" si="19"/>
        <v>-0.28482792460425771</v>
      </c>
      <c r="T69" s="384">
        <f t="shared" si="20"/>
        <v>8.6502926352709897E-2</v>
      </c>
      <c r="U69" s="460">
        <f t="shared" si="21"/>
        <v>-1932962</v>
      </c>
      <c r="V69" s="384">
        <f t="shared" si="15"/>
        <v>-0.29246101477040376</v>
      </c>
      <c r="W69" s="456">
        <f t="shared" si="22"/>
        <v>-2044499</v>
      </c>
      <c r="X69" s="407">
        <f t="shared" si="16"/>
        <v>-0.28395677466057112</v>
      </c>
      <c r="Y69" s="384">
        <f t="shared" si="23"/>
        <v>5.7702634609474994E-2</v>
      </c>
    </row>
    <row r="70" spans="1:25" ht="15.75" thickBot="1" x14ac:dyDescent="0.3">
      <c r="A70" s="392" t="s">
        <v>84</v>
      </c>
      <c r="B70" s="460">
        <v>-33212</v>
      </c>
      <c r="C70" s="384">
        <f t="shared" si="10"/>
        <v>-1.5782583179088979E-2</v>
      </c>
      <c r="D70" s="456">
        <v>-33782</v>
      </c>
      <c r="E70" s="407">
        <f t="shared" si="11"/>
        <v>-1.5042689676730453E-2</v>
      </c>
      <c r="F70" s="384">
        <f t="shared" si="17"/>
        <v>1.7162471395881007E-2</v>
      </c>
      <c r="G70" s="460">
        <v>-68712</v>
      </c>
      <c r="H70" s="384">
        <f t="shared" si="12"/>
        <v>-1.5881608149193555E-2</v>
      </c>
      <c r="I70" s="456">
        <v>-72901</v>
      </c>
      <c r="J70" s="407">
        <f t="shared" si="13"/>
        <v>-1.5689723931364748E-2</v>
      </c>
      <c r="K70" s="384">
        <f t="shared" si="18"/>
        <v>6.0964605891256261E-2</v>
      </c>
      <c r="L70" s="460">
        <v>-33212</v>
      </c>
      <c r="M70" s="456">
        <v>-33782</v>
      </c>
      <c r="N70" s="460">
        <v>-35500</v>
      </c>
      <c r="O70" s="456">
        <v>-39119</v>
      </c>
      <c r="P70" s="460">
        <v>-36861</v>
      </c>
      <c r="Q70" s="384">
        <f t="shared" si="14"/>
        <v>-1.6147388451995457E-2</v>
      </c>
      <c r="R70" s="456">
        <v>-40710</v>
      </c>
      <c r="S70" s="407">
        <f t="shared" si="19"/>
        <v>-1.5942080631448936E-2</v>
      </c>
      <c r="T70" s="384">
        <f t="shared" si="20"/>
        <v>0.10441930495645804</v>
      </c>
      <c r="U70" s="460">
        <f t="shared" si="21"/>
        <v>-105573</v>
      </c>
      <c r="V70" s="384">
        <f t="shared" si="15"/>
        <v>-1.5973405950223458E-2</v>
      </c>
      <c r="W70" s="456">
        <f t="shared" si="22"/>
        <v>-113611</v>
      </c>
      <c r="X70" s="407">
        <f t="shared" si="16"/>
        <v>-1.5779226659422257E-2</v>
      </c>
      <c r="Y70" s="384">
        <f t="shared" si="23"/>
        <v>7.6136891061161477E-2</v>
      </c>
    </row>
    <row r="71" spans="1:25" ht="15.75" thickBot="1" x14ac:dyDescent="0.3">
      <c r="A71" s="392" t="s">
        <v>197</v>
      </c>
      <c r="B71" s="460">
        <v>1952</v>
      </c>
      <c r="C71" s="384">
        <f t="shared" si="10"/>
        <v>9.2760455153503819E-4</v>
      </c>
      <c r="D71" s="456">
        <v>3810</v>
      </c>
      <c r="E71" s="407">
        <f t="shared" si="11"/>
        <v>1.6965439485034344E-3</v>
      </c>
      <c r="F71" s="384">
        <f t="shared" si="17"/>
        <v>0.95184426229508201</v>
      </c>
      <c r="G71" s="460">
        <v>1864</v>
      </c>
      <c r="H71" s="384">
        <f t="shared" si="12"/>
        <v>4.3083184291094401E-4</v>
      </c>
      <c r="I71" s="456">
        <v>4664</v>
      </c>
      <c r="J71" s="407">
        <f t="shared" si="13"/>
        <v>1.0037842061958709E-3</v>
      </c>
      <c r="K71" s="384">
        <f t="shared" si="18"/>
        <v>1.502145922746781</v>
      </c>
      <c r="L71" s="460">
        <v>1952</v>
      </c>
      <c r="M71" s="456">
        <v>3810</v>
      </c>
      <c r="N71" s="460">
        <v>-88</v>
      </c>
      <c r="O71" s="456">
        <v>854</v>
      </c>
      <c r="P71" s="460">
        <v>-2342</v>
      </c>
      <c r="Q71" s="384">
        <f t="shared" si="14"/>
        <v>-1.0259402554074323E-3</v>
      </c>
      <c r="R71" s="456">
        <v>-1361</v>
      </c>
      <c r="S71" s="407">
        <f t="shared" si="19"/>
        <v>-5.3296909210027023E-4</v>
      </c>
      <c r="T71" s="384">
        <f t="shared" si="20"/>
        <v>-0.4188727583262169</v>
      </c>
      <c r="U71" s="396">
        <f t="shared" si="21"/>
        <v>-478</v>
      </c>
      <c r="V71" s="384">
        <f t="shared" si="15"/>
        <v>-7.2322355566355157E-5</v>
      </c>
      <c r="W71" s="456">
        <f t="shared" si="22"/>
        <v>3303</v>
      </c>
      <c r="X71" s="407">
        <f t="shared" si="16"/>
        <v>4.5874770626146871E-4</v>
      </c>
      <c r="Y71" s="384" t="s">
        <v>131</v>
      </c>
    </row>
    <row r="72" spans="1:25" ht="15.75" thickBot="1" x14ac:dyDescent="0.3">
      <c r="A72" s="392" t="s">
        <v>144</v>
      </c>
      <c r="B72" s="460">
        <v>4942</v>
      </c>
      <c r="C72" s="384">
        <f t="shared" si="10"/>
        <v>2.3484742283228274E-3</v>
      </c>
      <c r="D72" s="456">
        <v>-2136</v>
      </c>
      <c r="E72" s="407">
        <f t="shared" si="11"/>
        <v>-9.5113330026334278E-4</v>
      </c>
      <c r="F72" s="384">
        <f t="shared" si="17"/>
        <v>-1.4322136786726021</v>
      </c>
      <c r="G72" s="460">
        <v>-603</v>
      </c>
      <c r="H72" s="384">
        <f t="shared" si="12"/>
        <v>-1.3937317664983865E-4</v>
      </c>
      <c r="I72" s="456">
        <v>1174</v>
      </c>
      <c r="J72" s="407">
        <f t="shared" si="13"/>
        <v>2.5266780833489548E-4</v>
      </c>
      <c r="K72" s="384">
        <f t="shared" si="18"/>
        <v>-2.946932006633499</v>
      </c>
      <c r="L72" s="460">
        <v>4942</v>
      </c>
      <c r="M72" s="456">
        <v>-2136</v>
      </c>
      <c r="N72" s="460">
        <v>-5545</v>
      </c>
      <c r="O72" s="456">
        <v>3310</v>
      </c>
      <c r="P72" s="460">
        <v>4612</v>
      </c>
      <c r="Q72" s="384">
        <f t="shared" si="14"/>
        <v>2.020340075977403E-3</v>
      </c>
      <c r="R72" s="456">
        <v>-2746</v>
      </c>
      <c r="S72" s="407">
        <f t="shared" si="19"/>
        <v>-1.0753366105123747E-3</v>
      </c>
      <c r="T72" s="384">
        <f t="shared" si="20"/>
        <v>-1.5954032957502169</v>
      </c>
      <c r="U72" s="460">
        <f t="shared" si="21"/>
        <v>4009</v>
      </c>
      <c r="V72" s="384">
        <f t="shared" si="15"/>
        <v>6.0656971436300804E-4</v>
      </c>
      <c r="W72" s="456">
        <f t="shared" si="22"/>
        <v>-1572</v>
      </c>
      <c r="X72" s="407">
        <f t="shared" si="16"/>
        <v>-2.1833224167212498E-4</v>
      </c>
      <c r="Y72" s="384">
        <f t="shared" si="23"/>
        <v>-1.3921177350960339</v>
      </c>
    </row>
    <row r="73" spans="1:25" ht="16.5" customHeight="1" thickBot="1" x14ac:dyDescent="0.3">
      <c r="A73" s="391" t="s">
        <v>198</v>
      </c>
      <c r="B73" s="458">
        <f>SUM(B67:B72)</f>
        <v>201982</v>
      </c>
      <c r="C73" s="387">
        <f t="shared" si="10"/>
        <v>9.5983310721388368E-2</v>
      </c>
      <c r="D73" s="458">
        <f>SUM(D67:D72)</f>
        <v>230163</v>
      </c>
      <c r="E73" s="387">
        <f t="shared" si="11"/>
        <v>0.10248862068750551</v>
      </c>
      <c r="F73" s="387">
        <f t="shared" si="17"/>
        <v>0.13952233367329761</v>
      </c>
      <c r="G73" s="458">
        <f>SUM(G67:G72)</f>
        <v>400292</v>
      </c>
      <c r="H73" s="387">
        <f t="shared" si="12"/>
        <v>9.2520675999199359E-2</v>
      </c>
      <c r="I73" s="458">
        <f>SUM(I67:I72)</f>
        <v>465324</v>
      </c>
      <c r="J73" s="387">
        <f t="shared" si="13"/>
        <v>0.10014684433187981</v>
      </c>
      <c r="K73" s="387">
        <f t="shared" si="18"/>
        <v>0.16246140317568175</v>
      </c>
      <c r="L73" s="458">
        <f>SUM(L67:L72)</f>
        <v>201982</v>
      </c>
      <c r="M73" s="458">
        <f>SUM(M67:M72)</f>
        <v>230163</v>
      </c>
      <c r="N73" s="395">
        <f>SUM(N67:N72)</f>
        <v>198310</v>
      </c>
      <c r="O73" s="395">
        <f>SUM(O67:O72)</f>
        <v>235161</v>
      </c>
      <c r="P73" s="395">
        <f>SUM(P67:P72)</f>
        <v>233534</v>
      </c>
      <c r="Q73" s="387">
        <f t="shared" si="14"/>
        <v>0.10230227651849672</v>
      </c>
      <c r="R73" s="395">
        <f>SUM(R67:R72)</f>
        <v>243750</v>
      </c>
      <c r="S73" s="387">
        <f t="shared" si="19"/>
        <v>9.5452767229567137E-2</v>
      </c>
      <c r="T73" s="387">
        <f t="shared" si="20"/>
        <v>4.374523623969101E-2</v>
      </c>
      <c r="U73" s="395">
        <f t="shared" si="21"/>
        <v>633826</v>
      </c>
      <c r="V73" s="387">
        <f t="shared" si="15"/>
        <v>9.5899140876988753E-2</v>
      </c>
      <c r="W73" s="395">
        <f t="shared" si="22"/>
        <v>709074</v>
      </c>
      <c r="X73" s="387">
        <f t="shared" si="16"/>
        <v>9.8482007589962048E-2</v>
      </c>
      <c r="Y73" s="387">
        <f t="shared" si="23"/>
        <v>0.11872027969821371</v>
      </c>
    </row>
    <row r="74" spans="1:25" ht="15.75" thickBot="1" x14ac:dyDescent="0.3">
      <c r="A74" s="392" t="s">
        <v>51</v>
      </c>
      <c r="B74" s="460">
        <v>3241</v>
      </c>
      <c r="C74" s="384">
        <f t="shared" si="10"/>
        <v>1.5401466964780014E-3</v>
      </c>
      <c r="D74" s="456">
        <v>3427</v>
      </c>
      <c r="E74" s="407">
        <f t="shared" si="11"/>
        <v>1.5259989794019081E-3</v>
      </c>
      <c r="F74" s="384">
        <f t="shared" si="17"/>
        <v>5.7389694538722613E-2</v>
      </c>
      <c r="G74" s="460">
        <v>7034</v>
      </c>
      <c r="H74" s="384">
        <f t="shared" si="12"/>
        <v>1.6257892612851824E-3</v>
      </c>
      <c r="I74" s="456">
        <v>7114</v>
      </c>
      <c r="J74" s="407">
        <f t="shared" si="13"/>
        <v>1.5310722218862406E-3</v>
      </c>
      <c r="K74" s="384">
        <f t="shared" si="18"/>
        <v>1.1373329542223486E-2</v>
      </c>
      <c r="L74" s="460">
        <v>3241</v>
      </c>
      <c r="M74" s="456">
        <v>3427</v>
      </c>
      <c r="N74" s="396">
        <v>3793</v>
      </c>
      <c r="O74" s="456">
        <v>3687</v>
      </c>
      <c r="P74" s="396">
        <v>4025</v>
      </c>
      <c r="Q74" s="384">
        <f t="shared" si="14"/>
        <v>1.7631979197330978E-3</v>
      </c>
      <c r="R74" s="456">
        <v>8737</v>
      </c>
      <c r="S74" s="407">
        <f t="shared" si="19"/>
        <v>3.4214187786040127E-3</v>
      </c>
      <c r="T74" s="384">
        <f t="shared" si="20"/>
        <v>1.1706832298136647</v>
      </c>
      <c r="U74" s="396">
        <f t="shared" si="21"/>
        <v>11059</v>
      </c>
      <c r="V74" s="384">
        <f t="shared" si="15"/>
        <v>1.6732488079672001E-3</v>
      </c>
      <c r="W74" s="402">
        <f t="shared" si="22"/>
        <v>15851</v>
      </c>
      <c r="X74" s="407">
        <f t="shared" si="16"/>
        <v>2.201516770193927E-3</v>
      </c>
      <c r="Y74" s="384">
        <f t="shared" si="23"/>
        <v>0.4333122343792386</v>
      </c>
    </row>
    <row r="75" spans="1:25" ht="15.75" thickBot="1" x14ac:dyDescent="0.3">
      <c r="A75" s="392" t="s">
        <v>11</v>
      </c>
      <c r="B75" s="460">
        <v>-71961</v>
      </c>
      <c r="C75" s="384">
        <f t="shared" si="10"/>
        <v>-3.4196388900109058E-2</v>
      </c>
      <c r="D75" s="456">
        <v>-72588</v>
      </c>
      <c r="E75" s="407">
        <f t="shared" si="11"/>
        <v>-3.2322501872432366E-2</v>
      </c>
      <c r="F75" s="384">
        <f t="shared" si="17"/>
        <v>8.7130529036561471E-3</v>
      </c>
      <c r="G75" s="460">
        <v>-133356</v>
      </c>
      <c r="H75" s="384">
        <f t="shared" si="12"/>
        <v>-3.0822967405167302E-2</v>
      </c>
      <c r="I75" s="456">
        <v>-147477</v>
      </c>
      <c r="J75" s="407">
        <f t="shared" si="13"/>
        <v>-3.1739940689783114E-2</v>
      </c>
      <c r="K75" s="384">
        <f t="shared" si="18"/>
        <v>0.10588949878520651</v>
      </c>
      <c r="L75" s="460">
        <v>-71961</v>
      </c>
      <c r="M75" s="456">
        <v>-72588</v>
      </c>
      <c r="N75" s="460">
        <v>-61395</v>
      </c>
      <c r="O75" s="456">
        <v>-74889</v>
      </c>
      <c r="P75" s="460">
        <v>-58084</v>
      </c>
      <c r="Q75" s="384">
        <f t="shared" si="14"/>
        <v>-2.5444369681932238E-2</v>
      </c>
      <c r="R75" s="456">
        <v>-76301</v>
      </c>
      <c r="S75" s="407">
        <f t="shared" si="19"/>
        <v>-2.9879555250802881E-2</v>
      </c>
      <c r="T75" s="384">
        <f t="shared" si="20"/>
        <v>0.31363198126850766</v>
      </c>
      <c r="U75" s="460">
        <f t="shared" si="21"/>
        <v>-191440</v>
      </c>
      <c r="V75" s="384">
        <f t="shared" si="15"/>
        <v>-2.8965254706324332E-2</v>
      </c>
      <c r="W75" s="456">
        <f t="shared" si="22"/>
        <v>-223778</v>
      </c>
      <c r="X75" s="407">
        <f t="shared" si="16"/>
        <v>-3.108012237716589E-2</v>
      </c>
      <c r="Y75" s="384">
        <f t="shared" si="23"/>
        <v>0.16891976598412034</v>
      </c>
    </row>
    <row r="76" spans="1:25" ht="15.75" thickBot="1" x14ac:dyDescent="0.3">
      <c r="A76" s="392" t="s">
        <v>272</v>
      </c>
      <c r="B76" s="460">
        <v>32336</v>
      </c>
      <c r="C76" s="384">
        <f t="shared" si="10"/>
        <v>1.5366301628297642E-2</v>
      </c>
      <c r="D76" s="456">
        <v>61493</v>
      </c>
      <c r="E76" s="407">
        <f t="shared" si="11"/>
        <v>2.7382041213995196E-2</v>
      </c>
      <c r="F76" s="384">
        <f t="shared" si="17"/>
        <v>0.90168852053438897</v>
      </c>
      <c r="G76" s="460">
        <v>58559</v>
      </c>
      <c r="H76" s="384">
        <f t="shared" si="12"/>
        <v>1.3534915176513932E-2</v>
      </c>
      <c r="I76" s="456">
        <v>61503</v>
      </c>
      <c r="J76" s="407">
        <f t="shared" si="13"/>
        <v>1.3236650950614205E-2</v>
      </c>
      <c r="K76" s="384">
        <f t="shared" si="18"/>
        <v>5.0274082549223859E-2</v>
      </c>
      <c r="L76" s="460">
        <v>32336</v>
      </c>
      <c r="M76" s="456">
        <v>61493</v>
      </c>
      <c r="N76" s="396">
        <v>26223</v>
      </c>
      <c r="O76" s="456">
        <v>10</v>
      </c>
      <c r="P76" s="396">
        <v>0</v>
      </c>
      <c r="Q76" s="384">
        <f t="shared" si="14"/>
        <v>0</v>
      </c>
      <c r="R76" s="456">
        <v>13</v>
      </c>
      <c r="S76" s="407">
        <f t="shared" si="19"/>
        <v>5.0908142522435805E-6</v>
      </c>
      <c r="T76" s="384" t="s">
        <v>131</v>
      </c>
      <c r="U76" s="396">
        <f t="shared" si="21"/>
        <v>58559</v>
      </c>
      <c r="V76" s="384">
        <f t="shared" si="15"/>
        <v>8.8600937648748782E-3</v>
      </c>
      <c r="W76" s="456">
        <f t="shared" si="22"/>
        <v>61516</v>
      </c>
      <c r="X76" s="407">
        <f t="shared" si="16"/>
        <v>8.5438461696580401E-3</v>
      </c>
      <c r="Y76" s="384">
        <f t="shared" si="23"/>
        <v>5.0496080875698013E-2</v>
      </c>
    </row>
    <row r="77" spans="1:25" ht="15.75" thickBot="1" x14ac:dyDescent="0.3">
      <c r="A77" s="392" t="s">
        <v>200</v>
      </c>
      <c r="B77" s="460">
        <v>-2666</v>
      </c>
      <c r="C77" s="384">
        <f t="shared" si="10"/>
        <v>-1.2669025278649652E-3</v>
      </c>
      <c r="D77" s="456">
        <v>702</v>
      </c>
      <c r="E77" s="407">
        <f t="shared" si="11"/>
        <v>3.1259156216519973E-4</v>
      </c>
      <c r="F77" s="384">
        <f t="shared" si="17"/>
        <v>-1.2633158289572393</v>
      </c>
      <c r="G77" s="460">
        <v>10585</v>
      </c>
      <c r="H77" s="384">
        <f t="shared" si="12"/>
        <v>2.4465424126675658E-3</v>
      </c>
      <c r="I77" s="456">
        <v>-735</v>
      </c>
      <c r="J77" s="407">
        <f t="shared" si="13"/>
        <v>-1.5818640470711089E-4</v>
      </c>
      <c r="K77" s="384">
        <f t="shared" si="18"/>
        <v>-1.0694378837978271</v>
      </c>
      <c r="L77" s="460">
        <v>-2666</v>
      </c>
      <c r="M77" s="456">
        <v>702</v>
      </c>
      <c r="N77" s="460">
        <v>13251</v>
      </c>
      <c r="O77" s="456">
        <v>-1437</v>
      </c>
      <c r="P77" s="460">
        <v>4505</v>
      </c>
      <c r="Q77" s="384">
        <f t="shared" si="14"/>
        <v>1.9734674853161753E-3</v>
      </c>
      <c r="R77" s="456">
        <v>7478</v>
      </c>
      <c r="S77" s="407">
        <f t="shared" si="19"/>
        <v>2.9283929983290381E-3</v>
      </c>
      <c r="T77" s="384">
        <f t="shared" si="20"/>
        <v>0.65993340732519423</v>
      </c>
      <c r="U77" s="460">
        <f t="shared" si="21"/>
        <v>15090</v>
      </c>
      <c r="V77" s="384">
        <f t="shared" si="15"/>
        <v>2.2831471663102496E-3</v>
      </c>
      <c r="W77" s="456">
        <f t="shared" si="22"/>
        <v>6743</v>
      </c>
      <c r="X77" s="407">
        <f t="shared" si="16"/>
        <v>9.3652309516230195E-4</v>
      </c>
      <c r="Y77" s="384">
        <f t="shared" si="23"/>
        <v>-0.55314777998674614</v>
      </c>
    </row>
    <row r="78" spans="1:25" ht="15.75" thickBot="1" x14ac:dyDescent="0.3">
      <c r="A78" s="392" t="s">
        <v>275</v>
      </c>
      <c r="B78" s="460">
        <v>-2327</v>
      </c>
      <c r="C78" s="384">
        <f t="shared" si="10"/>
        <v>-1.1058072701957142E-3</v>
      </c>
      <c r="D78" s="456">
        <v>-377</v>
      </c>
      <c r="E78" s="407">
        <f t="shared" si="11"/>
        <v>-1.6787324634797763E-4</v>
      </c>
      <c r="F78" s="384">
        <f t="shared" si="17"/>
        <v>-0.83798882681564246</v>
      </c>
      <c r="G78" s="460">
        <v>-704</v>
      </c>
      <c r="H78" s="384">
        <f t="shared" si="12"/>
        <v>-1.6271760590627927E-4</v>
      </c>
      <c r="I78" s="456">
        <v>-900</v>
      </c>
      <c r="J78" s="407">
        <f t="shared" si="13"/>
        <v>-1.9369763841687047E-4</v>
      </c>
      <c r="K78" s="384">
        <f t="shared" si="18"/>
        <v>0.27840909090909088</v>
      </c>
      <c r="L78" s="460">
        <v>-2327</v>
      </c>
      <c r="M78" s="456">
        <v>-377</v>
      </c>
      <c r="N78" s="464">
        <v>1623</v>
      </c>
      <c r="O78" s="456">
        <v>-523</v>
      </c>
      <c r="P78" s="464">
        <v>639</v>
      </c>
      <c r="Q78" s="384">
        <f t="shared" si="14"/>
        <v>2.7992135918247194E-4</v>
      </c>
      <c r="R78" s="456">
        <v>-770</v>
      </c>
      <c r="S78" s="407">
        <f t="shared" si="19"/>
        <v>-3.0153284417135052E-4</v>
      </c>
      <c r="T78" s="384" t="s">
        <v>131</v>
      </c>
      <c r="U78" s="460">
        <f t="shared" si="21"/>
        <v>-65</v>
      </c>
      <c r="V78" s="384">
        <f t="shared" si="15"/>
        <v>-9.8346299410315595E-6</v>
      </c>
      <c r="W78" s="456">
        <f t="shared" si="22"/>
        <v>-1670</v>
      </c>
      <c r="X78" s="407">
        <f t="shared" si="16"/>
        <v>-2.3194328472802081E-4</v>
      </c>
      <c r="Y78" s="384" t="s">
        <v>131</v>
      </c>
    </row>
    <row r="79" spans="1:25" ht="15.75" thickBot="1" x14ac:dyDescent="0.3">
      <c r="A79" s="392" t="s">
        <v>308</v>
      </c>
      <c r="B79" s="460">
        <v>0</v>
      </c>
      <c r="C79" s="384">
        <f t="shared" si="10"/>
        <v>0</v>
      </c>
      <c r="D79" s="456">
        <v>0</v>
      </c>
      <c r="E79" s="407">
        <f>+D79/$D$65</f>
        <v>0</v>
      </c>
      <c r="F79" s="384" t="s">
        <v>131</v>
      </c>
      <c r="G79" s="460">
        <v>-2755</v>
      </c>
      <c r="H79" s="384">
        <f t="shared" si="12"/>
        <v>-6.3677131288607876E-4</v>
      </c>
      <c r="I79" s="456">
        <v>0</v>
      </c>
      <c r="J79" s="407">
        <f t="shared" si="13"/>
        <v>0</v>
      </c>
      <c r="K79" s="384">
        <f t="shared" si="18"/>
        <v>-1</v>
      </c>
      <c r="L79" s="460">
        <v>0</v>
      </c>
      <c r="M79" s="456">
        <v>0</v>
      </c>
      <c r="N79" s="464">
        <v>-2755</v>
      </c>
      <c r="O79" s="456">
        <v>0</v>
      </c>
      <c r="P79" s="464">
        <v>8793</v>
      </c>
      <c r="Q79" s="384">
        <f t="shared" si="14"/>
        <v>3.8518756045250011E-3</v>
      </c>
      <c r="R79" s="456">
        <v>89</v>
      </c>
      <c r="S79" s="407">
        <f t="shared" si="19"/>
        <v>3.4852497573052203E-5</v>
      </c>
      <c r="T79" s="384">
        <f t="shared" si="20"/>
        <v>-0.98987831229387013</v>
      </c>
      <c r="U79" s="460">
        <f t="shared" si="21"/>
        <v>6038</v>
      </c>
      <c r="V79" s="384">
        <f t="shared" si="15"/>
        <v>9.1356147052228543E-4</v>
      </c>
      <c r="W79" s="456">
        <f t="shared" si="22"/>
        <v>89</v>
      </c>
      <c r="X79" s="407">
        <f t="shared" si="16"/>
        <v>1.2361049305864581E-5</v>
      </c>
      <c r="Y79" s="384">
        <f t="shared" si="23"/>
        <v>-0.98526001987413048</v>
      </c>
    </row>
    <row r="80" spans="1:25" ht="15.75" thickBot="1" x14ac:dyDescent="0.3">
      <c r="A80" s="393" t="s">
        <v>204</v>
      </c>
      <c r="B80" s="461">
        <f>SUM(B73:B79)</f>
        <v>160605</v>
      </c>
      <c r="C80" s="386">
        <f>+B80/$B$65</f>
        <v>7.6320660347994271E-2</v>
      </c>
      <c r="D80" s="457">
        <f>SUM(D73:D79)</f>
        <v>222820</v>
      </c>
      <c r="E80" s="408">
        <f>+D80/$D$65</f>
        <v>9.9218877324287469E-2</v>
      </c>
      <c r="F80" s="386">
        <f>(D80-B80)/B80</f>
        <v>0.38737897325737058</v>
      </c>
      <c r="G80" s="461">
        <f>SUM(G73:G79)</f>
        <v>339655</v>
      </c>
      <c r="H80" s="386">
        <f t="shared" si="12"/>
        <v>7.8505466525706377E-2</v>
      </c>
      <c r="I80" s="457">
        <f>SUM(I73:I79)</f>
        <v>384829</v>
      </c>
      <c r="J80" s="408">
        <f t="shared" si="13"/>
        <v>8.2822742771473154E-2</v>
      </c>
      <c r="K80" s="386">
        <f t="shared" si="18"/>
        <v>0.13299966142114794</v>
      </c>
      <c r="L80" s="461">
        <f>SUM(L73:L79)</f>
        <v>160605</v>
      </c>
      <c r="M80" s="457">
        <f>SUM(M73:M79)</f>
        <v>222820</v>
      </c>
      <c r="N80" s="397">
        <f>SUM(N73:N79)</f>
        <v>179050</v>
      </c>
      <c r="O80" s="403">
        <f>SUM(O73:O79)</f>
        <v>162009</v>
      </c>
      <c r="P80" s="397">
        <f>SUM(P73:P79)</f>
        <v>193412</v>
      </c>
      <c r="Q80" s="386">
        <f t="shared" si="14"/>
        <v>8.4726369205321228E-2</v>
      </c>
      <c r="R80" s="403">
        <f>SUM(R73:R79)</f>
        <v>182996</v>
      </c>
      <c r="S80" s="408">
        <f>R80/$R$65</f>
        <v>7.166143422335125E-2</v>
      </c>
      <c r="T80" s="386">
        <f t="shared" si="20"/>
        <v>-5.3853949082787005E-2</v>
      </c>
      <c r="U80" s="397">
        <f t="shared" si="21"/>
        <v>533067</v>
      </c>
      <c r="V80" s="386">
        <f t="shared" si="15"/>
        <v>8.0654102750397999E-2</v>
      </c>
      <c r="W80" s="403">
        <f t="shared" si="22"/>
        <v>567825</v>
      </c>
      <c r="X80" s="408">
        <f t="shared" si="16"/>
        <v>7.8864189012388272E-2</v>
      </c>
      <c r="Y80" s="386">
        <f t="shared" si="23"/>
        <v>6.5203811153194624E-2</v>
      </c>
    </row>
    <row r="81" spans="1:25" ht="15.75" thickBot="1" x14ac:dyDescent="0.3">
      <c r="A81" s="392" t="s">
        <v>205</v>
      </c>
      <c r="B81" s="460">
        <v>-44069</v>
      </c>
      <c r="C81" s="384">
        <f t="shared" si="10"/>
        <v>-2.094190828975287E-2</v>
      </c>
      <c r="D81" s="456">
        <v>-43888</v>
      </c>
      <c r="E81" s="407">
        <f t="shared" si="11"/>
        <v>-1.9542761367957674E-2</v>
      </c>
      <c r="F81" s="384">
        <f t="shared" si="17"/>
        <v>-4.1071955342757947E-3</v>
      </c>
      <c r="G81" s="460">
        <v>-87429</v>
      </c>
      <c r="H81" s="384">
        <f t="shared" si="12"/>
        <v>-2.0207723816448992E-2</v>
      </c>
      <c r="I81" s="456">
        <v>-93443</v>
      </c>
      <c r="J81" s="407">
        <f t="shared" si="13"/>
        <v>-2.0110764918430696E-2</v>
      </c>
      <c r="K81" s="384">
        <f t="shared" si="18"/>
        <v>6.8787244506971365E-2</v>
      </c>
      <c r="L81" s="460">
        <v>-44069</v>
      </c>
      <c r="M81" s="456">
        <v>-43888</v>
      </c>
      <c r="N81" s="460">
        <v>-43360</v>
      </c>
      <c r="O81" s="456">
        <v>-49555</v>
      </c>
      <c r="P81" s="460">
        <v>-46946</v>
      </c>
      <c r="Q81" s="384">
        <f t="shared" si="14"/>
        <v>-2.0565239637214908E-2</v>
      </c>
      <c r="R81" s="456">
        <v>-50026</v>
      </c>
      <c r="S81" s="407">
        <f t="shared" si="19"/>
        <v>-1.9590236444825951E-2</v>
      </c>
      <c r="T81" s="384">
        <f t="shared" si="20"/>
        <v>6.5607293486133006E-2</v>
      </c>
      <c r="U81" s="468">
        <f t="shared" si="21"/>
        <v>-134375</v>
      </c>
      <c r="V81" s="384">
        <f t="shared" si="15"/>
        <v>-2.0331206128094088E-2</v>
      </c>
      <c r="W81" s="456">
        <f t="shared" si="22"/>
        <v>-143469</v>
      </c>
      <c r="X81" s="407">
        <f t="shared" si="16"/>
        <v>-1.9926150369248153E-2</v>
      </c>
      <c r="Y81" s="384">
        <f t="shared" si="23"/>
        <v>6.7676279069767448E-2</v>
      </c>
    </row>
    <row r="82" spans="1:25" ht="15.75" thickBot="1" x14ac:dyDescent="0.3">
      <c r="A82" s="394" t="s">
        <v>206</v>
      </c>
      <c r="B82" s="462">
        <v>5479</v>
      </c>
      <c r="C82" s="385">
        <f t="shared" si="10"/>
        <v>2.6036605214449153E-3</v>
      </c>
      <c r="D82" s="459">
        <v>-2661</v>
      </c>
      <c r="E82" s="409">
        <f t="shared" si="11"/>
        <v>-1.1849090411988554E-3</v>
      </c>
      <c r="F82" s="385">
        <f t="shared" si="17"/>
        <v>-1.485672567986859</v>
      </c>
      <c r="G82" s="462">
        <v>-5112</v>
      </c>
      <c r="H82" s="385">
        <f t="shared" si="12"/>
        <v>-1.1815517065240052E-3</v>
      </c>
      <c r="I82" s="459">
        <v>-7075</v>
      </c>
      <c r="J82" s="409">
        <f t="shared" si="13"/>
        <v>-1.5226786575548428E-3</v>
      </c>
      <c r="K82" s="385">
        <f t="shared" si="18"/>
        <v>0.3839984350547731</v>
      </c>
      <c r="L82" s="462">
        <v>5479</v>
      </c>
      <c r="M82" s="459">
        <v>-2661</v>
      </c>
      <c r="N82" s="399">
        <v>-10591</v>
      </c>
      <c r="O82" s="459">
        <v>-4414</v>
      </c>
      <c r="P82" s="399">
        <v>-4183</v>
      </c>
      <c r="Q82" s="385">
        <f t="shared" si="14"/>
        <v>-1.8324116517375276E-3</v>
      </c>
      <c r="R82" s="459">
        <v>13497</v>
      </c>
      <c r="S82" s="409">
        <f t="shared" si="19"/>
        <v>5.2854399971178157E-3</v>
      </c>
      <c r="T82" s="385" t="s">
        <v>131</v>
      </c>
      <c r="U82" s="468">
        <f t="shared" si="21"/>
        <v>-9295</v>
      </c>
      <c r="V82" s="385">
        <f t="shared" si="15"/>
        <v>-1.406352081567513E-3</v>
      </c>
      <c r="W82" s="456">
        <f t="shared" si="22"/>
        <v>6422</v>
      </c>
      <c r="X82" s="409">
        <f t="shared" si="16"/>
        <v>8.9193998474452075E-4</v>
      </c>
      <c r="Y82" s="385">
        <f t="shared" si="23"/>
        <v>-1.6909090909090909</v>
      </c>
    </row>
    <row r="83" spans="1:25" ht="15.75" thickBot="1" x14ac:dyDescent="0.3">
      <c r="A83" s="393" t="s">
        <v>207</v>
      </c>
      <c r="B83" s="461">
        <f>SUM(B80:B82)</f>
        <v>122015</v>
      </c>
      <c r="C83" s="386">
        <f t="shared" si="10"/>
        <v>5.7982412579686317E-2</v>
      </c>
      <c r="D83" s="457">
        <f>SUM(D80:D82)</f>
        <v>176271</v>
      </c>
      <c r="E83" s="408">
        <f t="shared" si="11"/>
        <v>7.8491206915130951E-2</v>
      </c>
      <c r="F83" s="386">
        <f t="shared" si="17"/>
        <v>0.44466663934762118</v>
      </c>
      <c r="G83" s="461">
        <f>SUM(G80:G82)</f>
        <v>247114</v>
      </c>
      <c r="H83" s="386">
        <f t="shared" si="12"/>
        <v>5.711619100273338E-2</v>
      </c>
      <c r="I83" s="457">
        <f>SUM(I80:I82)</f>
        <v>284311</v>
      </c>
      <c r="J83" s="408">
        <f t="shared" si="13"/>
        <v>6.1189299195487622E-2</v>
      </c>
      <c r="K83" s="386">
        <f t="shared" si="18"/>
        <v>0.1505256683150287</v>
      </c>
      <c r="L83" s="461">
        <f>SUM(L80:L82)</f>
        <v>122015</v>
      </c>
      <c r="M83" s="457">
        <f>SUM(M80:M82)</f>
        <v>176271</v>
      </c>
      <c r="N83" s="397">
        <f>SUM(N80:N82)</f>
        <v>125099</v>
      </c>
      <c r="O83" s="403">
        <f>SUM(O80:O82)</f>
        <v>108040</v>
      </c>
      <c r="P83" s="397">
        <f>SUM(P80:P82)</f>
        <v>142283</v>
      </c>
      <c r="Q83" s="386">
        <f t="shared" si="14"/>
        <v>6.2328717916368785E-2</v>
      </c>
      <c r="R83" s="403">
        <f>SUM(R80:R82)</f>
        <v>146467</v>
      </c>
      <c r="S83" s="408">
        <f t="shared" si="19"/>
        <v>5.7356637775643114E-2</v>
      </c>
      <c r="T83" s="386">
        <f t="shared" si="20"/>
        <v>2.9406183451290736E-2</v>
      </c>
      <c r="U83" s="397">
        <f t="shared" si="21"/>
        <v>389397</v>
      </c>
      <c r="V83" s="386">
        <f t="shared" si="15"/>
        <v>5.8916544540736401E-2</v>
      </c>
      <c r="W83" s="403">
        <f t="shared" si="22"/>
        <v>430778</v>
      </c>
      <c r="X83" s="408">
        <f t="shared" si="16"/>
        <v>5.9829978627884639E-2</v>
      </c>
      <c r="Y83" s="386">
        <f t="shared" si="23"/>
        <v>0.10626943710403522</v>
      </c>
    </row>
    <row r="84" spans="1:25" ht="15.75" thickBot="1" x14ac:dyDescent="0.3">
      <c r="A84" s="392" t="s">
        <v>208</v>
      </c>
      <c r="B84" s="460">
        <v>-226</v>
      </c>
      <c r="C84" s="384">
        <f t="shared" si="10"/>
        <v>-1.0739683844616734E-4</v>
      </c>
      <c r="D84" s="456">
        <v>-842</v>
      </c>
      <c r="E84" s="407">
        <f t="shared" si="11"/>
        <v>-3.7493175974800312E-4</v>
      </c>
      <c r="F84" s="384">
        <f t="shared" si="17"/>
        <v>2.7256637168141591</v>
      </c>
      <c r="G84" s="460">
        <v>-843</v>
      </c>
      <c r="H84" s="467">
        <f t="shared" si="12"/>
        <v>-1.9484508775425205E-4</v>
      </c>
      <c r="I84" s="456">
        <v>-856</v>
      </c>
      <c r="J84" s="407">
        <f t="shared" si="13"/>
        <v>-1.8422797609426791E-4</v>
      </c>
      <c r="K84" s="384">
        <f t="shared" si="18"/>
        <v>1.542111506524318E-2</v>
      </c>
      <c r="L84" s="460">
        <v>-226</v>
      </c>
      <c r="M84" s="456">
        <v>-842</v>
      </c>
      <c r="N84" s="460">
        <v>-617</v>
      </c>
      <c r="O84" s="456">
        <v>-14</v>
      </c>
      <c r="P84" s="460">
        <v>-423</v>
      </c>
      <c r="Q84" s="467">
        <f t="shared" si="14"/>
        <v>-1.8530005467008704E-4</v>
      </c>
      <c r="R84" s="456">
        <v>-13694</v>
      </c>
      <c r="S84" s="407">
        <f t="shared" si="19"/>
        <v>-5.3625854130941227E-3</v>
      </c>
      <c r="T84" s="384">
        <f t="shared" si="20"/>
        <v>31.373522458628841</v>
      </c>
      <c r="U84" s="460">
        <f t="shared" si="21"/>
        <v>-1266</v>
      </c>
      <c r="V84" s="384">
        <f t="shared" si="15"/>
        <v>-1.915483308514762E-4</v>
      </c>
      <c r="W84" s="456">
        <f t="shared" si="22"/>
        <v>-14550</v>
      </c>
      <c r="X84" s="407">
        <f t="shared" si="16"/>
        <v>-2.020823229217187E-3</v>
      </c>
      <c r="Y84" s="467">
        <f t="shared" si="23"/>
        <v>10.492890995260664</v>
      </c>
    </row>
    <row r="85" spans="1:25" ht="15.75" thickBot="1" x14ac:dyDescent="0.3">
      <c r="A85" s="391" t="s">
        <v>209</v>
      </c>
      <c r="B85" s="458">
        <f>SUM(B83:B84)</f>
        <v>121789</v>
      </c>
      <c r="C85" s="387">
        <f t="shared" si="10"/>
        <v>5.7875015741240148E-2</v>
      </c>
      <c r="D85" s="395">
        <f>SUM(D83:D84)</f>
        <v>175429</v>
      </c>
      <c r="E85" s="387">
        <f t="shared" si="11"/>
        <v>7.8116275155382942E-2</v>
      </c>
      <c r="F85" s="387">
        <f t="shared" si="17"/>
        <v>0.44043386512739247</v>
      </c>
      <c r="G85" s="458">
        <f>SUM(G83:G84)</f>
        <v>246271</v>
      </c>
      <c r="H85" s="387">
        <f t="shared" si="12"/>
        <v>5.6921345914979125E-2</v>
      </c>
      <c r="I85" s="458">
        <f>SUM(I83:I84)</f>
        <v>283455</v>
      </c>
      <c r="J85" s="387">
        <f t="shared" si="13"/>
        <v>6.1005071219393352E-2</v>
      </c>
      <c r="K85" s="387">
        <f t="shared" si="18"/>
        <v>0.1509881390825554</v>
      </c>
      <c r="L85" s="458">
        <f>SUM(L83:L84)</f>
        <v>121789</v>
      </c>
      <c r="M85" s="395">
        <f>SUM(M83:M84)</f>
        <v>175429</v>
      </c>
      <c r="N85" s="395">
        <f>SUM(N83:N84)</f>
        <v>124482</v>
      </c>
      <c r="O85" s="395">
        <f>SUM(O83:O84)</f>
        <v>108026</v>
      </c>
      <c r="P85" s="395">
        <f>SUM(P83:P84)</f>
        <v>141860</v>
      </c>
      <c r="Q85" s="387">
        <f t="shared" si="14"/>
        <v>6.2143417861698698E-2</v>
      </c>
      <c r="R85" s="395">
        <f>SUM(R83:R84)</f>
        <v>132773</v>
      </c>
      <c r="S85" s="387">
        <f t="shared" si="19"/>
        <v>5.1994052362548997E-2</v>
      </c>
      <c r="T85" s="387">
        <f t="shared" si="20"/>
        <v>-6.4056111659382492E-2</v>
      </c>
      <c r="U85" s="395">
        <f t="shared" si="21"/>
        <v>388131</v>
      </c>
      <c r="V85" s="387">
        <f t="shared" si="15"/>
        <v>5.8724996209884923E-2</v>
      </c>
      <c r="W85" s="395">
        <f t="shared" si="22"/>
        <v>416228</v>
      </c>
      <c r="X85" s="387">
        <f t="shared" si="16"/>
        <v>5.7809155398667454E-2</v>
      </c>
      <c r="Y85" s="387">
        <f t="shared" si="23"/>
        <v>7.2390507328711176E-2</v>
      </c>
    </row>
    <row r="86" spans="1:25" x14ac:dyDescent="0.25">
      <c r="A86" s="289"/>
      <c r="B86" s="291"/>
      <c r="C86" s="292"/>
      <c r="D86" s="294"/>
      <c r="E86" s="292"/>
      <c r="F86" s="292"/>
      <c r="G86" s="291"/>
      <c r="I86" s="294"/>
      <c r="L86" s="291"/>
      <c r="M86" s="294"/>
      <c r="N86" s="263"/>
      <c r="O86" s="294"/>
      <c r="P86" s="263"/>
      <c r="R86" s="294"/>
    </row>
    <row r="87" spans="1:25" x14ac:dyDescent="0.25">
      <c r="A87" s="295" t="s">
        <v>210</v>
      </c>
      <c r="B87" s="297"/>
      <c r="C87" s="298"/>
      <c r="D87" s="300"/>
      <c r="E87" s="298"/>
      <c r="F87" s="298"/>
      <c r="G87" s="297"/>
      <c r="I87" s="300"/>
      <c r="L87" s="297"/>
      <c r="M87" s="300"/>
      <c r="O87" s="300"/>
      <c r="R87" s="300"/>
    </row>
    <row r="88" spans="1:25" ht="15.75" thickBot="1" x14ac:dyDescent="0.3">
      <c r="A88" s="301" t="s">
        <v>211</v>
      </c>
      <c r="B88" s="274">
        <v>120867</v>
      </c>
      <c r="C88" s="384">
        <f>+B88/$B$65</f>
        <v>5.7436874656959763E-2</v>
      </c>
      <c r="D88" s="373">
        <v>174437</v>
      </c>
      <c r="E88" s="366">
        <f>+D88/$D$65</f>
        <v>7.7674550326796224E-2</v>
      </c>
      <c r="F88" s="384">
        <f>(D88-B88)/B88</f>
        <v>0.44321444232089818</v>
      </c>
      <c r="G88" s="274">
        <v>245137</v>
      </c>
      <c r="H88" s="384">
        <f>G88/$G$65</f>
        <v>5.6659241135010772E-2</v>
      </c>
      <c r="I88" s="373">
        <v>280920</v>
      </c>
      <c r="J88" s="366">
        <f>I88/$I$65</f>
        <v>6.0459489537852497E-2</v>
      </c>
      <c r="K88" s="384">
        <f>(I88-G88)/G88</f>
        <v>0.14597143638047297</v>
      </c>
      <c r="L88" s="274">
        <v>120867</v>
      </c>
      <c r="M88" s="373">
        <v>174437</v>
      </c>
      <c r="N88" s="274">
        <v>124270</v>
      </c>
      <c r="O88" s="373">
        <v>106483</v>
      </c>
      <c r="P88" s="274">
        <v>140732</v>
      </c>
      <c r="Q88" s="384">
        <f>P88/$P$65</f>
        <v>6.1649284382578468E-2</v>
      </c>
      <c r="R88" s="373">
        <v>131453</v>
      </c>
      <c r="S88" s="366">
        <f>R88/$R$65</f>
        <v>5.147713891539811E-2</v>
      </c>
      <c r="T88" s="384">
        <f t="shared" si="20"/>
        <v>-6.593383168007276E-2</v>
      </c>
      <c r="U88" s="274">
        <f t="shared" si="21"/>
        <v>385869</v>
      </c>
      <c r="V88" s="384">
        <f>U88/$U$65</f>
        <v>5.8382751087937022E-2</v>
      </c>
      <c r="W88" s="373">
        <f t="shared" si="22"/>
        <v>412373</v>
      </c>
      <c r="X88" s="366">
        <f>W88/$W$65</f>
        <v>5.7273741409070732E-2</v>
      </c>
      <c r="Y88" s="384">
        <f t="shared" si="23"/>
        <v>6.8686523146456444E-2</v>
      </c>
    </row>
    <row r="89" spans="1:25" ht="15.75" thickBot="1" x14ac:dyDescent="0.3">
      <c r="A89" s="303" t="s">
        <v>188</v>
      </c>
      <c r="B89" s="304">
        <v>922</v>
      </c>
      <c r="C89" s="385">
        <f>+B89/$B$65</f>
        <v>4.3814108428038179E-4</v>
      </c>
      <c r="D89" s="374">
        <v>992</v>
      </c>
      <c r="E89" s="368">
        <f>+D89/$D$65</f>
        <v>4.4172482858672099E-4</v>
      </c>
      <c r="F89" s="385">
        <f>(D89-B89)/B89</f>
        <v>7.5921908893709325E-2</v>
      </c>
      <c r="G89" s="304">
        <v>1134</v>
      </c>
      <c r="H89" s="385">
        <f>G89/$G$65</f>
        <v>2.6210477996835329E-4</v>
      </c>
      <c r="I89" s="374">
        <v>2535</v>
      </c>
      <c r="J89" s="368">
        <f>I89/$I$65</f>
        <v>5.4558168154085181E-4</v>
      </c>
      <c r="K89" s="385">
        <f>(I89-G89)/G89</f>
        <v>1.2354497354497354</v>
      </c>
      <c r="L89" s="304">
        <v>922</v>
      </c>
      <c r="M89" s="374">
        <v>992</v>
      </c>
      <c r="N89" s="304">
        <v>212</v>
      </c>
      <c r="O89" s="374">
        <v>1543</v>
      </c>
      <c r="P89" s="304">
        <v>1128</v>
      </c>
      <c r="Q89" s="385">
        <f>P89/$P$65</f>
        <v>4.941334791202321E-4</v>
      </c>
      <c r="R89" s="374">
        <v>1320</v>
      </c>
      <c r="S89" s="368">
        <f t="shared" si="19"/>
        <v>5.1691344715088666E-4</v>
      </c>
      <c r="T89" s="385">
        <f t="shared" si="20"/>
        <v>0.1702127659574468</v>
      </c>
      <c r="U89" s="319">
        <f t="shared" si="21"/>
        <v>2262</v>
      </c>
      <c r="V89" s="385">
        <f>U89/$U$65</f>
        <v>3.4224512194789826E-4</v>
      </c>
      <c r="W89" s="466">
        <f t="shared" si="22"/>
        <v>3855</v>
      </c>
      <c r="X89" s="368">
        <f>W89/$W$65</f>
        <v>5.3541398959671869E-4</v>
      </c>
      <c r="Y89" s="385">
        <f t="shared" si="23"/>
        <v>0.70424403183023876</v>
      </c>
    </row>
    <row r="90" spans="1:25" ht="15.75" thickBot="1" x14ac:dyDescent="0.3">
      <c r="A90" s="306" t="s">
        <v>212</v>
      </c>
      <c r="B90" s="278">
        <f>SUM(B88:B89)</f>
        <v>121789</v>
      </c>
      <c r="C90" s="386">
        <f>+B90/$B$65</f>
        <v>5.7875015741240148E-2</v>
      </c>
      <c r="D90" s="375">
        <f>SUM(D88:D89)</f>
        <v>175429</v>
      </c>
      <c r="E90" s="367">
        <f>+D90/$D$65</f>
        <v>7.8116275155382942E-2</v>
      </c>
      <c r="F90" s="386">
        <f>(D90-B90)/B90</f>
        <v>0.44043386512739247</v>
      </c>
      <c r="G90" s="278">
        <v>246271</v>
      </c>
      <c r="H90" s="386">
        <f>G90/$G$65</f>
        <v>5.6921345914979125E-2</v>
      </c>
      <c r="I90" s="375">
        <v>283455</v>
      </c>
      <c r="J90" s="367">
        <f>I90/$I$65</f>
        <v>6.1005071219393352E-2</v>
      </c>
      <c r="K90" s="386">
        <f>(I90-G90)/G90</f>
        <v>0.1509881390825554</v>
      </c>
      <c r="L90" s="278">
        <f>SUM(L88:L89)</f>
        <v>121789</v>
      </c>
      <c r="M90" s="375">
        <f>SUM(M88:M89)</f>
        <v>175429</v>
      </c>
      <c r="N90" s="278">
        <f>SUM(N88:N89)</f>
        <v>124482</v>
      </c>
      <c r="O90" s="375">
        <f>SUM(O88:O89)</f>
        <v>108026</v>
      </c>
      <c r="P90" s="278">
        <v>141860</v>
      </c>
      <c r="Q90" s="386">
        <f>P90/$P$65</f>
        <v>6.2143417861698698E-2</v>
      </c>
      <c r="R90" s="375">
        <f>SUM(R88:R89)</f>
        <v>132773</v>
      </c>
      <c r="S90" s="367">
        <f t="shared" si="19"/>
        <v>5.1994052362548997E-2</v>
      </c>
      <c r="T90" s="386">
        <f t="shared" si="20"/>
        <v>-6.4056111659382492E-2</v>
      </c>
      <c r="U90" s="278">
        <f t="shared" si="21"/>
        <v>388131</v>
      </c>
      <c r="V90" s="386">
        <f>U90/$U$65</f>
        <v>5.8724996209884923E-2</v>
      </c>
      <c r="W90" s="375">
        <f t="shared" si="22"/>
        <v>416228</v>
      </c>
      <c r="X90" s="367">
        <f>W90/$W$65</f>
        <v>5.7809155398667454E-2</v>
      </c>
      <c r="Y90" s="386">
        <f t="shared" si="23"/>
        <v>7.2390507328711176E-2</v>
      </c>
    </row>
    <row r="91" spans="1:25" ht="15.75" thickBot="1" x14ac:dyDescent="0.3">
      <c r="A91" s="369" t="s">
        <v>213</v>
      </c>
      <c r="B91" s="370">
        <v>273276</v>
      </c>
      <c r="C91" s="387">
        <f>+B91/$B$65</f>
        <v>0.12986273638590631</v>
      </c>
      <c r="D91" s="372">
        <v>320118</v>
      </c>
      <c r="E91" s="371">
        <f>+D91/$D$65</f>
        <v>0.14254442407008464</v>
      </c>
      <c r="F91" s="387">
        <f>(D91-B91)/B91</f>
        <v>0.17140912484082027</v>
      </c>
      <c r="G91" s="370">
        <v>540016</v>
      </c>
      <c r="H91" s="387">
        <f>G91/$G$65</f>
        <v>0.12481549811233709</v>
      </c>
      <c r="I91" s="372">
        <v>647994</v>
      </c>
      <c r="J91" s="371">
        <f>I91/$I$65</f>
        <v>0.13946100834255729</v>
      </c>
      <c r="K91" s="387">
        <f>(I91-G91)/G91</f>
        <v>0.1999533347160084</v>
      </c>
      <c r="L91" s="370">
        <v>273276</v>
      </c>
      <c r="M91" s="372">
        <v>320118</v>
      </c>
      <c r="N91" s="370">
        <v>266740</v>
      </c>
      <c r="O91" s="372">
        <v>327876</v>
      </c>
      <c r="P91" s="370">
        <v>300826</v>
      </c>
      <c r="Q91" s="387">
        <f>P91/$P$65</f>
        <v>0.13178031736686432</v>
      </c>
      <c r="R91" s="372">
        <v>344458</v>
      </c>
      <c r="S91" s="371">
        <f t="shared" si="19"/>
        <v>0.13489013043840917</v>
      </c>
      <c r="T91" s="387">
        <f t="shared" si="20"/>
        <v>0.14504065473064162</v>
      </c>
      <c r="U91" s="370">
        <f t="shared" si="21"/>
        <v>840842</v>
      </c>
      <c r="V91" s="387">
        <f>U91/$U$65</f>
        <v>0.12722107552118242</v>
      </c>
      <c r="W91" s="372">
        <f t="shared" si="22"/>
        <v>992452</v>
      </c>
      <c r="X91" s="371">
        <f>W91/$W$65</f>
        <v>0.13783986635622378</v>
      </c>
      <c r="Y91" s="387">
        <f t="shared" si="23"/>
        <v>0.18030735857628424</v>
      </c>
    </row>
  </sheetData>
  <mergeCells count="1">
    <mergeCell ref="A7:D7"/>
  </mergeCells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B80:C86 H80:H85 C67 C73 Q67 Q73 Q80 Q83 Q85 C90 G49 D30" formula="1"/>
  </ignoredErrors>
  <drawing r:id="rId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3"/>
  <sheetViews>
    <sheetView topLeftCell="A7" zoomScaleNormal="100" workbookViewId="0">
      <pane xSplit="1" ySplit="3" topLeftCell="G52" activePane="bottomRight" state="frozen"/>
      <selection activeCell="A7" sqref="A7"/>
      <selection pane="topRight" activeCell="B7" sqref="B7"/>
      <selection pane="bottomLeft" activeCell="A10" sqref="A10"/>
      <selection pane="bottomRight" activeCell="A64" sqref="A64:IV64"/>
    </sheetView>
  </sheetViews>
  <sheetFormatPr baseColWidth="10" defaultColWidth="11.42578125" defaultRowHeight="15" x14ac:dyDescent="0.25"/>
  <cols>
    <col min="1" max="1" width="50.85546875" style="229" bestFit="1" customWidth="1"/>
    <col min="2" max="6" width="11.42578125" style="229" customWidth="1"/>
    <col min="7" max="8" width="11.42578125" style="229"/>
    <col min="9" max="9" width="13.28515625" style="229" customWidth="1"/>
    <col min="10" max="11" width="11.42578125" style="229"/>
    <col min="12" max="12" width="12.140625" style="229" customWidth="1"/>
    <col min="13" max="16384" width="11.42578125" style="229"/>
  </cols>
  <sheetData>
    <row r="1" spans="1:13" ht="18.75" x14ac:dyDescent="0.3">
      <c r="A1" s="228" t="s">
        <v>157</v>
      </c>
      <c r="B1" s="362"/>
      <c r="C1" s="362"/>
      <c r="D1" s="362"/>
      <c r="E1" s="362"/>
    </row>
    <row r="2" spans="1:13" x14ac:dyDescent="0.25">
      <c r="A2" s="332" t="s">
        <v>315</v>
      </c>
      <c r="B2" s="362"/>
      <c r="C2" s="362"/>
      <c r="D2" s="362"/>
      <c r="E2" s="362"/>
    </row>
    <row r="3" spans="1:13" x14ac:dyDescent="0.25">
      <c r="A3" s="332" t="s">
        <v>88</v>
      </c>
      <c r="B3" s="362"/>
      <c r="C3" s="362"/>
      <c r="D3" s="362"/>
      <c r="E3" s="362"/>
    </row>
    <row r="4" spans="1:13" x14ac:dyDescent="0.25">
      <c r="A4" s="231" t="s">
        <v>159</v>
      </c>
      <c r="B4" s="362"/>
      <c r="C4" s="362"/>
      <c r="D4" s="362"/>
      <c r="E4" s="362"/>
    </row>
    <row r="5" spans="1:13" x14ac:dyDescent="0.25">
      <c r="A5" s="231" t="s">
        <v>301</v>
      </c>
      <c r="B5" s="362"/>
      <c r="C5" s="362"/>
      <c r="D5" s="362"/>
      <c r="E5" s="362"/>
    </row>
    <row r="6" spans="1:13" ht="7.5" customHeight="1" x14ac:dyDescent="0.25">
      <c r="A6" s="231"/>
      <c r="B6" s="362"/>
      <c r="C6" s="362"/>
      <c r="D6" s="362"/>
      <c r="E6" s="362"/>
    </row>
    <row r="7" spans="1:13" ht="51.75" customHeight="1" x14ac:dyDescent="0.25">
      <c r="A7" s="482" t="s">
        <v>316</v>
      </c>
      <c r="B7" s="482"/>
      <c r="C7" s="482"/>
      <c r="D7" s="482"/>
      <c r="E7" s="362"/>
    </row>
    <row r="8" spans="1:13" ht="15.75" thickBot="1" x14ac:dyDescent="0.3"/>
    <row r="9" spans="1:13" ht="23.25" thickBot="1" x14ac:dyDescent="0.3">
      <c r="A9" s="337"/>
      <c r="B9" s="338" t="s">
        <v>294</v>
      </c>
      <c r="C9" s="410" t="s">
        <v>306</v>
      </c>
      <c r="D9" s="420" t="s">
        <v>140</v>
      </c>
      <c r="E9" s="338" t="s">
        <v>294</v>
      </c>
      <c r="F9" s="410" t="s">
        <v>305</v>
      </c>
      <c r="G9" s="420" t="s">
        <v>140</v>
      </c>
      <c r="H9" s="338" t="s">
        <v>294</v>
      </c>
      <c r="I9" s="410" t="s">
        <v>312</v>
      </c>
      <c r="J9" s="420" t="s">
        <v>140</v>
      </c>
      <c r="K9" s="338" t="s">
        <v>294</v>
      </c>
      <c r="L9" s="410" t="s">
        <v>318</v>
      </c>
      <c r="M9" s="420" t="s">
        <v>140</v>
      </c>
    </row>
    <row r="10" spans="1:13" ht="15.75" thickTop="1" x14ac:dyDescent="0.25">
      <c r="A10" s="376" t="s">
        <v>20</v>
      </c>
      <c r="B10" s="377"/>
      <c r="C10" s="411"/>
      <c r="D10" s="411"/>
      <c r="E10" s="377"/>
      <c r="F10" s="411"/>
      <c r="G10" s="411"/>
      <c r="H10" s="377"/>
      <c r="I10" s="411"/>
      <c r="J10" s="411"/>
      <c r="K10" s="377"/>
      <c r="L10" s="411"/>
      <c r="M10" s="411"/>
    </row>
    <row r="11" spans="1:13" x14ac:dyDescent="0.25">
      <c r="A11" s="378" t="s">
        <v>160</v>
      </c>
      <c r="B11" s="379"/>
      <c r="C11" s="412"/>
      <c r="D11" s="421"/>
      <c r="E11" s="379"/>
      <c r="F11" s="412"/>
      <c r="G11" s="421"/>
      <c r="H11" s="379"/>
      <c r="I11" s="412"/>
      <c r="J11" s="421"/>
      <c r="K11" s="379"/>
      <c r="L11" s="412"/>
      <c r="M11" s="421"/>
    </row>
    <row r="12" spans="1:13" ht="15.75" thickBot="1" x14ac:dyDescent="0.3">
      <c r="A12" s="240" t="s">
        <v>161</v>
      </c>
      <c r="B12" s="242">
        <v>347520</v>
      </c>
      <c r="C12" s="413">
        <v>290833</v>
      </c>
      <c r="D12" s="422">
        <f t="shared" ref="D12:D18" si="0">(C12-B12)/B12</f>
        <v>-0.16311866942909761</v>
      </c>
      <c r="E12" s="242">
        <v>347520</v>
      </c>
      <c r="F12" s="413">
        <v>291779</v>
      </c>
      <c r="G12" s="422">
        <f t="shared" ref="G12:G18" si="1">(F12-E12)/E12</f>
        <v>-0.16039652394106815</v>
      </c>
      <c r="H12" s="242">
        <v>347520</v>
      </c>
      <c r="I12" s="413">
        <v>362711</v>
      </c>
      <c r="J12" s="422">
        <f t="shared" ref="J12:J18" si="2">(I12-H12)/H12</f>
        <v>4.3712592081031308E-2</v>
      </c>
      <c r="K12" s="242">
        <v>347520</v>
      </c>
      <c r="L12" s="413">
        <v>497947</v>
      </c>
      <c r="M12" s="422">
        <f t="shared" ref="M12:M18" si="3">(L12-K12)/K12</f>
        <v>0.43285854051565376</v>
      </c>
    </row>
    <row r="13" spans="1:13" ht="15.75" thickBot="1" x14ac:dyDescent="0.3">
      <c r="A13" s="240" t="s">
        <v>298</v>
      </c>
      <c r="B13" s="242">
        <v>1020579</v>
      </c>
      <c r="C13" s="413">
        <v>1088410</v>
      </c>
      <c r="D13" s="422">
        <f t="shared" si="0"/>
        <v>6.6463252722229249E-2</v>
      </c>
      <c r="E13" s="242">
        <v>1020579</v>
      </c>
      <c r="F13" s="413">
        <v>1114572</v>
      </c>
      <c r="G13" s="422">
        <f t="shared" si="1"/>
        <v>9.2097720999550256E-2</v>
      </c>
      <c r="H13" s="242">
        <v>1020579</v>
      </c>
      <c r="I13" s="413">
        <v>1203505</v>
      </c>
      <c r="J13" s="422">
        <f t="shared" si="2"/>
        <v>0.17923747206242732</v>
      </c>
      <c r="K13" s="242">
        <v>1020579</v>
      </c>
      <c r="L13" s="413">
        <v>1166248</v>
      </c>
      <c r="M13" s="422">
        <f t="shared" si="3"/>
        <v>0.14273172385479224</v>
      </c>
    </row>
    <row r="14" spans="1:13" ht="15.75" thickBot="1" x14ac:dyDescent="0.3">
      <c r="A14" s="240" t="s">
        <v>36</v>
      </c>
      <c r="B14" s="242">
        <v>1109878</v>
      </c>
      <c r="C14" s="413">
        <v>1152833</v>
      </c>
      <c r="D14" s="422">
        <f t="shared" si="0"/>
        <v>3.8702451981208745E-2</v>
      </c>
      <c r="E14" s="242">
        <v>1109878</v>
      </c>
      <c r="F14" s="413">
        <v>1210805</v>
      </c>
      <c r="G14" s="422">
        <f t="shared" si="1"/>
        <v>9.0935219907052847E-2</v>
      </c>
      <c r="H14" s="242">
        <v>1109878</v>
      </c>
      <c r="I14" s="413">
        <v>1252556</v>
      </c>
      <c r="J14" s="422">
        <f t="shared" si="2"/>
        <v>0.12855286797287629</v>
      </c>
      <c r="K14" s="242">
        <v>1109878</v>
      </c>
      <c r="L14" s="413">
        <v>1248128</v>
      </c>
      <c r="M14" s="422">
        <f t="shared" si="3"/>
        <v>0.12456324028406726</v>
      </c>
    </row>
    <row r="15" spans="1:13" ht="15.75" thickBot="1" x14ac:dyDescent="0.3">
      <c r="A15" s="240" t="s">
        <v>163</v>
      </c>
      <c r="B15" s="242">
        <v>94569</v>
      </c>
      <c r="C15" s="413">
        <v>85337</v>
      </c>
      <c r="D15" s="422">
        <f t="shared" si="0"/>
        <v>-9.7621842252746671E-2</v>
      </c>
      <c r="E15" s="242">
        <v>94569</v>
      </c>
      <c r="F15" s="413">
        <v>89735</v>
      </c>
      <c r="G15" s="422">
        <f t="shared" si="1"/>
        <v>-5.1116116274889233E-2</v>
      </c>
      <c r="H15" s="242">
        <v>94569</v>
      </c>
      <c r="I15" s="413">
        <v>83043</v>
      </c>
      <c r="J15" s="422">
        <f t="shared" si="2"/>
        <v>-0.12187926276052406</v>
      </c>
      <c r="K15" s="242">
        <v>94569</v>
      </c>
      <c r="L15" s="413">
        <v>96632</v>
      </c>
      <c r="M15" s="422">
        <f t="shared" si="3"/>
        <v>2.1814759593524306E-2</v>
      </c>
    </row>
    <row r="16" spans="1:13" ht="15.75" thickBot="1" x14ac:dyDescent="0.3">
      <c r="A16" s="240" t="s">
        <v>283</v>
      </c>
      <c r="B16" s="242">
        <v>241726</v>
      </c>
      <c r="C16" s="413">
        <v>259405</v>
      </c>
      <c r="D16" s="422">
        <f t="shared" si="0"/>
        <v>7.3136526480395161E-2</v>
      </c>
      <c r="E16" s="242">
        <v>241726</v>
      </c>
      <c r="F16" s="413">
        <v>318944</v>
      </c>
      <c r="G16" s="422">
        <f t="shared" si="1"/>
        <v>0.31944432953012913</v>
      </c>
      <c r="H16" s="242">
        <v>241726</v>
      </c>
      <c r="I16" s="413">
        <v>379367</v>
      </c>
      <c r="J16" s="422">
        <f t="shared" si="2"/>
        <v>0.56940916574965039</v>
      </c>
      <c r="K16" s="242">
        <v>241726</v>
      </c>
      <c r="L16" s="413">
        <v>251397</v>
      </c>
      <c r="M16" s="422">
        <f t="shared" si="3"/>
        <v>4.0008108354086858E-2</v>
      </c>
    </row>
    <row r="17" spans="1:13" ht="15.75" thickBot="1" x14ac:dyDescent="0.3">
      <c r="A17" s="245" t="s">
        <v>165</v>
      </c>
      <c r="B17" s="247">
        <v>6777</v>
      </c>
      <c r="C17" s="414">
        <v>6695</v>
      </c>
      <c r="D17" s="422">
        <f t="shared" si="0"/>
        <v>-1.209974915154198E-2</v>
      </c>
      <c r="E17" s="247">
        <v>6777</v>
      </c>
      <c r="F17" s="414">
        <v>6729</v>
      </c>
      <c r="G17" s="422">
        <f t="shared" si="1"/>
        <v>-7.0827799911465251E-3</v>
      </c>
      <c r="H17" s="247">
        <v>6777</v>
      </c>
      <c r="I17" s="414">
        <v>3241</v>
      </c>
      <c r="J17" s="422">
        <f t="shared" si="2"/>
        <v>-0.5217647926811273</v>
      </c>
      <c r="K17" s="247">
        <v>6777</v>
      </c>
      <c r="L17" s="414">
        <v>2610</v>
      </c>
      <c r="M17" s="422">
        <f t="shared" si="3"/>
        <v>-0.61487383798140771</v>
      </c>
    </row>
    <row r="18" spans="1:13" ht="15.75" thickBot="1" x14ac:dyDescent="0.3">
      <c r="A18" s="249" t="s">
        <v>166</v>
      </c>
      <c r="B18" s="250">
        <f>SUM(B12:B17)</f>
        <v>2821049</v>
      </c>
      <c r="C18" s="415">
        <f>SUM(C12:C17)</f>
        <v>2883513</v>
      </c>
      <c r="D18" s="422">
        <f t="shared" si="0"/>
        <v>2.2142118056084813E-2</v>
      </c>
      <c r="E18" s="250">
        <f>SUM(E12:E17)</f>
        <v>2821049</v>
      </c>
      <c r="F18" s="415">
        <f>SUM(F12:F17)</f>
        <v>3032564</v>
      </c>
      <c r="G18" s="422">
        <f t="shared" si="1"/>
        <v>7.4977428609003249E-2</v>
      </c>
      <c r="H18" s="250">
        <f>SUM(H12:H17)</f>
        <v>2821049</v>
      </c>
      <c r="I18" s="415">
        <f>SUM(I12:I17)</f>
        <v>3284423</v>
      </c>
      <c r="J18" s="422">
        <f t="shared" si="2"/>
        <v>0.16425592040407663</v>
      </c>
      <c r="K18" s="250">
        <f>SUM(K12:K17)</f>
        <v>2821049</v>
      </c>
      <c r="L18" s="415">
        <f>SUM(L12:L17)</f>
        <v>3262962</v>
      </c>
      <c r="M18" s="422">
        <f t="shared" si="3"/>
        <v>0.15664846658104839</v>
      </c>
    </row>
    <row r="19" spans="1:13" x14ac:dyDescent="0.25">
      <c r="A19" s="378" t="s">
        <v>167</v>
      </c>
      <c r="B19" s="379"/>
      <c r="C19" s="412"/>
      <c r="D19" s="421"/>
      <c r="E19" s="379"/>
      <c r="F19" s="412"/>
      <c r="G19" s="421"/>
      <c r="H19" s="379"/>
      <c r="I19" s="412"/>
      <c r="J19" s="421"/>
      <c r="K19" s="379"/>
      <c r="L19" s="412"/>
      <c r="M19" s="421"/>
    </row>
    <row r="20" spans="1:13" ht="15.75" thickBot="1" x14ac:dyDescent="0.3">
      <c r="A20" s="240" t="s">
        <v>298</v>
      </c>
      <c r="B20" s="242">
        <v>28065</v>
      </c>
      <c r="C20" s="413">
        <v>26197</v>
      </c>
      <c r="D20" s="422">
        <f t="shared" ref="D20:D31" si="4">(C20-B20)/B20</f>
        <v>-6.6559771957954747E-2</v>
      </c>
      <c r="E20" s="242">
        <v>28065</v>
      </c>
      <c r="F20" s="413">
        <v>26610</v>
      </c>
      <c r="G20" s="422">
        <f>(F20-E20)/E20</f>
        <v>-5.1843933725280601E-2</v>
      </c>
      <c r="H20" s="242">
        <v>28065</v>
      </c>
      <c r="I20" s="413">
        <v>25856</v>
      </c>
      <c r="J20" s="422">
        <f>(I20-H20)/H20</f>
        <v>-7.871013718154285E-2</v>
      </c>
      <c r="K20" s="242">
        <v>28065</v>
      </c>
      <c r="L20" s="413">
        <v>25409</v>
      </c>
      <c r="M20" s="422">
        <f>(L20-K20)/K20</f>
        <v>-9.4637448779618744E-2</v>
      </c>
    </row>
    <row r="21" spans="1:13" ht="15.75" thickBot="1" x14ac:dyDescent="0.3">
      <c r="A21" s="240" t="s">
        <v>169</v>
      </c>
      <c r="B21" s="242">
        <v>192795</v>
      </c>
      <c r="C21" s="413">
        <v>193085</v>
      </c>
      <c r="D21" s="422">
        <f t="shared" si="4"/>
        <v>1.5041883866282839E-3</v>
      </c>
      <c r="E21" s="242">
        <v>192795</v>
      </c>
      <c r="F21" s="413">
        <v>193771</v>
      </c>
      <c r="G21" s="422">
        <f>(F21-E21)/E21</f>
        <v>5.0623719494800176E-3</v>
      </c>
      <c r="H21" s="242">
        <v>192795</v>
      </c>
      <c r="I21" s="413">
        <v>195023</v>
      </c>
      <c r="J21" s="422">
        <f>(I21-H21)/H21</f>
        <v>1.1556316294509712E-2</v>
      </c>
      <c r="K21" s="242">
        <v>192795</v>
      </c>
      <c r="L21" s="413">
        <v>193360</v>
      </c>
      <c r="M21" s="422">
        <f>(L21-K21)/K21</f>
        <v>2.9305739256723462E-3</v>
      </c>
    </row>
    <row r="22" spans="1:13" ht="15.75" thickBot="1" x14ac:dyDescent="0.3">
      <c r="A22" s="240" t="s">
        <v>170</v>
      </c>
      <c r="B22" s="242">
        <v>3322694</v>
      </c>
      <c r="C22" s="413">
        <v>3682549</v>
      </c>
      <c r="D22" s="422">
        <f t="shared" si="4"/>
        <v>0.10830217889459577</v>
      </c>
      <c r="E22" s="242">
        <v>3322694</v>
      </c>
      <c r="F22" s="413">
        <v>3469931</v>
      </c>
      <c r="G22" s="422">
        <f>(F22-E22)/E22</f>
        <v>4.4312536754814016E-2</v>
      </c>
      <c r="H22" s="242">
        <v>3322694</v>
      </c>
      <c r="I22" s="413">
        <v>3384110</v>
      </c>
      <c r="J22" s="422">
        <f>(I22-H22)/H22</f>
        <v>1.8483796581930206E-2</v>
      </c>
      <c r="K22" s="242">
        <v>3322694</v>
      </c>
      <c r="L22" s="413">
        <v>3511768</v>
      </c>
      <c r="M22" s="422">
        <f>(L22-K22)/K22</f>
        <v>5.69038256306479E-2</v>
      </c>
    </row>
    <row r="23" spans="1:13" ht="15.75" thickBot="1" x14ac:dyDescent="0.3">
      <c r="A23" s="240" t="s">
        <v>171</v>
      </c>
      <c r="B23" s="242">
        <v>3376364</v>
      </c>
      <c r="C23" s="413">
        <v>3334889</v>
      </c>
      <c r="D23" s="422">
        <f t="shared" si="4"/>
        <v>-1.2283924363605345E-2</v>
      </c>
      <c r="E23" s="242">
        <v>3376364</v>
      </c>
      <c r="F23" s="413">
        <v>3320816</v>
      </c>
      <c r="G23" s="422">
        <f>(F23-E23)/E23</f>
        <v>-1.6452017614214581E-2</v>
      </c>
      <c r="H23" s="242">
        <v>3376364</v>
      </c>
      <c r="I23" s="413">
        <v>3415677</v>
      </c>
      <c r="J23" s="422">
        <f>(I23-H23)/H23</f>
        <v>1.164359056073338E-2</v>
      </c>
      <c r="K23" s="242">
        <v>3376364</v>
      </c>
      <c r="L23" s="413">
        <v>3400057</v>
      </c>
      <c r="M23" s="422">
        <f>(L23-K23)/K23</f>
        <v>7.0173121144521148E-3</v>
      </c>
    </row>
    <row r="24" spans="1:13" ht="15.75" thickBot="1" x14ac:dyDescent="0.3">
      <c r="A24" s="240" t="s">
        <v>295</v>
      </c>
      <c r="B24" s="242">
        <v>0</v>
      </c>
      <c r="C24" s="413">
        <v>911015</v>
      </c>
      <c r="D24" s="422" t="s">
        <v>131</v>
      </c>
      <c r="E24" s="242">
        <v>0</v>
      </c>
      <c r="F24" s="413">
        <v>912962</v>
      </c>
      <c r="G24" s="422" t="s">
        <v>131</v>
      </c>
      <c r="H24" s="242">
        <v>0</v>
      </c>
      <c r="I24" s="413">
        <v>896689</v>
      </c>
      <c r="J24" s="422" t="s">
        <v>131</v>
      </c>
      <c r="K24" s="242">
        <v>0</v>
      </c>
      <c r="L24" s="413">
        <v>878552</v>
      </c>
      <c r="M24" s="422" t="s">
        <v>131</v>
      </c>
    </row>
    <row r="25" spans="1:13" ht="15.75" thickBot="1" x14ac:dyDescent="0.3">
      <c r="A25" s="240" t="s">
        <v>141</v>
      </c>
      <c r="B25" s="242">
        <v>77062</v>
      </c>
      <c r="C25" s="413">
        <v>76974</v>
      </c>
      <c r="D25" s="422">
        <f t="shared" si="4"/>
        <v>-1.1419376605849836E-3</v>
      </c>
      <c r="E25" s="242">
        <v>77062</v>
      </c>
      <c r="F25" s="413">
        <v>76886</v>
      </c>
      <c r="G25" s="422">
        <f t="shared" ref="G25:G30" si="5">(F25-E25)/E25</f>
        <v>-2.2838753211699672E-3</v>
      </c>
      <c r="H25" s="242">
        <v>77062</v>
      </c>
      <c r="I25" s="413">
        <v>76798</v>
      </c>
      <c r="J25" s="422">
        <f t="shared" ref="J25:J30" si="6">(I25-H25)/H25</f>
        <v>-3.4258129817549506E-3</v>
      </c>
      <c r="K25" s="242">
        <v>77062</v>
      </c>
      <c r="L25" s="413">
        <v>79489</v>
      </c>
      <c r="M25" s="422">
        <f t="shared" ref="M25:M30" si="7">(L25-K25)/K25</f>
        <v>3.1494121616360851E-2</v>
      </c>
    </row>
    <row r="26" spans="1:13" ht="15.75" thickBot="1" x14ac:dyDescent="0.3">
      <c r="A26" s="240" t="s">
        <v>247</v>
      </c>
      <c r="B26" s="242">
        <v>2085908</v>
      </c>
      <c r="C26" s="413">
        <v>2085257</v>
      </c>
      <c r="D26" s="422">
        <f t="shared" si="4"/>
        <v>-3.1209430137858432E-4</v>
      </c>
      <c r="E26" s="242">
        <v>2085908</v>
      </c>
      <c r="F26" s="413">
        <v>2097084</v>
      </c>
      <c r="G26" s="422">
        <f t="shared" si="5"/>
        <v>5.3578585440968631E-3</v>
      </c>
      <c r="H26" s="242">
        <v>2085908</v>
      </c>
      <c r="I26" s="413">
        <v>2387986</v>
      </c>
      <c r="J26" s="422">
        <f t="shared" si="6"/>
        <v>0.14481846754506911</v>
      </c>
      <c r="K26" s="242">
        <v>2085908</v>
      </c>
      <c r="L26" s="413">
        <v>2309739</v>
      </c>
      <c r="M26" s="422">
        <f t="shared" si="7"/>
        <v>0.10730626662345606</v>
      </c>
    </row>
    <row r="27" spans="1:13" ht="15.75" thickBot="1" x14ac:dyDescent="0.3">
      <c r="A27" s="240" t="s">
        <v>173</v>
      </c>
      <c r="B27" s="242">
        <v>1167536</v>
      </c>
      <c r="C27" s="413">
        <v>1168448</v>
      </c>
      <c r="D27" s="422">
        <f t="shared" si="4"/>
        <v>7.8113223061216101E-4</v>
      </c>
      <c r="E27" s="242">
        <v>1167536</v>
      </c>
      <c r="F27" s="413">
        <v>1181080</v>
      </c>
      <c r="G27" s="422">
        <f t="shared" si="5"/>
        <v>1.1600498828301654E-2</v>
      </c>
      <c r="H27" s="242">
        <v>1167536</v>
      </c>
      <c r="I27" s="413">
        <v>1277900</v>
      </c>
      <c r="J27" s="422">
        <f t="shared" si="6"/>
        <v>9.4527277959737435E-2</v>
      </c>
      <c r="K27" s="242">
        <v>1167536</v>
      </c>
      <c r="L27" s="413">
        <v>1248973</v>
      </c>
      <c r="M27" s="422">
        <f t="shared" si="7"/>
        <v>6.9751168272327357E-2</v>
      </c>
    </row>
    <row r="28" spans="1:13" ht="15.75" thickBot="1" x14ac:dyDescent="0.3">
      <c r="A28" s="240" t="s">
        <v>274</v>
      </c>
      <c r="B28" s="242">
        <v>379753</v>
      </c>
      <c r="C28" s="413">
        <v>589304</v>
      </c>
      <c r="D28" s="422">
        <f t="shared" si="4"/>
        <v>0.55180867563916547</v>
      </c>
      <c r="E28" s="242">
        <v>379753</v>
      </c>
      <c r="F28" s="413">
        <v>629109</v>
      </c>
      <c r="G28" s="422">
        <f t="shared" si="5"/>
        <v>0.65662680742482615</v>
      </c>
      <c r="H28" s="242">
        <v>379753</v>
      </c>
      <c r="I28" s="413">
        <v>665835</v>
      </c>
      <c r="J28" s="422">
        <f t="shared" si="6"/>
        <v>0.75333703749542469</v>
      </c>
      <c r="K28" s="242">
        <v>379753</v>
      </c>
      <c r="L28" s="413">
        <v>654496</v>
      </c>
      <c r="M28" s="422">
        <f t="shared" si="7"/>
        <v>0.72347815553794181</v>
      </c>
    </row>
    <row r="29" spans="1:13" ht="15.75" thickBot="1" x14ac:dyDescent="0.3">
      <c r="A29" s="245" t="s">
        <v>283</v>
      </c>
      <c r="B29" s="247">
        <v>72471</v>
      </c>
      <c r="C29" s="414">
        <v>73785</v>
      </c>
      <c r="D29" s="423">
        <f t="shared" si="4"/>
        <v>1.8131390487229376E-2</v>
      </c>
      <c r="E29" s="247">
        <v>72471</v>
      </c>
      <c r="F29" s="414">
        <v>75097</v>
      </c>
      <c r="G29" s="423">
        <f t="shared" si="5"/>
        <v>3.6235183728663876E-2</v>
      </c>
      <c r="H29" s="247">
        <v>72471</v>
      </c>
      <c r="I29" s="414">
        <v>78221</v>
      </c>
      <c r="J29" s="423">
        <f t="shared" si="6"/>
        <v>7.9342081660250308E-2</v>
      </c>
      <c r="K29" s="247">
        <v>72471</v>
      </c>
      <c r="L29" s="414">
        <v>80436</v>
      </c>
      <c r="M29" s="423">
        <f t="shared" si="7"/>
        <v>0.10990603137806847</v>
      </c>
    </row>
    <row r="30" spans="1:13" ht="15.75" thickBot="1" x14ac:dyDescent="0.3">
      <c r="A30" s="249" t="s">
        <v>175</v>
      </c>
      <c r="B30" s="250">
        <f>SUM(B20:B29)</f>
        <v>10702648</v>
      </c>
      <c r="C30" s="415">
        <f>SUM(C20:C29)</f>
        <v>12141503</v>
      </c>
      <c r="D30" s="424">
        <f t="shared" si="4"/>
        <v>0.13443915935570339</v>
      </c>
      <c r="E30" s="250">
        <f>SUM(E20:E29)</f>
        <v>10702648</v>
      </c>
      <c r="F30" s="415">
        <f>SUM(F20:F29)</f>
        <v>11983346</v>
      </c>
      <c r="G30" s="424">
        <f t="shared" si="5"/>
        <v>0.11966178837237289</v>
      </c>
      <c r="H30" s="250">
        <f>SUM(H20:H29)</f>
        <v>10702648</v>
      </c>
      <c r="I30" s="415">
        <f>SUM(I20:I29)</f>
        <v>12404095</v>
      </c>
      <c r="J30" s="424">
        <f t="shared" si="6"/>
        <v>0.15897439586913445</v>
      </c>
      <c r="K30" s="250">
        <f>SUM(K20:K29)</f>
        <v>10702648</v>
      </c>
      <c r="L30" s="415">
        <f>SUM(L20:L29)</f>
        <v>12382279</v>
      </c>
      <c r="M30" s="424">
        <f t="shared" si="7"/>
        <v>0.15693602181441452</v>
      </c>
    </row>
    <row r="31" spans="1:13" ht="15.75" thickBot="1" x14ac:dyDescent="0.3">
      <c r="A31" s="382" t="s">
        <v>176</v>
      </c>
      <c r="B31" s="383">
        <f>+B18+B30</f>
        <v>13523697</v>
      </c>
      <c r="C31" s="416">
        <f>+C18+C30</f>
        <v>15025016</v>
      </c>
      <c r="D31" s="425">
        <f t="shared" si="4"/>
        <v>0.11101394833084474</v>
      </c>
      <c r="E31" s="383">
        <f>+E18+E30</f>
        <v>13523697</v>
      </c>
      <c r="F31" s="416">
        <f>+F18+F30</f>
        <v>15015910</v>
      </c>
      <c r="G31" s="425">
        <f>(F31-E31)/E31</f>
        <v>0.11034061174248432</v>
      </c>
      <c r="H31" s="383">
        <f>+H18+H30</f>
        <v>13523697</v>
      </c>
      <c r="I31" s="416">
        <f>+I18+I30</f>
        <v>15688518</v>
      </c>
      <c r="J31" s="425">
        <f>(I31-H31)/H31</f>
        <v>0.16007612415451189</v>
      </c>
      <c r="K31" s="383">
        <f>+K18+K30</f>
        <v>13523697</v>
      </c>
      <c r="L31" s="416">
        <f>+L18+L30</f>
        <v>15645241</v>
      </c>
      <c r="M31" s="425">
        <f>(L31-K31)/K31</f>
        <v>0.15687603766928526</v>
      </c>
    </row>
    <row r="32" spans="1:13" x14ac:dyDescent="0.25">
      <c r="A32" s="376" t="s">
        <v>142</v>
      </c>
      <c r="B32" s="377"/>
      <c r="C32" s="411"/>
      <c r="D32" s="411"/>
      <c r="E32" s="377"/>
      <c r="F32" s="411"/>
      <c r="G32" s="411"/>
      <c r="H32" s="377"/>
      <c r="I32" s="411"/>
      <c r="J32" s="411"/>
      <c r="K32" s="377"/>
      <c r="L32" s="411"/>
      <c r="M32" s="411"/>
    </row>
    <row r="33" spans="1:13" x14ac:dyDescent="0.25">
      <c r="A33" s="378" t="s">
        <v>177</v>
      </c>
      <c r="B33" s="379"/>
      <c r="C33" s="412"/>
      <c r="D33" s="421"/>
      <c r="E33" s="379"/>
      <c r="F33" s="412"/>
      <c r="G33" s="421"/>
      <c r="H33" s="379"/>
      <c r="I33" s="412"/>
      <c r="J33" s="421"/>
      <c r="K33" s="379"/>
      <c r="L33" s="412"/>
      <c r="M33" s="421"/>
    </row>
    <row r="34" spans="1:13" ht="15.75" thickBot="1" x14ac:dyDescent="0.3">
      <c r="A34" s="240" t="s">
        <v>28</v>
      </c>
      <c r="B34" s="242">
        <v>522302</v>
      </c>
      <c r="C34" s="413">
        <v>557006</v>
      </c>
      <c r="D34" s="422">
        <f t="shared" ref="D34:D41" si="8">(C34-B34)/B34</f>
        <v>6.644431765530287E-2</v>
      </c>
      <c r="E34" s="242">
        <v>522302</v>
      </c>
      <c r="F34" s="413">
        <v>545046</v>
      </c>
      <c r="G34" s="422">
        <f t="shared" ref="G34:G41" si="9">(F34-E34)/E34</f>
        <v>4.3545688126792548E-2</v>
      </c>
      <c r="H34" s="242">
        <v>522302</v>
      </c>
      <c r="I34" s="413">
        <v>548976</v>
      </c>
      <c r="J34" s="422">
        <f t="shared" ref="J34:J41" si="10">(I34-H34)/H34</f>
        <v>5.1070070572197694E-2</v>
      </c>
      <c r="K34" s="242">
        <v>522302</v>
      </c>
      <c r="L34" s="413">
        <v>527196</v>
      </c>
      <c r="M34" s="422">
        <f t="shared" ref="M34:M41" si="11">(L34-K34)/K34</f>
        <v>9.3700579358302286E-3</v>
      </c>
    </row>
    <row r="35" spans="1:13" ht="15.75" thickBot="1" x14ac:dyDescent="0.3">
      <c r="A35" s="240" t="s">
        <v>296</v>
      </c>
      <c r="B35" s="242">
        <v>0</v>
      </c>
      <c r="C35" s="413">
        <v>0</v>
      </c>
      <c r="D35" s="422" t="s">
        <v>131</v>
      </c>
      <c r="E35" s="242">
        <v>0</v>
      </c>
      <c r="F35" s="413">
        <v>0</v>
      </c>
      <c r="G35" s="422" t="s">
        <v>131</v>
      </c>
      <c r="H35" s="242">
        <v>0</v>
      </c>
      <c r="I35" s="413">
        <v>0</v>
      </c>
      <c r="J35" s="422" t="s">
        <v>131</v>
      </c>
      <c r="K35" s="242">
        <v>0</v>
      </c>
      <c r="L35" s="413">
        <v>147242</v>
      </c>
      <c r="M35" s="422" t="s">
        <v>131</v>
      </c>
    </row>
    <row r="36" spans="1:13" ht="15.75" thickBot="1" x14ac:dyDescent="0.3">
      <c r="A36" s="240" t="s">
        <v>178</v>
      </c>
      <c r="B36" s="242">
        <v>1094960</v>
      </c>
      <c r="C36" s="413">
        <v>1147187</v>
      </c>
      <c r="D36" s="422">
        <f t="shared" si="8"/>
        <v>4.7697632790238913E-2</v>
      </c>
      <c r="E36" s="242">
        <v>1094960</v>
      </c>
      <c r="F36" s="413">
        <v>1087230</v>
      </c>
      <c r="G36" s="422">
        <f t="shared" si="9"/>
        <v>-7.0596186162051582E-3</v>
      </c>
      <c r="H36" s="242">
        <v>1094960</v>
      </c>
      <c r="I36" s="413">
        <v>1110887</v>
      </c>
      <c r="J36" s="422">
        <f t="shared" si="10"/>
        <v>1.4545736830569153E-2</v>
      </c>
      <c r="K36" s="242">
        <v>1094960</v>
      </c>
      <c r="L36" s="413">
        <v>1235133</v>
      </c>
      <c r="M36" s="422">
        <f t="shared" si="11"/>
        <v>0.12801654854971872</v>
      </c>
    </row>
    <row r="37" spans="1:13" ht="15.75" thickBot="1" x14ac:dyDescent="0.3">
      <c r="A37" s="240" t="s">
        <v>257</v>
      </c>
      <c r="B37" s="242">
        <v>228841</v>
      </c>
      <c r="C37" s="413">
        <v>186532</v>
      </c>
      <c r="D37" s="422">
        <f t="shared" si="8"/>
        <v>-0.18488382763578204</v>
      </c>
      <c r="E37" s="242">
        <v>228841</v>
      </c>
      <c r="F37" s="413">
        <v>265827</v>
      </c>
      <c r="G37" s="422">
        <f t="shared" si="9"/>
        <v>0.16162313571431694</v>
      </c>
      <c r="H37" s="242">
        <v>228841</v>
      </c>
      <c r="I37" s="413">
        <v>286329</v>
      </c>
      <c r="J37" s="422">
        <f t="shared" si="10"/>
        <v>0.25121372481329829</v>
      </c>
      <c r="K37" s="242">
        <v>228841</v>
      </c>
      <c r="L37" s="413">
        <v>214542</v>
      </c>
      <c r="M37" s="422">
        <f t="shared" si="11"/>
        <v>-6.2484432422511699E-2</v>
      </c>
    </row>
    <row r="38" spans="1:13" ht="15.75" thickBot="1" x14ac:dyDescent="0.3">
      <c r="A38" s="240" t="s">
        <v>179</v>
      </c>
      <c r="B38" s="242">
        <v>165833</v>
      </c>
      <c r="C38" s="413">
        <v>159605</v>
      </c>
      <c r="D38" s="422">
        <f t="shared" si="8"/>
        <v>-3.7555854383626901E-2</v>
      </c>
      <c r="E38" s="242">
        <v>165833</v>
      </c>
      <c r="F38" s="413">
        <v>165255</v>
      </c>
      <c r="G38" s="422">
        <f t="shared" si="9"/>
        <v>-3.4854341415761639E-3</v>
      </c>
      <c r="H38" s="242">
        <v>165833</v>
      </c>
      <c r="I38" s="413">
        <v>214960</v>
      </c>
      <c r="J38" s="422">
        <f t="shared" si="10"/>
        <v>0.29624381154534984</v>
      </c>
      <c r="K38" s="242">
        <v>165833</v>
      </c>
      <c r="L38" s="413">
        <v>191864</v>
      </c>
      <c r="M38" s="422">
        <f t="shared" si="11"/>
        <v>0.15697116979129605</v>
      </c>
    </row>
    <row r="39" spans="1:13" ht="15.75" thickBot="1" x14ac:dyDescent="0.3">
      <c r="A39" s="240" t="s">
        <v>180</v>
      </c>
      <c r="B39" s="242">
        <v>4118</v>
      </c>
      <c r="C39" s="413">
        <v>4149</v>
      </c>
      <c r="D39" s="422">
        <f t="shared" si="8"/>
        <v>7.5279261777561925E-3</v>
      </c>
      <c r="E39" s="242">
        <v>4118</v>
      </c>
      <c r="F39" s="413">
        <v>2084</v>
      </c>
      <c r="G39" s="422">
        <f t="shared" si="9"/>
        <v>-0.49392909179213212</v>
      </c>
      <c r="H39" s="242">
        <v>4118</v>
      </c>
      <c r="I39" s="413">
        <v>1981</v>
      </c>
      <c r="J39" s="422">
        <f t="shared" si="10"/>
        <v>-0.51894123360854783</v>
      </c>
      <c r="K39" s="242">
        <v>4118</v>
      </c>
      <c r="L39" s="413">
        <v>1948</v>
      </c>
      <c r="M39" s="422">
        <f t="shared" si="11"/>
        <v>-0.52695483244293351</v>
      </c>
    </row>
    <row r="40" spans="1:13" ht="15.75" thickBot="1" x14ac:dyDescent="0.3">
      <c r="A40" s="245" t="s">
        <v>319</v>
      </c>
      <c r="B40" s="247">
        <v>26676</v>
      </c>
      <c r="C40" s="414">
        <v>16056</v>
      </c>
      <c r="D40" s="423">
        <f t="shared" si="8"/>
        <v>-0.39811066126855599</v>
      </c>
      <c r="E40" s="247">
        <v>26676</v>
      </c>
      <c r="F40" s="414">
        <v>17671</v>
      </c>
      <c r="G40" s="423">
        <f t="shared" si="9"/>
        <v>-0.33756935072724548</v>
      </c>
      <c r="H40" s="247">
        <v>26676</v>
      </c>
      <c r="I40" s="414">
        <v>26576</v>
      </c>
      <c r="J40" s="423">
        <f t="shared" si="10"/>
        <v>-3.748687959214275E-3</v>
      </c>
      <c r="K40" s="247">
        <v>26676</v>
      </c>
      <c r="L40" s="414">
        <v>29912</v>
      </c>
      <c r="M40" s="423">
        <f t="shared" si="11"/>
        <v>0.12130754236017394</v>
      </c>
    </row>
    <row r="41" spans="1:13" ht="15.75" thickBot="1" x14ac:dyDescent="0.3">
      <c r="A41" s="249" t="s">
        <v>181</v>
      </c>
      <c r="B41" s="250">
        <f>SUM(B34:B40)</f>
        <v>2042730</v>
      </c>
      <c r="C41" s="415">
        <f>SUM(C34:C40)</f>
        <v>2070535</v>
      </c>
      <c r="D41" s="424">
        <f t="shared" si="8"/>
        <v>1.3611686321736108E-2</v>
      </c>
      <c r="E41" s="250">
        <f>SUM(E34:E40)</f>
        <v>2042730</v>
      </c>
      <c r="F41" s="415">
        <f>SUM(F34:F40)</f>
        <v>2083113</v>
      </c>
      <c r="G41" s="424">
        <f t="shared" si="9"/>
        <v>1.9769132484469314E-2</v>
      </c>
      <c r="H41" s="250">
        <f>SUM(H34:H40)</f>
        <v>2042730</v>
      </c>
      <c r="I41" s="415">
        <f>SUM(I34:I40)</f>
        <v>2189709</v>
      </c>
      <c r="J41" s="424">
        <f t="shared" si="10"/>
        <v>7.1952240384191749E-2</v>
      </c>
      <c r="K41" s="250">
        <f>SUM(K34:K40)</f>
        <v>2042730</v>
      </c>
      <c r="L41" s="415">
        <f>SUM(L34:L40)</f>
        <v>2347837</v>
      </c>
      <c r="M41" s="424">
        <f t="shared" si="11"/>
        <v>0.14936237290292892</v>
      </c>
    </row>
    <row r="42" spans="1:13" x14ac:dyDescent="0.25">
      <c r="A42" s="378" t="s">
        <v>182</v>
      </c>
      <c r="B42" s="379"/>
      <c r="C42" s="412"/>
      <c r="D42" s="421"/>
      <c r="E42" s="379"/>
      <c r="F42" s="412"/>
      <c r="G42" s="421"/>
      <c r="H42" s="379"/>
      <c r="I42" s="412"/>
      <c r="J42" s="421"/>
      <c r="K42" s="379"/>
      <c r="L42" s="412"/>
      <c r="M42" s="421"/>
    </row>
    <row r="43" spans="1:13" ht="15.75" thickBot="1" x14ac:dyDescent="0.3">
      <c r="A43" s="240" t="s">
        <v>28</v>
      </c>
      <c r="B43" s="242">
        <v>2265743</v>
      </c>
      <c r="C43" s="413">
        <v>2371920</v>
      </c>
      <c r="D43" s="422">
        <f t="shared" ref="D43:D51" si="12">(C43-B43)/B43</f>
        <v>4.6861890337959775E-2</v>
      </c>
      <c r="E43" s="242">
        <v>2265743</v>
      </c>
      <c r="F43" s="413">
        <v>2352222</v>
      </c>
      <c r="G43" s="422">
        <f>(F43-E43)/E43</f>
        <v>3.8168053481793834E-2</v>
      </c>
      <c r="H43" s="242">
        <v>2265743</v>
      </c>
      <c r="I43" s="413">
        <v>2714299</v>
      </c>
      <c r="J43" s="422">
        <f>(I43-H43)/H43</f>
        <v>0.19797302694965846</v>
      </c>
      <c r="K43" s="242">
        <v>2265743</v>
      </c>
      <c r="L43" s="413">
        <v>2680014</v>
      </c>
      <c r="M43" s="422">
        <f>(L43-K43)/K43</f>
        <v>0.18284112540566164</v>
      </c>
    </row>
    <row r="44" spans="1:13" ht="15.75" thickBot="1" x14ac:dyDescent="0.3">
      <c r="A44" s="240" t="s">
        <v>296</v>
      </c>
      <c r="B44" s="242">
        <v>0</v>
      </c>
      <c r="C44" s="413">
        <v>911359</v>
      </c>
      <c r="D44" s="422" t="s">
        <v>131</v>
      </c>
      <c r="E44" s="242">
        <v>0</v>
      </c>
      <c r="F44" s="413">
        <v>903448</v>
      </c>
      <c r="G44" s="422" t="s">
        <v>131</v>
      </c>
      <c r="H44" s="242">
        <v>0</v>
      </c>
      <c r="I44" s="413">
        <v>893964</v>
      </c>
      <c r="J44" s="422" t="s">
        <v>131</v>
      </c>
      <c r="K44" s="242">
        <v>0</v>
      </c>
      <c r="L44" s="413">
        <v>745313</v>
      </c>
      <c r="M44" s="422" t="s">
        <v>131</v>
      </c>
    </row>
    <row r="45" spans="1:13" ht="15.75" thickBot="1" x14ac:dyDescent="0.3">
      <c r="A45" s="240" t="s">
        <v>178</v>
      </c>
      <c r="B45" s="241">
        <v>158</v>
      </c>
      <c r="C45" s="417">
        <v>158</v>
      </c>
      <c r="D45" s="422">
        <f t="shared" si="12"/>
        <v>0</v>
      </c>
      <c r="E45" s="241">
        <v>158</v>
      </c>
      <c r="F45" s="417">
        <v>158</v>
      </c>
      <c r="G45" s="422">
        <f>(F45-E45)/E45</f>
        <v>0</v>
      </c>
      <c r="H45" s="241">
        <v>158</v>
      </c>
      <c r="I45" s="417">
        <v>158</v>
      </c>
      <c r="J45" s="422">
        <f>(I45-H45)/H45</f>
        <v>0</v>
      </c>
      <c r="K45" s="241">
        <v>158</v>
      </c>
      <c r="L45" s="417">
        <v>158</v>
      </c>
      <c r="M45" s="422">
        <f>(L45-K45)/K45</f>
        <v>0</v>
      </c>
    </row>
    <row r="46" spans="1:13" ht="15.75" thickBot="1" x14ac:dyDescent="0.3">
      <c r="A46" s="240" t="s">
        <v>179</v>
      </c>
      <c r="B46" s="242">
        <v>175036</v>
      </c>
      <c r="C46" s="413">
        <v>176068</v>
      </c>
      <c r="D46" s="422">
        <f t="shared" si="12"/>
        <v>5.8959299801183756E-3</v>
      </c>
      <c r="E46" s="242">
        <v>175036</v>
      </c>
      <c r="F46" s="413">
        <v>181266</v>
      </c>
      <c r="G46" s="422">
        <f>(F46-E46)/E46</f>
        <v>3.5592678077652595E-2</v>
      </c>
      <c r="H46" s="242">
        <v>175036</v>
      </c>
      <c r="I46" s="413">
        <v>185118</v>
      </c>
      <c r="J46" s="422">
        <f>(I46-H46)/H46</f>
        <v>5.7599579515071185E-2</v>
      </c>
      <c r="K46" s="242">
        <v>175036</v>
      </c>
      <c r="L46" s="413">
        <v>189295</v>
      </c>
      <c r="M46" s="422">
        <f>(L46-K46)/K46</f>
        <v>8.1463241847391399E-2</v>
      </c>
    </row>
    <row r="47" spans="1:13" ht="15.75" thickBot="1" x14ac:dyDescent="0.3">
      <c r="A47" s="240" t="s">
        <v>183</v>
      </c>
      <c r="B47" s="242">
        <v>704763</v>
      </c>
      <c r="C47" s="413">
        <v>914360</v>
      </c>
      <c r="D47" s="422">
        <f t="shared" si="12"/>
        <v>0.29740068647190615</v>
      </c>
      <c r="E47" s="242">
        <v>704763</v>
      </c>
      <c r="F47" s="413">
        <v>957086</v>
      </c>
      <c r="G47" s="422">
        <f>(F47-E47)/E47</f>
        <v>0.35802532198767528</v>
      </c>
      <c r="H47" s="242">
        <v>704763</v>
      </c>
      <c r="I47" s="413">
        <v>989205</v>
      </c>
      <c r="J47" s="422">
        <f>(I47-H47)/H47</f>
        <v>0.40359950791968363</v>
      </c>
      <c r="K47" s="242">
        <v>704763</v>
      </c>
      <c r="L47" s="413">
        <v>984035</v>
      </c>
      <c r="M47" s="422">
        <f>(L47-K47)/K47</f>
        <v>0.39626370850910164</v>
      </c>
    </row>
    <row r="48" spans="1:13" ht="15.75" thickBot="1" x14ac:dyDescent="0.3">
      <c r="A48" s="240" t="s">
        <v>297</v>
      </c>
      <c r="B48" s="242">
        <v>0</v>
      </c>
      <c r="C48" s="413">
        <v>5901</v>
      </c>
      <c r="D48" s="422" t="s">
        <v>131</v>
      </c>
      <c r="E48" s="242">
        <v>0</v>
      </c>
      <c r="F48" s="413">
        <v>22883</v>
      </c>
      <c r="G48" s="422" t="s">
        <v>131</v>
      </c>
      <c r="H48" s="242">
        <v>0</v>
      </c>
      <c r="I48" s="413">
        <v>23075</v>
      </c>
      <c r="J48" s="422" t="s">
        <v>131</v>
      </c>
      <c r="K48" s="242">
        <v>0</v>
      </c>
      <c r="L48" s="413">
        <v>13238</v>
      </c>
      <c r="M48" s="422" t="s">
        <v>131</v>
      </c>
    </row>
    <row r="49" spans="1:27" ht="15.75" thickBot="1" x14ac:dyDescent="0.3">
      <c r="A49" s="245" t="s">
        <v>319</v>
      </c>
      <c r="B49" s="246">
        <v>536</v>
      </c>
      <c r="C49" s="418">
        <v>514</v>
      </c>
      <c r="D49" s="422">
        <f t="shared" si="12"/>
        <v>-4.1044776119402986E-2</v>
      </c>
      <c r="E49" s="246">
        <v>536</v>
      </c>
      <c r="F49" s="418">
        <v>505</v>
      </c>
      <c r="G49" s="422">
        <f>(F49-E49)/E49</f>
        <v>-5.7835820895522388E-2</v>
      </c>
      <c r="H49" s="246">
        <v>536</v>
      </c>
      <c r="I49" s="418">
        <v>514</v>
      </c>
      <c r="J49" s="422">
        <f>(I49-H49)/H49</f>
        <v>-4.1044776119402986E-2</v>
      </c>
      <c r="K49" s="246">
        <v>536</v>
      </c>
      <c r="L49" s="418">
        <v>487</v>
      </c>
      <c r="M49" s="422">
        <f>(L49-K49)/K49</f>
        <v>-9.1417910447761194E-2</v>
      </c>
    </row>
    <row r="50" spans="1:27" ht="15.75" thickBot="1" x14ac:dyDescent="0.3">
      <c r="A50" s="249" t="s">
        <v>185</v>
      </c>
      <c r="B50" s="250">
        <f>SUM(B43:B49)</f>
        <v>3146236</v>
      </c>
      <c r="C50" s="415">
        <f>SUM(C43:C49)</f>
        <v>4380280</v>
      </c>
      <c r="D50" s="424">
        <f t="shared" si="12"/>
        <v>0.39222868214590384</v>
      </c>
      <c r="E50" s="250">
        <f>SUM(E43:E49)</f>
        <v>3146236</v>
      </c>
      <c r="F50" s="415">
        <f>SUM(F43:F49)</f>
        <v>4417568</v>
      </c>
      <c r="G50" s="424">
        <f>(F50-E50)/E50</f>
        <v>0.40408030421112723</v>
      </c>
      <c r="H50" s="250">
        <f>SUM(H43:H49)</f>
        <v>3146236</v>
      </c>
      <c r="I50" s="415">
        <f>SUM(I43:I49)</f>
        <v>4806333</v>
      </c>
      <c r="J50" s="424">
        <f>(I50-H50)/H50</f>
        <v>0.52764541502926032</v>
      </c>
      <c r="K50" s="250">
        <f>SUM(K43:K49)</f>
        <v>3146236</v>
      </c>
      <c r="L50" s="415">
        <f>SUM(L43:L49)</f>
        <v>4612540</v>
      </c>
      <c r="M50" s="424">
        <f>(L50-K50)/K50</f>
        <v>0.46605022636572718</v>
      </c>
    </row>
    <row r="51" spans="1:27" ht="15.75" thickBot="1" x14ac:dyDescent="0.3">
      <c r="A51" s="382" t="s">
        <v>186</v>
      </c>
      <c r="B51" s="383">
        <f>+B41+B50</f>
        <v>5188966</v>
      </c>
      <c r="C51" s="416">
        <f>+C41+C50</f>
        <v>6450815</v>
      </c>
      <c r="D51" s="425">
        <f t="shared" si="12"/>
        <v>0.24317927695035968</v>
      </c>
      <c r="E51" s="383">
        <f>+E41+E50</f>
        <v>5188966</v>
      </c>
      <c r="F51" s="416">
        <f>+F41+F50</f>
        <v>6500681</v>
      </c>
      <c r="G51" s="425">
        <f>(F51-E51)/E51</f>
        <v>0.25278928403076839</v>
      </c>
      <c r="H51" s="383">
        <f>+H41+H50</f>
        <v>5188966</v>
      </c>
      <c r="I51" s="416">
        <f>+I41+I50</f>
        <v>6996042</v>
      </c>
      <c r="J51" s="425">
        <f>(I51-H51)/H51</f>
        <v>0.34825358269836421</v>
      </c>
      <c r="K51" s="383">
        <f>+K41+K50</f>
        <v>5188966</v>
      </c>
      <c r="L51" s="416">
        <f>+L41+L50</f>
        <v>6960377</v>
      </c>
      <c r="M51" s="425">
        <f>(L51-K51)/K51</f>
        <v>0.34138034436918646</v>
      </c>
    </row>
    <row r="52" spans="1:27" x14ac:dyDescent="0.25">
      <c r="A52" s="376" t="s">
        <v>34</v>
      </c>
      <c r="B52" s="377"/>
      <c r="C52" s="411"/>
      <c r="D52" s="411"/>
      <c r="E52" s="377"/>
      <c r="F52" s="411"/>
      <c r="G52" s="411"/>
      <c r="H52" s="377"/>
      <c r="I52" s="411"/>
      <c r="J52" s="411"/>
      <c r="K52" s="377"/>
      <c r="L52" s="411"/>
      <c r="M52" s="411"/>
    </row>
    <row r="53" spans="1:27" ht="15.75" thickBot="1" x14ac:dyDescent="0.3">
      <c r="A53" s="249" t="s">
        <v>187</v>
      </c>
      <c r="B53" s="250">
        <v>8290443</v>
      </c>
      <c r="C53" s="415">
        <v>8530766</v>
      </c>
      <c r="D53" s="424">
        <f>(C53-B53)/B53</f>
        <v>2.8987956373380769E-2</v>
      </c>
      <c r="E53" s="250">
        <v>8290443</v>
      </c>
      <c r="F53" s="415">
        <v>8471641</v>
      </c>
      <c r="G53" s="424">
        <f>(F53-E53)/E53</f>
        <v>2.1856250624966603E-2</v>
      </c>
      <c r="H53" s="250">
        <v>8290443</v>
      </c>
      <c r="I53" s="415">
        <v>8647734</v>
      </c>
      <c r="J53" s="424">
        <f>(I53-H53)/H53</f>
        <v>4.3096731984044762E-2</v>
      </c>
      <c r="K53" s="250">
        <v>8290443</v>
      </c>
      <c r="L53" s="415">
        <v>8627950</v>
      </c>
      <c r="M53" s="424">
        <f>(L53-K53)/K53</f>
        <v>4.0710369759492951E-2</v>
      </c>
    </row>
    <row r="54" spans="1:27" ht="15.75" thickBot="1" x14ac:dyDescent="0.3">
      <c r="A54" s="259" t="s">
        <v>188</v>
      </c>
      <c r="B54" s="247">
        <v>44288</v>
      </c>
      <c r="C54" s="414">
        <v>43435</v>
      </c>
      <c r="D54" s="423">
        <f>(C54-B54)/B54</f>
        <v>-1.9260296242774567E-2</v>
      </c>
      <c r="E54" s="247">
        <v>44288</v>
      </c>
      <c r="F54" s="414">
        <v>43588</v>
      </c>
      <c r="G54" s="423">
        <f>(F54-E54)/E54</f>
        <v>-1.5805635838150291E-2</v>
      </c>
      <c r="H54" s="247">
        <v>44288</v>
      </c>
      <c r="I54" s="414">
        <v>44742</v>
      </c>
      <c r="J54" s="423">
        <f>(I54-H54)/H54</f>
        <v>1.0251083815028901E-2</v>
      </c>
      <c r="K54" s="247">
        <v>44288</v>
      </c>
      <c r="L54" s="414">
        <v>56914</v>
      </c>
      <c r="M54" s="423">
        <f>(L54-K54)/K54</f>
        <v>0.28508851156069365</v>
      </c>
    </row>
    <row r="55" spans="1:27" ht="15.75" thickBot="1" x14ac:dyDescent="0.3">
      <c r="A55" s="382" t="s">
        <v>189</v>
      </c>
      <c r="B55" s="383">
        <f>SUM(B53:B54)</f>
        <v>8334731</v>
      </c>
      <c r="C55" s="416">
        <f>SUM(C53:C54)</f>
        <v>8574201</v>
      </c>
      <c r="D55" s="425">
        <f>(C55-B55)/B55</f>
        <v>2.8731581139211333E-2</v>
      </c>
      <c r="E55" s="383">
        <f>SUM(E53:E54)</f>
        <v>8334731</v>
      </c>
      <c r="F55" s="416">
        <f>SUM(F53:F54)</f>
        <v>8515229</v>
      </c>
      <c r="G55" s="425">
        <f>(F55-E55)/E55</f>
        <v>2.165612783423964E-2</v>
      </c>
      <c r="H55" s="383">
        <f>SUM(H53:H54)</f>
        <v>8334731</v>
      </c>
      <c r="I55" s="416">
        <f>SUM(I53:I54)</f>
        <v>8692476</v>
      </c>
      <c r="J55" s="425">
        <f>(I55-H55)/H55</f>
        <v>4.2922201088433448E-2</v>
      </c>
      <c r="K55" s="383">
        <f>SUM(K53:K54)</f>
        <v>8334731</v>
      </c>
      <c r="L55" s="416">
        <f>SUM(L53:L54)</f>
        <v>8684864</v>
      </c>
      <c r="M55" s="425">
        <f>(L55-K55)/K55</f>
        <v>4.2008914264899493E-2</v>
      </c>
    </row>
    <row r="56" spans="1:27" ht="15.75" thickBot="1" x14ac:dyDescent="0.3">
      <c r="A56" s="380" t="s">
        <v>190</v>
      </c>
      <c r="B56" s="381">
        <f>+B51+B55</f>
        <v>13523697</v>
      </c>
      <c r="C56" s="419">
        <f>+C51+C55</f>
        <v>15025016</v>
      </c>
      <c r="D56" s="426">
        <f>(C56-B56)/B56</f>
        <v>0.11101394833084474</v>
      </c>
      <c r="E56" s="381">
        <f>+E51+E55</f>
        <v>13523697</v>
      </c>
      <c r="F56" s="419">
        <f>+F51+F55</f>
        <v>15015910</v>
      </c>
      <c r="G56" s="426">
        <f>(F56-E56)/E56</f>
        <v>0.11034061174248432</v>
      </c>
      <c r="H56" s="381">
        <f>+H51+H55</f>
        <v>13523697</v>
      </c>
      <c r="I56" s="419">
        <f>+I51+I55</f>
        <v>15688518</v>
      </c>
      <c r="J56" s="426">
        <f>(I56-H56)/H56</f>
        <v>0.16007612415451189</v>
      </c>
      <c r="K56" s="381">
        <f>+K51+K55</f>
        <v>13523697</v>
      </c>
      <c r="L56" s="419">
        <f>+L51+L55</f>
        <v>15645241</v>
      </c>
      <c r="M56" s="426">
        <f>(L56-K56)/K56</f>
        <v>0.15687603766928526</v>
      </c>
    </row>
    <row r="58" spans="1:27" x14ac:dyDescent="0.25">
      <c r="B58" s="263"/>
      <c r="C58" s="263"/>
      <c r="D58" s="263"/>
      <c r="E58" s="263"/>
      <c r="F58" s="263"/>
      <c r="G58" s="263"/>
      <c r="H58" s="263"/>
      <c r="I58" s="263"/>
      <c r="J58" s="263"/>
      <c r="K58" s="263"/>
      <c r="L58" s="263"/>
      <c r="M58" s="263"/>
      <c r="O58" s="263"/>
      <c r="R58" s="263"/>
      <c r="T58" s="263"/>
    </row>
    <row r="59" spans="1:27" ht="18.75" x14ac:dyDescent="0.3">
      <c r="A59" s="264" t="s">
        <v>191</v>
      </c>
      <c r="B59" s="362"/>
      <c r="C59" s="362"/>
      <c r="D59" s="362"/>
      <c r="E59" s="362"/>
    </row>
    <row r="60" spans="1:27" x14ac:dyDescent="0.25">
      <c r="A60" s="332" t="s">
        <v>317</v>
      </c>
      <c r="B60" s="362"/>
      <c r="C60" s="362"/>
      <c r="D60" s="362"/>
      <c r="E60" s="362"/>
    </row>
    <row r="61" spans="1:27" x14ac:dyDescent="0.25">
      <c r="A61" s="332" t="s">
        <v>88</v>
      </c>
      <c r="B61" s="362"/>
      <c r="C61" s="362"/>
      <c r="D61" s="362"/>
      <c r="E61" s="362"/>
    </row>
    <row r="62" spans="1:27" x14ac:dyDescent="0.25">
      <c r="A62" s="265" t="s">
        <v>159</v>
      </c>
      <c r="B62" s="362"/>
      <c r="C62" s="362"/>
      <c r="D62" s="362"/>
      <c r="E62" s="362"/>
    </row>
    <row r="63" spans="1:27" ht="15.75" thickBot="1" x14ac:dyDescent="0.3">
      <c r="B63" s="364"/>
      <c r="C63" s="364"/>
      <c r="D63" s="364"/>
      <c r="E63" s="364"/>
    </row>
    <row r="64" spans="1:27" ht="15.75" customHeight="1" thickBot="1" x14ac:dyDescent="0.3">
      <c r="A64" s="353"/>
      <c r="B64" s="388" t="s">
        <v>270</v>
      </c>
      <c r="C64" s="388" t="s">
        <v>55</v>
      </c>
      <c r="D64" s="400" t="s">
        <v>299</v>
      </c>
      <c r="E64" s="400" t="s">
        <v>55</v>
      </c>
      <c r="F64" s="388" t="s">
        <v>46</v>
      </c>
      <c r="G64" s="388" t="s">
        <v>278</v>
      </c>
      <c r="H64" s="388" t="s">
        <v>55</v>
      </c>
      <c r="I64" s="400" t="s">
        <v>309</v>
      </c>
      <c r="J64" s="400" t="s">
        <v>55</v>
      </c>
      <c r="K64" s="388" t="s">
        <v>46</v>
      </c>
      <c r="L64" s="388" t="s">
        <v>270</v>
      </c>
      <c r="M64" s="400" t="s">
        <v>299</v>
      </c>
      <c r="N64" s="388" t="s">
        <v>277</v>
      </c>
      <c r="O64" s="400" t="s">
        <v>307</v>
      </c>
      <c r="P64" s="388" t="s">
        <v>284</v>
      </c>
      <c r="Q64" s="400" t="s">
        <v>313</v>
      </c>
      <c r="R64" s="388" t="s">
        <v>289</v>
      </c>
      <c r="S64" s="388" t="s">
        <v>55</v>
      </c>
      <c r="T64" s="400" t="s">
        <v>320</v>
      </c>
      <c r="U64" s="388" t="s">
        <v>55</v>
      </c>
      <c r="V64" s="388" t="s">
        <v>46</v>
      </c>
      <c r="W64" s="388" t="s">
        <v>290</v>
      </c>
      <c r="X64" s="388" t="s">
        <v>55</v>
      </c>
      <c r="Y64" s="400" t="s">
        <v>321</v>
      </c>
      <c r="Z64" s="400" t="s">
        <v>55</v>
      </c>
      <c r="AA64" s="388" t="s">
        <v>46</v>
      </c>
    </row>
    <row r="65" spans="1:27" ht="15.75" thickTop="1" x14ac:dyDescent="0.25">
      <c r="A65" s="390" t="s">
        <v>193</v>
      </c>
      <c r="B65" s="389"/>
      <c r="C65" s="389"/>
      <c r="D65" s="401"/>
      <c r="E65" s="406"/>
      <c r="F65" s="389"/>
      <c r="G65" s="389"/>
      <c r="H65" s="389"/>
      <c r="I65" s="401"/>
      <c r="J65" s="406"/>
      <c r="K65" s="389"/>
      <c r="L65" s="389"/>
      <c r="M65" s="401"/>
      <c r="N65" s="389"/>
      <c r="O65" s="401"/>
      <c r="P65" s="389"/>
      <c r="Q65" s="401"/>
      <c r="R65" s="389"/>
      <c r="S65" s="389"/>
      <c r="T65" s="401"/>
      <c r="U65" s="389"/>
      <c r="V65" s="389"/>
      <c r="W65" s="389"/>
      <c r="X65" s="389"/>
      <c r="Y65" s="401"/>
      <c r="Z65" s="406"/>
      <c r="AA65" s="389"/>
    </row>
    <row r="66" spans="1:27" ht="15.75" thickBot="1" x14ac:dyDescent="0.3">
      <c r="A66" s="391" t="s">
        <v>194</v>
      </c>
      <c r="B66" s="458">
        <v>2104345</v>
      </c>
      <c r="C66" s="387">
        <f t="shared" ref="C66:C86" si="13">+B66/$B$66</f>
        <v>1</v>
      </c>
      <c r="D66" s="395">
        <v>2245742</v>
      </c>
      <c r="E66" s="387">
        <f t="shared" ref="E66:E86" si="14">+D66/$D$66</f>
        <v>1</v>
      </c>
      <c r="F66" s="387">
        <f>(D66-B66)/B66</f>
        <v>6.7192879494569563E-2</v>
      </c>
      <c r="G66" s="458">
        <v>4326514</v>
      </c>
      <c r="H66" s="387">
        <f t="shared" ref="H66:H86" si="15">G66/$G$66</f>
        <v>1</v>
      </c>
      <c r="I66" s="395">
        <v>4646417</v>
      </c>
      <c r="J66" s="387">
        <f t="shared" ref="J66:J86" si="16">I66/$I$66</f>
        <v>1</v>
      </c>
      <c r="K66" s="387">
        <f>(I66-G66)/G66</f>
        <v>7.3940128241813161E-2</v>
      </c>
      <c r="L66" s="458">
        <v>2104345</v>
      </c>
      <c r="M66" s="395">
        <v>2245742</v>
      </c>
      <c r="N66" s="395">
        <v>2222169</v>
      </c>
      <c r="O66" s="395">
        <v>2400675</v>
      </c>
      <c r="P66" s="395">
        <v>2282784</v>
      </c>
      <c r="Q66" s="395">
        <v>2553619</v>
      </c>
      <c r="R66" s="395">
        <v>2406768</v>
      </c>
      <c r="S66" s="387">
        <f>R66/$R$66</f>
        <v>1</v>
      </c>
      <c r="T66" s="395">
        <v>2758815</v>
      </c>
      <c r="U66" s="387">
        <f>T66/$T$66</f>
        <v>1</v>
      </c>
      <c r="V66" s="387">
        <f>(T66-R66)/R66</f>
        <v>0.14627375800243314</v>
      </c>
      <c r="W66" s="395">
        <f>L66+N66+P66+R66</f>
        <v>9016066</v>
      </c>
      <c r="X66" s="387">
        <f>W66/$W$66</f>
        <v>1</v>
      </c>
      <c r="Y66" s="395">
        <f>M66+O66+T66+Q66</f>
        <v>9958851</v>
      </c>
      <c r="Z66" s="387">
        <f>Y66/$Y$66</f>
        <v>1</v>
      </c>
      <c r="AA66" s="387">
        <f t="shared" ref="AA66:AA71" si="17">(Y66-W66)/W66</f>
        <v>0.10456722477408661</v>
      </c>
    </row>
    <row r="67" spans="1:27" ht="15.75" thickBot="1" x14ac:dyDescent="0.3">
      <c r="A67" s="392" t="s">
        <v>273</v>
      </c>
      <c r="B67" s="460">
        <v>-1168715</v>
      </c>
      <c r="C67" s="384">
        <f t="shared" si="13"/>
        <v>-0.5553818409053648</v>
      </c>
      <c r="D67" s="456">
        <v>-1253514</v>
      </c>
      <c r="E67" s="407">
        <f t="shared" si="14"/>
        <v>-0.55817364594864416</v>
      </c>
      <c r="F67" s="384">
        <f t="shared" ref="F67:F86" si="18">(D67-B67)/B67</f>
        <v>7.2557466961577458E-2</v>
      </c>
      <c r="G67" s="460">
        <v>-2398340</v>
      </c>
      <c r="H67" s="384">
        <f t="shared" si="15"/>
        <v>-0.55433543032566168</v>
      </c>
      <c r="I67" s="456">
        <v>-2583703</v>
      </c>
      <c r="J67" s="407">
        <f t="shared" si="16"/>
        <v>-0.55606352163398165</v>
      </c>
      <c r="K67" s="384">
        <f t="shared" ref="K67:K86" si="19">(I67-G67)/G67</f>
        <v>7.7288040894952337E-2</v>
      </c>
      <c r="L67" s="460">
        <v>-1168715</v>
      </c>
      <c r="M67" s="456">
        <v>-1253514</v>
      </c>
      <c r="N67" s="460">
        <v>-1229625</v>
      </c>
      <c r="O67" s="456">
        <v>-1330189</v>
      </c>
      <c r="P67" s="460">
        <v>-1242686</v>
      </c>
      <c r="Q67" s="456">
        <v>-1426054</v>
      </c>
      <c r="R67" s="460">
        <v>-1328192</v>
      </c>
      <c r="S67" s="384">
        <f t="shared" ref="S67:S92" si="20">R67/$R$66</f>
        <v>-0.5518570963217061</v>
      </c>
      <c r="T67" s="456">
        <v>-1555543</v>
      </c>
      <c r="U67" s="384">
        <f>T67/$T$66</f>
        <v>-0.56384462169445937</v>
      </c>
      <c r="V67" s="384">
        <f t="shared" ref="V67:V92" si="21">(T67-R67)/R67</f>
        <v>0.17117329422252203</v>
      </c>
      <c r="W67" s="460">
        <f t="shared" ref="W67:W91" si="22">L67+N67+P67+R67</f>
        <v>-4969218</v>
      </c>
      <c r="X67" s="384">
        <f t="shared" ref="X67:X86" si="23">W67/$W$66</f>
        <v>-0.55115146672617521</v>
      </c>
      <c r="Y67" s="456">
        <f t="shared" ref="Y67:Y92" si="24">M67+O67+T67+Q67</f>
        <v>-5565300</v>
      </c>
      <c r="Z67" s="407">
        <f t="shared" ref="Z67:Z86" si="25">Y67/$Y$66</f>
        <v>-0.5588295276232168</v>
      </c>
      <c r="AA67" s="384">
        <f t="shared" si="17"/>
        <v>0.11995489028656017</v>
      </c>
    </row>
    <row r="68" spans="1:27" ht="15.75" thickBot="1" x14ac:dyDescent="0.3">
      <c r="A68" s="393" t="s">
        <v>196</v>
      </c>
      <c r="B68" s="461">
        <f>SUM(B66:B67)</f>
        <v>935630</v>
      </c>
      <c r="C68" s="386">
        <f t="shared" si="13"/>
        <v>0.44461815909463515</v>
      </c>
      <c r="D68" s="457">
        <f>SUM(D66:D67)</f>
        <v>992228</v>
      </c>
      <c r="E68" s="408">
        <f t="shared" si="14"/>
        <v>0.44182635405135584</v>
      </c>
      <c r="F68" s="386">
        <f t="shared" si="18"/>
        <v>6.0491861098938685E-2</v>
      </c>
      <c r="G68" s="461">
        <v>1928174</v>
      </c>
      <c r="H68" s="386">
        <f t="shared" si="15"/>
        <v>0.44566456967433826</v>
      </c>
      <c r="I68" s="457">
        <v>2062714</v>
      </c>
      <c r="J68" s="408">
        <f t="shared" si="16"/>
        <v>0.44393647836601835</v>
      </c>
      <c r="K68" s="386">
        <f t="shared" si="19"/>
        <v>6.9775860477322066E-2</v>
      </c>
      <c r="L68" s="461">
        <f t="shared" ref="L68:R68" si="26">SUM(L66:L67)</f>
        <v>935630</v>
      </c>
      <c r="M68" s="457">
        <f t="shared" si="26"/>
        <v>992228</v>
      </c>
      <c r="N68" s="397">
        <f t="shared" si="26"/>
        <v>992544</v>
      </c>
      <c r="O68" s="457">
        <f t="shared" si="26"/>
        <v>1070486</v>
      </c>
      <c r="P68" s="397">
        <f t="shared" si="26"/>
        <v>1040098</v>
      </c>
      <c r="Q68" s="457">
        <f t="shared" si="26"/>
        <v>1127565</v>
      </c>
      <c r="R68" s="397">
        <f t="shared" si="26"/>
        <v>1078576</v>
      </c>
      <c r="S68" s="386">
        <f t="shared" si="20"/>
        <v>0.4481429036782939</v>
      </c>
      <c r="T68" s="457">
        <f>SUM(T66:T67)</f>
        <v>1203272</v>
      </c>
      <c r="U68" s="386">
        <f t="shared" ref="U68:U92" si="27">T68/$T$66</f>
        <v>0.43615537830554063</v>
      </c>
      <c r="V68" s="386">
        <f t="shared" si="21"/>
        <v>0.11561169542062869</v>
      </c>
      <c r="W68" s="397">
        <f t="shared" si="22"/>
        <v>4046848</v>
      </c>
      <c r="X68" s="386">
        <f t="shared" si="23"/>
        <v>0.44884853327382473</v>
      </c>
      <c r="Y68" s="403">
        <f t="shared" si="24"/>
        <v>4393551</v>
      </c>
      <c r="Z68" s="408">
        <f t="shared" si="25"/>
        <v>0.44117047237678325</v>
      </c>
      <c r="AA68" s="386">
        <f t="shared" si="17"/>
        <v>8.5672355373861336E-2</v>
      </c>
    </row>
    <row r="69" spans="1:27" ht="15.75" thickBot="1" x14ac:dyDescent="0.3">
      <c r="A69" s="392" t="s">
        <v>7</v>
      </c>
      <c r="B69" s="460">
        <v>-99417</v>
      </c>
      <c r="C69" s="384">
        <f t="shared" si="13"/>
        <v>-4.7243679149569104E-2</v>
      </c>
      <c r="D69" s="456">
        <v>-104388</v>
      </c>
      <c r="E69" s="407">
        <f t="shared" si="14"/>
        <v>-4.6482632466240556E-2</v>
      </c>
      <c r="F69" s="384">
        <f t="shared" si="18"/>
        <v>5.0001508796282325E-2</v>
      </c>
      <c r="G69" s="460">
        <v>-196903</v>
      </c>
      <c r="H69" s="384">
        <f t="shared" si="15"/>
        <v>-4.5510773800801291E-2</v>
      </c>
      <c r="I69" s="456">
        <v>-213170</v>
      </c>
      <c r="J69" s="407">
        <f t="shared" si="16"/>
        <v>-4.5878361757026975E-2</v>
      </c>
      <c r="K69" s="384">
        <f t="shared" si="19"/>
        <v>8.2614282159235761E-2</v>
      </c>
      <c r="L69" s="460">
        <v>-99417</v>
      </c>
      <c r="M69" s="456">
        <v>-104388</v>
      </c>
      <c r="N69" s="460">
        <v>-97486</v>
      </c>
      <c r="O69" s="456">
        <v>-108782</v>
      </c>
      <c r="P69" s="460">
        <v>-102539</v>
      </c>
      <c r="Q69" s="456">
        <v>-111656</v>
      </c>
      <c r="R69" s="460">
        <v>-106615</v>
      </c>
      <c r="S69" s="384">
        <f t="shared" si="20"/>
        <v>-4.4297996317052578E-2</v>
      </c>
      <c r="T69" s="456">
        <v>-142476</v>
      </c>
      <c r="U69" s="384">
        <f t="shared" si="27"/>
        <v>-5.1643912331925119E-2</v>
      </c>
      <c r="V69" s="384">
        <f t="shared" si="21"/>
        <v>0.33635979927777515</v>
      </c>
      <c r="W69" s="460">
        <f t="shared" si="22"/>
        <v>-406057</v>
      </c>
      <c r="X69" s="384">
        <f t="shared" si="23"/>
        <v>-4.5037048309096231E-2</v>
      </c>
      <c r="Y69" s="456">
        <f t="shared" si="24"/>
        <v>-467302</v>
      </c>
      <c r="Z69" s="407">
        <f t="shared" si="25"/>
        <v>-4.692328462389888E-2</v>
      </c>
      <c r="AA69" s="384">
        <f t="shared" si="17"/>
        <v>0.15082857825379195</v>
      </c>
    </row>
    <row r="70" spans="1:27" ht="15.75" thickBot="1" x14ac:dyDescent="0.3">
      <c r="A70" s="392" t="s">
        <v>8</v>
      </c>
      <c r="B70" s="460">
        <v>-607913</v>
      </c>
      <c r="C70" s="384">
        <f t="shared" si="13"/>
        <v>-0.28888466482444658</v>
      </c>
      <c r="D70" s="456">
        <v>-625569</v>
      </c>
      <c r="E70" s="407">
        <f t="shared" si="14"/>
        <v>-0.27855782186911943</v>
      </c>
      <c r="F70" s="384">
        <f t="shared" si="18"/>
        <v>2.9043629598314233E-2</v>
      </c>
      <c r="G70" s="460">
        <v>-1263528</v>
      </c>
      <c r="H70" s="384">
        <f t="shared" si="15"/>
        <v>-0.2920429703914052</v>
      </c>
      <c r="I70" s="456">
        <v>-1317157</v>
      </c>
      <c r="J70" s="407">
        <f t="shared" si="16"/>
        <v>-0.28347800036027759</v>
      </c>
      <c r="K70" s="384">
        <f t="shared" si="19"/>
        <v>4.2443855616970894E-2</v>
      </c>
      <c r="L70" s="460">
        <v>-607913</v>
      </c>
      <c r="M70" s="456">
        <v>-625569</v>
      </c>
      <c r="N70" s="460">
        <v>-655615</v>
      </c>
      <c r="O70" s="456">
        <v>-691588</v>
      </c>
      <c r="P70" s="460">
        <v>-669434</v>
      </c>
      <c r="Q70" s="456">
        <v>-727342</v>
      </c>
      <c r="R70" s="460">
        <v>-718109</v>
      </c>
      <c r="S70" s="384">
        <f t="shared" si="20"/>
        <v>-0.29837067802131323</v>
      </c>
      <c r="T70" s="456">
        <v>-785444</v>
      </c>
      <c r="U70" s="384">
        <f t="shared" si="27"/>
        <v>-0.28470339620452983</v>
      </c>
      <c r="V70" s="384">
        <f t="shared" si="21"/>
        <v>9.3767102208717618E-2</v>
      </c>
      <c r="W70" s="460">
        <f t="shared" si="22"/>
        <v>-2651071</v>
      </c>
      <c r="X70" s="384">
        <f t="shared" si="23"/>
        <v>-0.2940385529564668</v>
      </c>
      <c r="Y70" s="456">
        <f t="shared" si="24"/>
        <v>-2829943</v>
      </c>
      <c r="Z70" s="407">
        <f t="shared" si="25"/>
        <v>-0.28416360481746339</v>
      </c>
      <c r="AA70" s="384">
        <f t="shared" si="17"/>
        <v>6.747159921405349E-2</v>
      </c>
    </row>
    <row r="71" spans="1:27" ht="15.75" thickBot="1" x14ac:dyDescent="0.3">
      <c r="A71" s="392" t="s">
        <v>84</v>
      </c>
      <c r="B71" s="460">
        <v>-33212</v>
      </c>
      <c r="C71" s="384">
        <f t="shared" si="13"/>
        <v>-1.5782583179088979E-2</v>
      </c>
      <c r="D71" s="456">
        <v>-33782</v>
      </c>
      <c r="E71" s="407">
        <f t="shared" si="14"/>
        <v>-1.5042689676730453E-2</v>
      </c>
      <c r="F71" s="384">
        <f t="shared" si="18"/>
        <v>1.7162471395881007E-2</v>
      </c>
      <c r="G71" s="460">
        <v>-68712</v>
      </c>
      <c r="H71" s="384">
        <f t="shared" si="15"/>
        <v>-1.5881608149193555E-2</v>
      </c>
      <c r="I71" s="456">
        <v>-72901</v>
      </c>
      <c r="J71" s="407">
        <f t="shared" si="16"/>
        <v>-1.5689723931364748E-2</v>
      </c>
      <c r="K71" s="384">
        <f t="shared" si="19"/>
        <v>6.0964605891256261E-2</v>
      </c>
      <c r="L71" s="460">
        <v>-33212</v>
      </c>
      <c r="M71" s="456">
        <v>-33782</v>
      </c>
      <c r="N71" s="460">
        <v>-35500</v>
      </c>
      <c r="O71" s="456">
        <v>-39119</v>
      </c>
      <c r="P71" s="460">
        <v>-36861</v>
      </c>
      <c r="Q71" s="456">
        <v>-40710</v>
      </c>
      <c r="R71" s="460">
        <v>-41393</v>
      </c>
      <c r="S71" s="384">
        <f t="shared" si="20"/>
        <v>-1.7198583328347394E-2</v>
      </c>
      <c r="T71" s="456">
        <v>-49240</v>
      </c>
      <c r="U71" s="384">
        <f t="shared" si="27"/>
        <v>-1.7848242814396762E-2</v>
      </c>
      <c r="V71" s="384">
        <f t="shared" si="21"/>
        <v>0.18957311622738143</v>
      </c>
      <c r="W71" s="460">
        <f t="shared" si="22"/>
        <v>-146966</v>
      </c>
      <c r="X71" s="384">
        <f t="shared" si="23"/>
        <v>-1.6300457427884843E-2</v>
      </c>
      <c r="Y71" s="456">
        <f t="shared" si="24"/>
        <v>-162851</v>
      </c>
      <c r="Z71" s="407">
        <f t="shared" si="25"/>
        <v>-1.6352388443204944E-2</v>
      </c>
      <c r="AA71" s="384">
        <f t="shared" si="17"/>
        <v>0.10808622402460433</v>
      </c>
    </row>
    <row r="72" spans="1:27" ht="15.75" thickBot="1" x14ac:dyDescent="0.3">
      <c r="A72" s="392" t="s">
        <v>197</v>
      </c>
      <c r="B72" s="460">
        <v>1952</v>
      </c>
      <c r="C72" s="384">
        <f t="shared" si="13"/>
        <v>9.2760455153503819E-4</v>
      </c>
      <c r="D72" s="456">
        <v>3810</v>
      </c>
      <c r="E72" s="407">
        <f t="shared" si="14"/>
        <v>1.6965439485034344E-3</v>
      </c>
      <c r="F72" s="384">
        <f t="shared" si="18"/>
        <v>0.95184426229508201</v>
      </c>
      <c r="G72" s="460">
        <v>1864</v>
      </c>
      <c r="H72" s="384">
        <f t="shared" si="15"/>
        <v>4.3083184291094401E-4</v>
      </c>
      <c r="I72" s="456">
        <v>4664</v>
      </c>
      <c r="J72" s="407">
        <f t="shared" si="16"/>
        <v>1.0037842061958709E-3</v>
      </c>
      <c r="K72" s="384">
        <f t="shared" si="19"/>
        <v>1.502145922746781</v>
      </c>
      <c r="L72" s="460">
        <v>1952</v>
      </c>
      <c r="M72" s="456">
        <v>3810</v>
      </c>
      <c r="N72" s="460">
        <v>-88</v>
      </c>
      <c r="O72" s="456">
        <v>854</v>
      </c>
      <c r="P72" s="460">
        <v>-2342</v>
      </c>
      <c r="Q72" s="456">
        <v>-1361</v>
      </c>
      <c r="R72" s="460">
        <v>-3782</v>
      </c>
      <c r="S72" s="384">
        <f t="shared" si="20"/>
        <v>-1.5714019797504371E-3</v>
      </c>
      <c r="T72" s="456">
        <v>20358</v>
      </c>
      <c r="U72" s="384">
        <f t="shared" si="27"/>
        <v>7.3792552237101801E-3</v>
      </c>
      <c r="V72" s="384" t="s">
        <v>131</v>
      </c>
      <c r="W72" s="460">
        <f t="shared" si="22"/>
        <v>-4260</v>
      </c>
      <c r="X72" s="384">
        <f t="shared" si="23"/>
        <v>-4.7248988638725584E-4</v>
      </c>
      <c r="Y72" s="456">
        <f t="shared" si="24"/>
        <v>23661</v>
      </c>
      <c r="Z72" s="407">
        <f t="shared" si="25"/>
        <v>2.3758764941859255E-3</v>
      </c>
      <c r="AA72" s="384" t="s">
        <v>131</v>
      </c>
    </row>
    <row r="73" spans="1:27" ht="15.75" thickBot="1" x14ac:dyDescent="0.3">
      <c r="A73" s="392" t="s">
        <v>144</v>
      </c>
      <c r="B73" s="460">
        <v>4942</v>
      </c>
      <c r="C73" s="384">
        <f t="shared" si="13"/>
        <v>2.3484742283228274E-3</v>
      </c>
      <c r="D73" s="456">
        <v>-2136</v>
      </c>
      <c r="E73" s="407">
        <f t="shared" si="14"/>
        <v>-9.5113330026334278E-4</v>
      </c>
      <c r="F73" s="384">
        <f t="shared" si="18"/>
        <v>-1.4322136786726021</v>
      </c>
      <c r="G73" s="460">
        <v>-603</v>
      </c>
      <c r="H73" s="384">
        <f t="shared" si="15"/>
        <v>-1.3937317664983865E-4</v>
      </c>
      <c r="I73" s="456">
        <v>1174</v>
      </c>
      <c r="J73" s="407">
        <f t="shared" si="16"/>
        <v>2.5266780833489548E-4</v>
      </c>
      <c r="K73" s="384">
        <f t="shared" si="19"/>
        <v>-2.946932006633499</v>
      </c>
      <c r="L73" s="460">
        <v>4942</v>
      </c>
      <c r="M73" s="456">
        <v>-2136</v>
      </c>
      <c r="N73" s="460">
        <v>-5545</v>
      </c>
      <c r="O73" s="456">
        <v>3310</v>
      </c>
      <c r="P73" s="460">
        <v>4612</v>
      </c>
      <c r="Q73" s="456">
        <v>-2746</v>
      </c>
      <c r="R73" s="460">
        <v>6793</v>
      </c>
      <c r="S73" s="384">
        <f t="shared" si="20"/>
        <v>2.8224573369763934E-3</v>
      </c>
      <c r="T73" s="456">
        <v>4077</v>
      </c>
      <c r="U73" s="384">
        <f t="shared" si="27"/>
        <v>1.477808406870341E-3</v>
      </c>
      <c r="V73" s="384">
        <f t="shared" si="21"/>
        <v>-0.3998233475636685</v>
      </c>
      <c r="W73" s="460">
        <f t="shared" si="22"/>
        <v>10802</v>
      </c>
      <c r="X73" s="384">
        <f t="shared" si="23"/>
        <v>1.1980835100364171E-3</v>
      </c>
      <c r="Y73" s="456">
        <f t="shared" si="24"/>
        <v>2505</v>
      </c>
      <c r="Z73" s="407">
        <f t="shared" si="25"/>
        <v>2.5153504154244298E-4</v>
      </c>
      <c r="AA73" s="384">
        <f t="shared" ref="AA73:AA78" si="28">(Y73-W73)/W73</f>
        <v>-0.7680985002777263</v>
      </c>
    </row>
    <row r="74" spans="1:27" ht="16.5" customHeight="1" thickBot="1" x14ac:dyDescent="0.3">
      <c r="A74" s="391" t="s">
        <v>198</v>
      </c>
      <c r="B74" s="458">
        <f>SUM(B68:B73)</f>
        <v>201982</v>
      </c>
      <c r="C74" s="387">
        <f t="shared" si="13"/>
        <v>9.5983310721388368E-2</v>
      </c>
      <c r="D74" s="458">
        <f>SUM(D68:D73)</f>
        <v>230163</v>
      </c>
      <c r="E74" s="387">
        <f t="shared" si="14"/>
        <v>0.10248862068750551</v>
      </c>
      <c r="F74" s="387">
        <f t="shared" si="18"/>
        <v>0.13952233367329761</v>
      </c>
      <c r="G74" s="458">
        <f>SUM(G68:G73)</f>
        <v>400292</v>
      </c>
      <c r="H74" s="387">
        <f t="shared" si="15"/>
        <v>9.2520675999199359E-2</v>
      </c>
      <c r="I74" s="458">
        <f>SUM(I68:I73)</f>
        <v>465324</v>
      </c>
      <c r="J74" s="387">
        <f t="shared" si="16"/>
        <v>0.10014684433187981</v>
      </c>
      <c r="K74" s="387">
        <f t="shared" si="19"/>
        <v>0.16246140317568175</v>
      </c>
      <c r="L74" s="458">
        <f t="shared" ref="L74:R74" si="29">SUM(L68:L73)</f>
        <v>201982</v>
      </c>
      <c r="M74" s="458">
        <f t="shared" si="29"/>
        <v>230163</v>
      </c>
      <c r="N74" s="395">
        <f t="shared" si="29"/>
        <v>198310</v>
      </c>
      <c r="O74" s="395">
        <f t="shared" si="29"/>
        <v>235161</v>
      </c>
      <c r="P74" s="395">
        <f t="shared" si="29"/>
        <v>233534</v>
      </c>
      <c r="Q74" s="395">
        <f t="shared" si="29"/>
        <v>243750</v>
      </c>
      <c r="R74" s="395">
        <f t="shared" si="29"/>
        <v>215470</v>
      </c>
      <c r="S74" s="387">
        <f t="shared" si="20"/>
        <v>8.9526701368806638E-2</v>
      </c>
      <c r="T74" s="395">
        <f>SUM(T68:T73)</f>
        <v>250547</v>
      </c>
      <c r="U74" s="387">
        <f t="shared" si="27"/>
        <v>9.08168905852694E-2</v>
      </c>
      <c r="V74" s="387">
        <f t="shared" si="21"/>
        <v>0.16279296421775652</v>
      </c>
      <c r="W74" s="395">
        <f t="shared" si="22"/>
        <v>849296</v>
      </c>
      <c r="X74" s="387">
        <f t="shared" si="23"/>
        <v>9.4198068204026014E-2</v>
      </c>
      <c r="Y74" s="395">
        <f t="shared" si="24"/>
        <v>959621</v>
      </c>
      <c r="Z74" s="387">
        <f t="shared" si="25"/>
        <v>9.6358606027944382E-2</v>
      </c>
      <c r="AA74" s="387">
        <f t="shared" si="28"/>
        <v>0.12990170682541777</v>
      </c>
    </row>
    <row r="75" spans="1:27" ht="15.75" thickBot="1" x14ac:dyDescent="0.3">
      <c r="A75" s="392" t="s">
        <v>51</v>
      </c>
      <c r="B75" s="460">
        <v>3241</v>
      </c>
      <c r="C75" s="384">
        <f t="shared" si="13"/>
        <v>1.5401466964780014E-3</v>
      </c>
      <c r="D75" s="456">
        <v>3427</v>
      </c>
      <c r="E75" s="407">
        <f t="shared" si="14"/>
        <v>1.5259989794019081E-3</v>
      </c>
      <c r="F75" s="384">
        <f t="shared" si="18"/>
        <v>5.7389694538722613E-2</v>
      </c>
      <c r="G75" s="460">
        <v>7034</v>
      </c>
      <c r="H75" s="384">
        <f t="shared" si="15"/>
        <v>1.6257892612851824E-3</v>
      </c>
      <c r="I75" s="456">
        <v>7114</v>
      </c>
      <c r="J75" s="407">
        <f t="shared" si="16"/>
        <v>1.5310722218862406E-3</v>
      </c>
      <c r="K75" s="384">
        <f t="shared" si="19"/>
        <v>1.1373329542223486E-2</v>
      </c>
      <c r="L75" s="460">
        <v>3241</v>
      </c>
      <c r="M75" s="456">
        <v>3427</v>
      </c>
      <c r="N75" s="396">
        <v>3793</v>
      </c>
      <c r="O75" s="456">
        <v>3687</v>
      </c>
      <c r="P75" s="396">
        <v>4025</v>
      </c>
      <c r="Q75" s="456">
        <v>8737</v>
      </c>
      <c r="R75" s="396">
        <v>4398</v>
      </c>
      <c r="S75" s="384">
        <f t="shared" si="20"/>
        <v>1.8273468817933429E-3</v>
      </c>
      <c r="T75" s="456">
        <v>6443</v>
      </c>
      <c r="U75" s="384">
        <f t="shared" si="27"/>
        <v>2.335422998642533E-3</v>
      </c>
      <c r="V75" s="384">
        <f t="shared" si="21"/>
        <v>0.46498408367439747</v>
      </c>
      <c r="W75" s="396">
        <f t="shared" si="22"/>
        <v>15457</v>
      </c>
      <c r="X75" s="384">
        <f t="shared" si="23"/>
        <v>1.7143840783774209E-3</v>
      </c>
      <c r="Y75" s="402">
        <f t="shared" si="24"/>
        <v>22294</v>
      </c>
      <c r="Z75" s="407">
        <f t="shared" si="25"/>
        <v>2.2386116631326245E-3</v>
      </c>
      <c r="AA75" s="384">
        <f t="shared" si="28"/>
        <v>0.44232386620948438</v>
      </c>
    </row>
    <row r="76" spans="1:27" ht="15.75" thickBot="1" x14ac:dyDescent="0.3">
      <c r="A76" s="392" t="s">
        <v>11</v>
      </c>
      <c r="B76" s="460">
        <v>-71961</v>
      </c>
      <c r="C76" s="384">
        <f t="shared" si="13"/>
        <v>-3.4196388900109058E-2</v>
      </c>
      <c r="D76" s="456">
        <v>-72588</v>
      </c>
      <c r="E76" s="407">
        <f t="shared" si="14"/>
        <v>-3.2322501872432366E-2</v>
      </c>
      <c r="F76" s="384">
        <f t="shared" si="18"/>
        <v>8.7130529036561471E-3</v>
      </c>
      <c r="G76" s="460">
        <v>-133356</v>
      </c>
      <c r="H76" s="384">
        <f t="shared" si="15"/>
        <v>-3.0822967405167302E-2</v>
      </c>
      <c r="I76" s="456">
        <v>-147477</v>
      </c>
      <c r="J76" s="407">
        <f t="shared" si="16"/>
        <v>-3.1739940689783114E-2</v>
      </c>
      <c r="K76" s="384">
        <f t="shared" si="19"/>
        <v>0.10588949878520651</v>
      </c>
      <c r="L76" s="460">
        <v>-71961</v>
      </c>
      <c r="M76" s="456">
        <v>-72588</v>
      </c>
      <c r="N76" s="460">
        <v>-61395</v>
      </c>
      <c r="O76" s="456">
        <v>-74889</v>
      </c>
      <c r="P76" s="460">
        <v>-58084</v>
      </c>
      <c r="Q76" s="456">
        <v>-76301</v>
      </c>
      <c r="R76" s="460">
        <v>-55864</v>
      </c>
      <c r="S76" s="384">
        <f t="shared" si="20"/>
        <v>-2.3211211051501434E-2</v>
      </c>
      <c r="T76" s="456">
        <v>-78525</v>
      </c>
      <c r="U76" s="384">
        <f t="shared" si="27"/>
        <v>-2.8463307615769814E-2</v>
      </c>
      <c r="V76" s="384">
        <f t="shared" si="21"/>
        <v>0.40564585421738508</v>
      </c>
      <c r="W76" s="460">
        <f t="shared" si="22"/>
        <v>-247304</v>
      </c>
      <c r="X76" s="384">
        <f t="shared" si="23"/>
        <v>-2.7429257949087772E-2</v>
      </c>
      <c r="Y76" s="456">
        <f t="shared" si="24"/>
        <v>-302303</v>
      </c>
      <c r="Z76" s="407">
        <f t="shared" si="25"/>
        <v>-3.0355208648065925E-2</v>
      </c>
      <c r="AA76" s="384">
        <f t="shared" si="28"/>
        <v>0.22239430013263028</v>
      </c>
    </row>
    <row r="77" spans="1:27" ht="15.75" thickBot="1" x14ac:dyDescent="0.3">
      <c r="A77" s="392" t="s">
        <v>272</v>
      </c>
      <c r="B77" s="460">
        <v>32336</v>
      </c>
      <c r="C77" s="384">
        <f t="shared" si="13"/>
        <v>1.5366301628297642E-2</v>
      </c>
      <c r="D77" s="456">
        <v>61493</v>
      </c>
      <c r="E77" s="407">
        <f t="shared" si="14"/>
        <v>2.7382041213995196E-2</v>
      </c>
      <c r="F77" s="384">
        <f t="shared" si="18"/>
        <v>0.90168852053438897</v>
      </c>
      <c r="G77" s="460">
        <v>58559</v>
      </c>
      <c r="H77" s="384">
        <f t="shared" si="15"/>
        <v>1.3534915176513932E-2</v>
      </c>
      <c r="I77" s="456">
        <v>61503</v>
      </c>
      <c r="J77" s="407">
        <f t="shared" si="16"/>
        <v>1.3236650950614205E-2</v>
      </c>
      <c r="K77" s="384">
        <f t="shared" si="19"/>
        <v>5.0274082549223859E-2</v>
      </c>
      <c r="L77" s="460">
        <v>32336</v>
      </c>
      <c r="M77" s="456">
        <v>61493</v>
      </c>
      <c r="N77" s="396">
        <v>26223</v>
      </c>
      <c r="O77" s="456">
        <v>10</v>
      </c>
      <c r="P77" s="396">
        <v>0</v>
      </c>
      <c r="Q77" s="456">
        <v>13</v>
      </c>
      <c r="R77" s="396">
        <v>292</v>
      </c>
      <c r="S77" s="384">
        <f t="shared" si="20"/>
        <v>1.2132453148787086E-4</v>
      </c>
      <c r="T77" s="456">
        <v>0</v>
      </c>
      <c r="U77" s="384">
        <f t="shared" si="27"/>
        <v>0</v>
      </c>
      <c r="V77" s="384">
        <f t="shared" si="21"/>
        <v>-1</v>
      </c>
      <c r="W77" s="396">
        <f t="shared" si="22"/>
        <v>58851</v>
      </c>
      <c r="X77" s="384">
        <f t="shared" si="23"/>
        <v>6.5273479586329562E-3</v>
      </c>
      <c r="Y77" s="456">
        <f t="shared" si="24"/>
        <v>61516</v>
      </c>
      <c r="Z77" s="407">
        <f t="shared" si="25"/>
        <v>6.1770178105887922E-3</v>
      </c>
      <c r="AA77" s="384">
        <f t="shared" si="28"/>
        <v>4.5283852440910093E-2</v>
      </c>
    </row>
    <row r="78" spans="1:27" ht="15.75" thickBot="1" x14ac:dyDescent="0.3">
      <c r="A78" s="392" t="s">
        <v>200</v>
      </c>
      <c r="B78" s="460">
        <v>-2666</v>
      </c>
      <c r="C78" s="384">
        <f t="shared" si="13"/>
        <v>-1.2669025278649652E-3</v>
      </c>
      <c r="D78" s="456">
        <v>702</v>
      </c>
      <c r="E78" s="407">
        <f t="shared" si="14"/>
        <v>3.1259156216519973E-4</v>
      </c>
      <c r="F78" s="384">
        <f t="shared" si="18"/>
        <v>-1.2633158289572393</v>
      </c>
      <c r="G78" s="460">
        <v>10585</v>
      </c>
      <c r="H78" s="384">
        <f t="shared" si="15"/>
        <v>2.4465424126675658E-3</v>
      </c>
      <c r="I78" s="456">
        <v>-735</v>
      </c>
      <c r="J78" s="407">
        <f t="shared" si="16"/>
        <v>-1.5818640470711089E-4</v>
      </c>
      <c r="K78" s="384">
        <f t="shared" si="19"/>
        <v>-1.0694378837978271</v>
      </c>
      <c r="L78" s="460">
        <v>-2666</v>
      </c>
      <c r="M78" s="456">
        <v>702</v>
      </c>
      <c r="N78" s="460">
        <v>13251</v>
      </c>
      <c r="O78" s="456">
        <v>-1437</v>
      </c>
      <c r="P78" s="460">
        <v>4505</v>
      </c>
      <c r="Q78" s="456">
        <v>7478</v>
      </c>
      <c r="R78" s="460">
        <v>8023</v>
      </c>
      <c r="S78" s="384">
        <f t="shared" si="20"/>
        <v>3.3335161511205066E-3</v>
      </c>
      <c r="T78" s="456">
        <v>-11203</v>
      </c>
      <c r="U78" s="384">
        <f t="shared" si="27"/>
        <v>-4.0608014672966477E-3</v>
      </c>
      <c r="V78" s="384">
        <f t="shared" si="21"/>
        <v>-2.3963604636669573</v>
      </c>
      <c r="W78" s="460">
        <f t="shared" si="22"/>
        <v>23113</v>
      </c>
      <c r="X78" s="384">
        <f t="shared" si="23"/>
        <v>2.5635349164480382E-3</v>
      </c>
      <c r="Y78" s="456">
        <f t="shared" si="24"/>
        <v>-4460</v>
      </c>
      <c r="Z78" s="407">
        <f t="shared" si="25"/>
        <v>-4.4784282845480871E-4</v>
      </c>
      <c r="AA78" s="384">
        <f t="shared" si="28"/>
        <v>-1.1929649980530437</v>
      </c>
    </row>
    <row r="79" spans="1:27" ht="15.75" thickBot="1" x14ac:dyDescent="0.3">
      <c r="A79" s="392" t="s">
        <v>275</v>
      </c>
      <c r="B79" s="460">
        <v>-2327</v>
      </c>
      <c r="C79" s="384">
        <f t="shared" si="13"/>
        <v>-1.1058072701957142E-3</v>
      </c>
      <c r="D79" s="456">
        <v>-377</v>
      </c>
      <c r="E79" s="407">
        <f t="shared" si="14"/>
        <v>-1.6787324634797763E-4</v>
      </c>
      <c r="F79" s="384">
        <f t="shared" si="18"/>
        <v>-0.83798882681564246</v>
      </c>
      <c r="G79" s="460">
        <v>-704</v>
      </c>
      <c r="H79" s="384">
        <f t="shared" si="15"/>
        <v>-1.6271760590627927E-4</v>
      </c>
      <c r="I79" s="456">
        <v>-900</v>
      </c>
      <c r="J79" s="407">
        <f t="shared" si="16"/>
        <v>-1.9369763841687047E-4</v>
      </c>
      <c r="K79" s="384">
        <f t="shared" si="19"/>
        <v>0.27840909090909088</v>
      </c>
      <c r="L79" s="460">
        <v>-2327</v>
      </c>
      <c r="M79" s="456">
        <v>-377</v>
      </c>
      <c r="N79" s="464">
        <v>1623</v>
      </c>
      <c r="O79" s="456">
        <v>-523</v>
      </c>
      <c r="P79" s="464">
        <v>639</v>
      </c>
      <c r="Q79" s="456">
        <v>-770</v>
      </c>
      <c r="R79" s="460">
        <v>-335</v>
      </c>
      <c r="S79" s="384">
        <f t="shared" si="20"/>
        <v>-1.3919081523437241E-4</v>
      </c>
      <c r="T79" s="456">
        <v>-598</v>
      </c>
      <c r="U79" s="384">
        <f t="shared" si="27"/>
        <v>-2.1675973198637821E-4</v>
      </c>
      <c r="V79" s="384">
        <f t="shared" si="21"/>
        <v>0.78507462686567164</v>
      </c>
      <c r="W79" s="460">
        <f t="shared" si="22"/>
        <v>-400</v>
      </c>
      <c r="X79" s="384">
        <f t="shared" si="23"/>
        <v>-4.4365247548099139E-5</v>
      </c>
      <c r="Y79" s="456">
        <f t="shared" si="24"/>
        <v>-2268</v>
      </c>
      <c r="Z79" s="407">
        <f t="shared" si="25"/>
        <v>-2.2773711545639151E-4</v>
      </c>
      <c r="AA79" s="384" t="s">
        <v>131</v>
      </c>
    </row>
    <row r="80" spans="1:27" ht="15.75" thickBot="1" x14ac:dyDescent="0.3">
      <c r="A80" s="392" t="s">
        <v>308</v>
      </c>
      <c r="B80" s="460">
        <v>0</v>
      </c>
      <c r="C80" s="384">
        <f t="shared" si="13"/>
        <v>0</v>
      </c>
      <c r="D80" s="456">
        <v>0</v>
      </c>
      <c r="E80" s="407">
        <f>+D80/$D$66</f>
        <v>0</v>
      </c>
      <c r="F80" s="384" t="s">
        <v>131</v>
      </c>
      <c r="G80" s="460">
        <v>-2755</v>
      </c>
      <c r="H80" s="384">
        <f t="shared" si="15"/>
        <v>-6.3677131288607876E-4</v>
      </c>
      <c r="I80" s="456">
        <v>0</v>
      </c>
      <c r="J80" s="407">
        <f t="shared" si="16"/>
        <v>0</v>
      </c>
      <c r="K80" s="384">
        <f t="shared" si="19"/>
        <v>-1</v>
      </c>
      <c r="L80" s="460">
        <v>0</v>
      </c>
      <c r="M80" s="456">
        <v>0</v>
      </c>
      <c r="N80" s="464">
        <v>-2755</v>
      </c>
      <c r="O80" s="456">
        <v>0</v>
      </c>
      <c r="P80" s="464">
        <v>8793</v>
      </c>
      <c r="Q80" s="456">
        <v>89</v>
      </c>
      <c r="R80" s="460">
        <v>-836</v>
      </c>
      <c r="S80" s="384">
        <f t="shared" si="20"/>
        <v>-3.473537956296577E-4</v>
      </c>
      <c r="T80" s="456">
        <v>625</v>
      </c>
      <c r="U80" s="384">
        <f t="shared" si="27"/>
        <v>2.2654654262790365E-4</v>
      </c>
      <c r="V80" s="384">
        <f t="shared" si="21"/>
        <v>-1.7476076555023923</v>
      </c>
      <c r="W80" s="460">
        <f t="shared" si="22"/>
        <v>5202</v>
      </c>
      <c r="X80" s="384">
        <f t="shared" si="23"/>
        <v>5.7697004436302931E-4</v>
      </c>
      <c r="Y80" s="456">
        <f t="shared" si="24"/>
        <v>714</v>
      </c>
      <c r="Z80" s="407">
        <f t="shared" si="25"/>
        <v>7.1695017828863993E-5</v>
      </c>
      <c r="AA80" s="384">
        <f t="shared" ref="AA80:AA86" si="30">(Y80-W80)/W80</f>
        <v>-0.86274509803921573</v>
      </c>
    </row>
    <row r="81" spans="1:27" ht="15.75" thickBot="1" x14ac:dyDescent="0.3">
      <c r="A81" s="393" t="s">
        <v>204</v>
      </c>
      <c r="B81" s="461">
        <f>SUM(B74:B80)</f>
        <v>160605</v>
      </c>
      <c r="C81" s="386">
        <f>+B81/$B$66</f>
        <v>7.6320660347994271E-2</v>
      </c>
      <c r="D81" s="457">
        <f>SUM(D74:D80)</f>
        <v>222820</v>
      </c>
      <c r="E81" s="408">
        <f>+D81/$D$66</f>
        <v>9.9218877324287469E-2</v>
      </c>
      <c r="F81" s="386">
        <f>(D81-B81)/B81</f>
        <v>0.38737897325737058</v>
      </c>
      <c r="G81" s="461">
        <f>SUM(G74:G80)</f>
        <v>339655</v>
      </c>
      <c r="H81" s="386">
        <f t="shared" si="15"/>
        <v>7.8505466525706377E-2</v>
      </c>
      <c r="I81" s="457">
        <f>SUM(I74:I80)</f>
        <v>384829</v>
      </c>
      <c r="J81" s="408">
        <f t="shared" si="16"/>
        <v>8.2822742771473154E-2</v>
      </c>
      <c r="K81" s="386">
        <f t="shared" si="19"/>
        <v>0.13299966142114794</v>
      </c>
      <c r="L81" s="461">
        <f t="shared" ref="L81:R81" si="31">SUM(L74:L80)</f>
        <v>160605</v>
      </c>
      <c r="M81" s="457">
        <f t="shared" si="31"/>
        <v>222820</v>
      </c>
      <c r="N81" s="397">
        <f t="shared" si="31"/>
        <v>179050</v>
      </c>
      <c r="O81" s="403">
        <f t="shared" si="31"/>
        <v>162009</v>
      </c>
      <c r="P81" s="397">
        <f t="shared" si="31"/>
        <v>193412</v>
      </c>
      <c r="Q81" s="403">
        <f t="shared" si="31"/>
        <v>182996</v>
      </c>
      <c r="R81" s="397">
        <f t="shared" si="31"/>
        <v>171148</v>
      </c>
      <c r="S81" s="386">
        <f t="shared" si="20"/>
        <v>7.1111133270842883E-2</v>
      </c>
      <c r="T81" s="403">
        <f>SUM(T74:T80)</f>
        <v>167289</v>
      </c>
      <c r="U81" s="386">
        <f>T81/$T$66</f>
        <v>6.0637991311486998E-2</v>
      </c>
      <c r="V81" s="386">
        <f t="shared" si="21"/>
        <v>-2.2547736462009488E-2</v>
      </c>
      <c r="W81" s="397">
        <f t="shared" si="22"/>
        <v>704215</v>
      </c>
      <c r="X81" s="386">
        <f t="shared" si="23"/>
        <v>7.8106682005211592E-2</v>
      </c>
      <c r="Y81" s="403">
        <f t="shared" si="24"/>
        <v>735114</v>
      </c>
      <c r="Z81" s="408">
        <f t="shared" si="25"/>
        <v>7.3815141927517536E-2</v>
      </c>
      <c r="AA81" s="386">
        <f t="shared" si="30"/>
        <v>4.387722499520743E-2</v>
      </c>
    </row>
    <row r="82" spans="1:27" ht="15.75" thickBot="1" x14ac:dyDescent="0.3">
      <c r="A82" s="392" t="s">
        <v>205</v>
      </c>
      <c r="B82" s="460">
        <v>-44069</v>
      </c>
      <c r="C82" s="384">
        <f t="shared" si="13"/>
        <v>-2.094190828975287E-2</v>
      </c>
      <c r="D82" s="456">
        <v>-43888</v>
      </c>
      <c r="E82" s="407">
        <f t="shared" si="14"/>
        <v>-1.9542761367957674E-2</v>
      </c>
      <c r="F82" s="384">
        <f t="shared" si="18"/>
        <v>-4.1071955342757947E-3</v>
      </c>
      <c r="G82" s="460">
        <v>-87429</v>
      </c>
      <c r="H82" s="384">
        <f t="shared" si="15"/>
        <v>-2.0207723816448992E-2</v>
      </c>
      <c r="I82" s="456">
        <v>-93443</v>
      </c>
      <c r="J82" s="407">
        <f t="shared" si="16"/>
        <v>-2.0110764918430696E-2</v>
      </c>
      <c r="K82" s="384">
        <f t="shared" si="19"/>
        <v>6.8787244506971365E-2</v>
      </c>
      <c r="L82" s="460">
        <v>-44069</v>
      </c>
      <c r="M82" s="456">
        <v>-43888</v>
      </c>
      <c r="N82" s="460">
        <v>-43360</v>
      </c>
      <c r="O82" s="456">
        <v>-49555</v>
      </c>
      <c r="P82" s="460">
        <v>-46946</v>
      </c>
      <c r="Q82" s="456">
        <v>-50026</v>
      </c>
      <c r="R82" s="460">
        <v>-30048</v>
      </c>
      <c r="S82" s="384">
        <f t="shared" si="20"/>
        <v>-1.2484792884066931E-2</v>
      </c>
      <c r="T82" s="456">
        <v>-64408</v>
      </c>
      <c r="U82" s="384">
        <f t="shared" si="27"/>
        <v>-2.334625554812483E-2</v>
      </c>
      <c r="V82" s="384">
        <f t="shared" si="21"/>
        <v>1.1435037273695421</v>
      </c>
      <c r="W82" s="468">
        <f t="shared" si="22"/>
        <v>-164423</v>
      </c>
      <c r="X82" s="384">
        <f t="shared" si="23"/>
        <v>-1.823666774400276E-2</v>
      </c>
      <c r="Y82" s="456">
        <f t="shared" si="24"/>
        <v>-207877</v>
      </c>
      <c r="Z82" s="407">
        <f t="shared" si="25"/>
        <v>-2.0873592746793783E-2</v>
      </c>
      <c r="AA82" s="384">
        <f t="shared" si="30"/>
        <v>0.26428176106749057</v>
      </c>
    </row>
    <row r="83" spans="1:27" ht="15.75" thickBot="1" x14ac:dyDescent="0.3">
      <c r="A83" s="394" t="s">
        <v>206</v>
      </c>
      <c r="B83" s="462">
        <v>5479</v>
      </c>
      <c r="C83" s="385">
        <f t="shared" si="13"/>
        <v>2.6036605214449153E-3</v>
      </c>
      <c r="D83" s="459">
        <v>-2661</v>
      </c>
      <c r="E83" s="409">
        <f t="shared" si="14"/>
        <v>-1.1849090411988554E-3</v>
      </c>
      <c r="F83" s="385">
        <f t="shared" si="18"/>
        <v>-1.485672567986859</v>
      </c>
      <c r="G83" s="462">
        <v>-5112</v>
      </c>
      <c r="H83" s="385">
        <f t="shared" si="15"/>
        <v>-1.1815517065240052E-3</v>
      </c>
      <c r="I83" s="459">
        <v>-7075</v>
      </c>
      <c r="J83" s="409">
        <f t="shared" si="16"/>
        <v>-1.5226786575548428E-3</v>
      </c>
      <c r="K83" s="385">
        <f t="shared" si="19"/>
        <v>0.3839984350547731</v>
      </c>
      <c r="L83" s="462">
        <v>5479</v>
      </c>
      <c r="M83" s="459">
        <v>-2661</v>
      </c>
      <c r="N83" s="399">
        <v>-10591</v>
      </c>
      <c r="O83" s="459">
        <v>-4414</v>
      </c>
      <c r="P83" s="460">
        <v>-4183</v>
      </c>
      <c r="Q83" s="459">
        <v>13497</v>
      </c>
      <c r="R83" s="460">
        <v>-15606</v>
      </c>
      <c r="S83" s="385">
        <f t="shared" si="20"/>
        <v>-6.4842145150675098E-3</v>
      </c>
      <c r="T83" s="459">
        <v>-3766</v>
      </c>
      <c r="U83" s="385">
        <f t="shared" si="27"/>
        <v>-1.3650788472586962E-3</v>
      </c>
      <c r="V83" s="385">
        <f t="shared" si="21"/>
        <v>-0.75868255799051643</v>
      </c>
      <c r="W83" s="468">
        <f t="shared" si="22"/>
        <v>-24901</v>
      </c>
      <c r="X83" s="385">
        <f t="shared" si="23"/>
        <v>-2.7618475729880416E-3</v>
      </c>
      <c r="Y83" s="456">
        <f t="shared" si="24"/>
        <v>2656</v>
      </c>
      <c r="Z83" s="409">
        <f t="shared" si="25"/>
        <v>2.6669743326815512E-4</v>
      </c>
      <c r="AA83" s="385">
        <f t="shared" si="30"/>
        <v>-1.1066623830368258</v>
      </c>
    </row>
    <row r="84" spans="1:27" ht="15.75" thickBot="1" x14ac:dyDescent="0.3">
      <c r="A84" s="393" t="s">
        <v>207</v>
      </c>
      <c r="B84" s="461">
        <f>SUM(B81:B83)</f>
        <v>122015</v>
      </c>
      <c r="C84" s="386">
        <f t="shared" si="13"/>
        <v>5.7982412579686317E-2</v>
      </c>
      <c r="D84" s="457">
        <f>SUM(D81:D83)</f>
        <v>176271</v>
      </c>
      <c r="E84" s="408">
        <f t="shared" si="14"/>
        <v>7.8491206915130951E-2</v>
      </c>
      <c r="F84" s="386">
        <f t="shared" si="18"/>
        <v>0.44466663934762118</v>
      </c>
      <c r="G84" s="461">
        <f>SUM(G81:G83)</f>
        <v>247114</v>
      </c>
      <c r="H84" s="386">
        <f t="shared" si="15"/>
        <v>5.711619100273338E-2</v>
      </c>
      <c r="I84" s="457">
        <f>SUM(I81:I83)</f>
        <v>284311</v>
      </c>
      <c r="J84" s="408">
        <f t="shared" si="16"/>
        <v>6.1189299195487622E-2</v>
      </c>
      <c r="K84" s="386">
        <f t="shared" si="19"/>
        <v>0.1505256683150287</v>
      </c>
      <c r="L84" s="461">
        <f t="shared" ref="L84:R84" si="32">SUM(L81:L83)</f>
        <v>122015</v>
      </c>
      <c r="M84" s="457">
        <f t="shared" si="32"/>
        <v>176271</v>
      </c>
      <c r="N84" s="397">
        <f t="shared" si="32"/>
        <v>125099</v>
      </c>
      <c r="O84" s="403">
        <f t="shared" si="32"/>
        <v>108040</v>
      </c>
      <c r="P84" s="397">
        <f t="shared" si="32"/>
        <v>142283</v>
      </c>
      <c r="Q84" s="403">
        <f t="shared" si="32"/>
        <v>146467</v>
      </c>
      <c r="R84" s="397">
        <f t="shared" si="32"/>
        <v>125494</v>
      </c>
      <c r="S84" s="386">
        <f t="shared" si="20"/>
        <v>5.2142125871708446E-2</v>
      </c>
      <c r="T84" s="403">
        <f>SUM(T81:T83)</f>
        <v>99115</v>
      </c>
      <c r="U84" s="386">
        <f t="shared" si="27"/>
        <v>3.5926656916103472E-2</v>
      </c>
      <c r="V84" s="386">
        <f t="shared" si="21"/>
        <v>-0.21020128452356288</v>
      </c>
      <c r="W84" s="397">
        <f t="shared" si="22"/>
        <v>514891</v>
      </c>
      <c r="X84" s="386">
        <f t="shared" si="23"/>
        <v>5.7108166688220781E-2</v>
      </c>
      <c r="Y84" s="403">
        <f t="shared" si="24"/>
        <v>529893</v>
      </c>
      <c r="Z84" s="408">
        <f t="shared" si="25"/>
        <v>5.3208246613991914E-2</v>
      </c>
      <c r="AA84" s="386">
        <f t="shared" si="30"/>
        <v>2.9136263791753984E-2</v>
      </c>
    </row>
    <row r="85" spans="1:27" ht="15.75" thickBot="1" x14ac:dyDescent="0.3">
      <c r="A85" s="392" t="s">
        <v>208</v>
      </c>
      <c r="B85" s="460">
        <v>-226</v>
      </c>
      <c r="C85" s="384">
        <f t="shared" si="13"/>
        <v>-1.0739683844616734E-4</v>
      </c>
      <c r="D85" s="456">
        <v>-842</v>
      </c>
      <c r="E85" s="407">
        <f t="shared" si="14"/>
        <v>-3.7493175974800312E-4</v>
      </c>
      <c r="F85" s="384">
        <f t="shared" si="18"/>
        <v>2.7256637168141591</v>
      </c>
      <c r="G85" s="460">
        <v>-843</v>
      </c>
      <c r="H85" s="467">
        <f t="shared" si="15"/>
        <v>-1.9484508775425205E-4</v>
      </c>
      <c r="I85" s="456">
        <v>-856</v>
      </c>
      <c r="J85" s="407">
        <f t="shared" si="16"/>
        <v>-1.8422797609426791E-4</v>
      </c>
      <c r="K85" s="384">
        <f t="shared" si="19"/>
        <v>1.542111506524318E-2</v>
      </c>
      <c r="L85" s="460">
        <v>-226</v>
      </c>
      <c r="M85" s="456">
        <v>-842</v>
      </c>
      <c r="N85" s="460">
        <v>-617</v>
      </c>
      <c r="O85" s="456">
        <v>-14</v>
      </c>
      <c r="P85" s="460">
        <v>-423</v>
      </c>
      <c r="Q85" s="456">
        <v>-13694</v>
      </c>
      <c r="R85" s="460">
        <v>-4869</v>
      </c>
      <c r="S85" s="467">
        <f t="shared" si="20"/>
        <v>-2.0230450130631619E-3</v>
      </c>
      <c r="T85" s="456">
        <v>-1902</v>
      </c>
      <c r="U85" s="467">
        <f t="shared" si="27"/>
        <v>-6.8942643852523634E-4</v>
      </c>
      <c r="V85" s="384">
        <f t="shared" si="21"/>
        <v>-0.60936537276648184</v>
      </c>
      <c r="W85" s="460">
        <f t="shared" si="22"/>
        <v>-6135</v>
      </c>
      <c r="X85" s="384">
        <f t="shared" si="23"/>
        <v>-6.8045198426897058E-4</v>
      </c>
      <c r="Y85" s="456">
        <f t="shared" si="24"/>
        <v>-16452</v>
      </c>
      <c r="Z85" s="407">
        <f t="shared" si="25"/>
        <v>-1.651997805770967E-3</v>
      </c>
      <c r="AA85" s="467">
        <f t="shared" si="30"/>
        <v>1.6816625916870416</v>
      </c>
    </row>
    <row r="86" spans="1:27" ht="15.75" thickBot="1" x14ac:dyDescent="0.3">
      <c r="A86" s="391" t="s">
        <v>209</v>
      </c>
      <c r="B86" s="458">
        <f>SUM(B84:B85)</f>
        <v>121789</v>
      </c>
      <c r="C86" s="387">
        <f t="shared" si="13"/>
        <v>5.7875015741240148E-2</v>
      </c>
      <c r="D86" s="395">
        <f>SUM(D84:D85)</f>
        <v>175429</v>
      </c>
      <c r="E86" s="387">
        <f t="shared" si="14"/>
        <v>7.8116275155382942E-2</v>
      </c>
      <c r="F86" s="387">
        <f t="shared" si="18"/>
        <v>0.44043386512739247</v>
      </c>
      <c r="G86" s="458">
        <f>SUM(G84:G85)</f>
        <v>246271</v>
      </c>
      <c r="H86" s="387">
        <f t="shared" si="15"/>
        <v>5.6921345914979125E-2</v>
      </c>
      <c r="I86" s="458">
        <f>SUM(I84:I85)</f>
        <v>283455</v>
      </c>
      <c r="J86" s="387">
        <f t="shared" si="16"/>
        <v>6.1005071219393352E-2</v>
      </c>
      <c r="K86" s="387">
        <f t="shared" si="19"/>
        <v>0.1509881390825554</v>
      </c>
      <c r="L86" s="458">
        <f t="shared" ref="L86:R86" si="33">SUM(L84:L85)</f>
        <v>121789</v>
      </c>
      <c r="M86" s="395">
        <f t="shared" si="33"/>
        <v>175429</v>
      </c>
      <c r="N86" s="395">
        <f t="shared" si="33"/>
        <v>124482</v>
      </c>
      <c r="O86" s="395">
        <f t="shared" si="33"/>
        <v>108026</v>
      </c>
      <c r="P86" s="395">
        <f t="shared" si="33"/>
        <v>141860</v>
      </c>
      <c r="Q86" s="395">
        <f t="shared" si="33"/>
        <v>132773</v>
      </c>
      <c r="R86" s="395">
        <f t="shared" si="33"/>
        <v>120625</v>
      </c>
      <c r="S86" s="387">
        <f t="shared" si="20"/>
        <v>5.011908085864529E-2</v>
      </c>
      <c r="T86" s="395">
        <f>SUM(T84:T85)</f>
        <v>97213</v>
      </c>
      <c r="U86" s="387">
        <f t="shared" si="27"/>
        <v>3.5237230477578235E-2</v>
      </c>
      <c r="V86" s="387">
        <f t="shared" si="21"/>
        <v>-0.19408911917098445</v>
      </c>
      <c r="W86" s="395">
        <f t="shared" si="22"/>
        <v>508756</v>
      </c>
      <c r="X86" s="387">
        <f t="shared" si="23"/>
        <v>5.642771470395181E-2</v>
      </c>
      <c r="Y86" s="395">
        <f t="shared" si="24"/>
        <v>513441</v>
      </c>
      <c r="Z86" s="387">
        <f t="shared" si="25"/>
        <v>5.1556248808220947E-2</v>
      </c>
      <c r="AA86" s="387">
        <f t="shared" si="30"/>
        <v>9.2087366045805856E-3</v>
      </c>
    </row>
    <row r="87" spans="1:27" x14ac:dyDescent="0.25">
      <c r="A87" s="289"/>
      <c r="B87" s="291"/>
      <c r="C87" s="292"/>
      <c r="D87" s="294"/>
      <c r="E87" s="292"/>
      <c r="F87" s="292"/>
      <c r="G87" s="291"/>
      <c r="I87" s="294"/>
      <c r="L87" s="291"/>
      <c r="M87" s="294"/>
      <c r="N87" s="263"/>
      <c r="O87" s="294"/>
      <c r="P87" s="263"/>
      <c r="Q87" s="263"/>
      <c r="R87" s="263"/>
      <c r="T87" s="294"/>
    </row>
    <row r="88" spans="1:27" x14ac:dyDescent="0.25">
      <c r="A88" s="295" t="s">
        <v>210</v>
      </c>
      <c r="B88" s="297"/>
      <c r="C88" s="298"/>
      <c r="D88" s="300"/>
      <c r="E88" s="298"/>
      <c r="F88" s="298"/>
      <c r="G88" s="297"/>
      <c r="I88" s="300"/>
      <c r="L88" s="297"/>
      <c r="M88" s="300"/>
      <c r="O88" s="300"/>
      <c r="T88" s="300"/>
    </row>
    <row r="89" spans="1:27" ht="15.75" thickBot="1" x14ac:dyDescent="0.3">
      <c r="A89" s="301" t="s">
        <v>211</v>
      </c>
      <c r="B89" s="274">
        <v>120867</v>
      </c>
      <c r="C89" s="384">
        <f>+B89/$B$66</f>
        <v>5.7436874656959763E-2</v>
      </c>
      <c r="D89" s="373">
        <v>174437</v>
      </c>
      <c r="E89" s="366">
        <f>+D89/$D$66</f>
        <v>7.7674550326796224E-2</v>
      </c>
      <c r="F89" s="384">
        <f>(D89-B89)/B89</f>
        <v>0.44321444232089818</v>
      </c>
      <c r="G89" s="274">
        <v>245137</v>
      </c>
      <c r="H89" s="384">
        <f>G89/$G$66</f>
        <v>5.6659241135010772E-2</v>
      </c>
      <c r="I89" s="373">
        <v>280920</v>
      </c>
      <c r="J89" s="366">
        <f>I89/$I$66</f>
        <v>6.0459489537852497E-2</v>
      </c>
      <c r="K89" s="384">
        <f>(I89-G89)/G89</f>
        <v>0.14597143638047297</v>
      </c>
      <c r="L89" s="274">
        <v>120867</v>
      </c>
      <c r="M89" s="373">
        <v>174437</v>
      </c>
      <c r="N89" s="274">
        <v>124270</v>
      </c>
      <c r="O89" s="373">
        <v>106483</v>
      </c>
      <c r="P89" s="274">
        <v>140732</v>
      </c>
      <c r="Q89" s="373">
        <v>131453</v>
      </c>
      <c r="R89" s="274">
        <v>119439</v>
      </c>
      <c r="S89" s="384">
        <f t="shared" si="20"/>
        <v>4.9626303823218525E-2</v>
      </c>
      <c r="T89" s="373">
        <v>94015</v>
      </c>
      <c r="U89" s="384">
        <f>T89/$T$66</f>
        <v>3.4078037128259776E-2</v>
      </c>
      <c r="V89" s="384">
        <f t="shared" si="21"/>
        <v>-0.21286179556091395</v>
      </c>
      <c r="W89" s="274">
        <f t="shared" si="22"/>
        <v>505308</v>
      </c>
      <c r="X89" s="384">
        <f>W89/$W$66</f>
        <v>5.6045286270087195E-2</v>
      </c>
      <c r="Y89" s="373">
        <f t="shared" si="24"/>
        <v>506388</v>
      </c>
      <c r="Z89" s="366">
        <f>Y89/$Y$66</f>
        <v>5.0848034577482881E-2</v>
      </c>
      <c r="AA89" s="384">
        <f>(Y89-W89)/W89</f>
        <v>2.1373103137096584E-3</v>
      </c>
    </row>
    <row r="90" spans="1:27" ht="15.75" thickBot="1" x14ac:dyDescent="0.3">
      <c r="A90" s="303" t="s">
        <v>188</v>
      </c>
      <c r="B90" s="304">
        <v>922</v>
      </c>
      <c r="C90" s="385">
        <f>+B90/$B$66</f>
        <v>4.3814108428038179E-4</v>
      </c>
      <c r="D90" s="374">
        <v>992</v>
      </c>
      <c r="E90" s="368">
        <f>+D90/$D$66</f>
        <v>4.4172482858672099E-4</v>
      </c>
      <c r="F90" s="385">
        <f>(D90-B90)/B90</f>
        <v>7.5921908893709325E-2</v>
      </c>
      <c r="G90" s="304">
        <v>1134</v>
      </c>
      <c r="H90" s="385">
        <f>G90/$G$66</f>
        <v>2.6210477996835329E-4</v>
      </c>
      <c r="I90" s="374">
        <v>2535</v>
      </c>
      <c r="J90" s="368">
        <f>I90/$I$66</f>
        <v>5.4558168154085181E-4</v>
      </c>
      <c r="K90" s="385">
        <f>(I90-G90)/G90</f>
        <v>1.2354497354497354</v>
      </c>
      <c r="L90" s="304">
        <v>922</v>
      </c>
      <c r="M90" s="374">
        <v>992</v>
      </c>
      <c r="N90" s="304">
        <v>212</v>
      </c>
      <c r="O90" s="374">
        <v>1543</v>
      </c>
      <c r="P90" s="304">
        <v>1128</v>
      </c>
      <c r="Q90" s="374">
        <v>1320</v>
      </c>
      <c r="R90" s="304">
        <v>1186</v>
      </c>
      <c r="S90" s="385">
        <f t="shared" si="20"/>
        <v>4.9277703542676321E-4</v>
      </c>
      <c r="T90" s="374">
        <v>3198</v>
      </c>
      <c r="U90" s="385">
        <f t="shared" si="27"/>
        <v>1.1591933493184574E-3</v>
      </c>
      <c r="V90" s="385">
        <f t="shared" si="21"/>
        <v>1.6964586846543002</v>
      </c>
      <c r="W90" s="319">
        <f t="shared" si="22"/>
        <v>3448</v>
      </c>
      <c r="X90" s="385">
        <f>W90/$W$66</f>
        <v>3.8242843386461457E-4</v>
      </c>
      <c r="Y90" s="466">
        <f t="shared" si="24"/>
        <v>7053</v>
      </c>
      <c r="Z90" s="368">
        <f>Y90/$Y$66</f>
        <v>7.0821423073806405E-4</v>
      </c>
      <c r="AA90" s="385">
        <f>(Y90-W90)/W90</f>
        <v>1.0455336426914152</v>
      </c>
    </row>
    <row r="91" spans="1:27" ht="15.75" thickBot="1" x14ac:dyDescent="0.3">
      <c r="A91" s="306" t="s">
        <v>212</v>
      </c>
      <c r="B91" s="278">
        <f>SUM(B89:B90)</f>
        <v>121789</v>
      </c>
      <c r="C91" s="386">
        <f>+B91/$B$66</f>
        <v>5.7875015741240148E-2</v>
      </c>
      <c r="D91" s="375">
        <f>SUM(D89:D90)</f>
        <v>175429</v>
      </c>
      <c r="E91" s="367">
        <f>+D91/$D$66</f>
        <v>7.8116275155382942E-2</v>
      </c>
      <c r="F91" s="386">
        <f>(D91-B91)/B91</f>
        <v>0.44043386512739247</v>
      </c>
      <c r="G91" s="278">
        <v>246271</v>
      </c>
      <c r="H91" s="386">
        <f>G91/$G$66</f>
        <v>5.6921345914979125E-2</v>
      </c>
      <c r="I91" s="375">
        <v>283455</v>
      </c>
      <c r="J91" s="367">
        <f>I91/$I$66</f>
        <v>6.1005071219393352E-2</v>
      </c>
      <c r="K91" s="386">
        <f>(I91-G91)/G91</f>
        <v>0.1509881390825554</v>
      </c>
      <c r="L91" s="278">
        <f t="shared" ref="L91:R91" si="34">SUM(L89:L90)</f>
        <v>121789</v>
      </c>
      <c r="M91" s="375">
        <f t="shared" si="34"/>
        <v>175429</v>
      </c>
      <c r="N91" s="278">
        <f t="shared" si="34"/>
        <v>124482</v>
      </c>
      <c r="O91" s="375">
        <f t="shared" si="34"/>
        <v>108026</v>
      </c>
      <c r="P91" s="278">
        <f t="shared" si="34"/>
        <v>141860</v>
      </c>
      <c r="Q91" s="375">
        <f t="shared" si="34"/>
        <v>132773</v>
      </c>
      <c r="R91" s="278">
        <f t="shared" si="34"/>
        <v>120625</v>
      </c>
      <c r="S91" s="386">
        <f t="shared" si="20"/>
        <v>5.011908085864529E-2</v>
      </c>
      <c r="T91" s="375">
        <f>SUM(T89:T90)</f>
        <v>97213</v>
      </c>
      <c r="U91" s="386">
        <f t="shared" si="27"/>
        <v>3.5237230477578235E-2</v>
      </c>
      <c r="V91" s="386">
        <f t="shared" si="21"/>
        <v>-0.19408911917098445</v>
      </c>
      <c r="W91" s="278">
        <f t="shared" si="22"/>
        <v>508756</v>
      </c>
      <c r="X91" s="386">
        <f>W91/$W$66</f>
        <v>5.642771470395181E-2</v>
      </c>
      <c r="Y91" s="375">
        <f t="shared" si="24"/>
        <v>513441</v>
      </c>
      <c r="Z91" s="367">
        <f>Y91/$Y$66</f>
        <v>5.1556248808220947E-2</v>
      </c>
      <c r="AA91" s="386">
        <f>(Y91-W91)/W91</f>
        <v>9.2087366045805856E-3</v>
      </c>
    </row>
    <row r="92" spans="1:27" ht="15.75" thickBot="1" x14ac:dyDescent="0.3">
      <c r="A92" s="369" t="s">
        <v>213</v>
      </c>
      <c r="B92" s="370">
        <v>273276</v>
      </c>
      <c r="C92" s="387">
        <f>+B92/$B$66</f>
        <v>0.12986273638590631</v>
      </c>
      <c r="D92" s="372">
        <v>320118</v>
      </c>
      <c r="E92" s="371">
        <f>+D92/$D$66</f>
        <v>0.14254442407008464</v>
      </c>
      <c r="F92" s="387">
        <f>(D92-B92)/B92</f>
        <v>0.17140912484082027</v>
      </c>
      <c r="G92" s="370">
        <v>540016</v>
      </c>
      <c r="H92" s="387">
        <f>G92/$G$66</f>
        <v>0.12481549811233709</v>
      </c>
      <c r="I92" s="372">
        <v>647994</v>
      </c>
      <c r="J92" s="371">
        <f>I92/$I$66</f>
        <v>0.13946100834255729</v>
      </c>
      <c r="K92" s="387">
        <f>(I92-G92)/G92</f>
        <v>0.1999533347160084</v>
      </c>
      <c r="L92" s="370">
        <v>273276</v>
      </c>
      <c r="M92" s="372">
        <v>320118</v>
      </c>
      <c r="N92" s="370">
        <v>266740</v>
      </c>
      <c r="O92" s="372">
        <v>327876</v>
      </c>
      <c r="P92" s="370">
        <v>300826</v>
      </c>
      <c r="Q92" s="372">
        <v>344458</v>
      </c>
      <c r="R92" s="370">
        <v>285580</v>
      </c>
      <c r="S92" s="387">
        <f t="shared" si="20"/>
        <v>0.1186570537750211</v>
      </c>
      <c r="T92" s="372">
        <v>354777</v>
      </c>
      <c r="U92" s="387">
        <f t="shared" si="27"/>
        <v>0.12859760440623963</v>
      </c>
      <c r="V92" s="387">
        <f t="shared" si="21"/>
        <v>0.24230338258981721</v>
      </c>
      <c r="W92" s="370">
        <f>L92+N92+P92+R92</f>
        <v>1126422</v>
      </c>
      <c r="X92" s="387">
        <f>W92/$W$66</f>
        <v>0.12493497718406232</v>
      </c>
      <c r="Y92" s="372">
        <f t="shared" si="24"/>
        <v>1347229</v>
      </c>
      <c r="Z92" s="371">
        <f>Y92/$Y$66</f>
        <v>0.13527956186913531</v>
      </c>
      <c r="AA92" s="387">
        <f>(Y92-W92)/W92</f>
        <v>0.19602511314587251</v>
      </c>
    </row>
    <row r="93" spans="1:27" x14ac:dyDescent="0.25">
      <c r="W93" s="469"/>
    </row>
  </sheetData>
  <mergeCells count="1">
    <mergeCell ref="A7:D7"/>
  </mergeCells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C81:C86 H81:H86 C91 S68 S74 S81 S84 S86 G18 D18 G30:J30 J18 G41:J41 G50:J50 D50 D30 D41 D56 S91" formula="1"/>
    <ignoredError sqref="F74:I74" formulaRange="1"/>
  </ignoredErrors>
  <drawing r:id="rId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0"/>
  <sheetViews>
    <sheetView topLeftCell="A52" zoomScaleNormal="100" workbookViewId="0">
      <selection activeCell="L15" sqref="L15"/>
    </sheetView>
  </sheetViews>
  <sheetFormatPr baseColWidth="10" defaultColWidth="11.42578125" defaultRowHeight="15" x14ac:dyDescent="0.25"/>
  <cols>
    <col min="1" max="1" width="50.85546875" style="229" bestFit="1" customWidth="1"/>
    <col min="2" max="6" width="11.42578125" style="229" customWidth="1"/>
    <col min="7" max="16384" width="11.42578125" style="229"/>
  </cols>
  <sheetData>
    <row r="1" spans="1:5" ht="18.75" x14ac:dyDescent="0.3">
      <c r="A1" s="228" t="s">
        <v>157</v>
      </c>
      <c r="B1" s="362"/>
      <c r="C1" s="362"/>
      <c r="D1" s="362"/>
      <c r="E1" s="362"/>
    </row>
    <row r="2" spans="1:5" x14ac:dyDescent="0.25">
      <c r="A2" s="332" t="s">
        <v>322</v>
      </c>
      <c r="B2" s="362"/>
      <c r="C2" s="362"/>
      <c r="D2" s="362"/>
      <c r="E2" s="362"/>
    </row>
    <row r="3" spans="1:5" x14ac:dyDescent="0.25">
      <c r="A3" s="332" t="s">
        <v>88</v>
      </c>
      <c r="B3" s="362"/>
      <c r="C3" s="362"/>
      <c r="D3" s="362"/>
      <c r="E3" s="362"/>
    </row>
    <row r="4" spans="1:5" x14ac:dyDescent="0.25">
      <c r="A4" s="231" t="s">
        <v>159</v>
      </c>
      <c r="B4" s="362"/>
      <c r="C4" s="362"/>
      <c r="D4" s="362"/>
      <c r="E4" s="362"/>
    </row>
    <row r="5" spans="1:5" x14ac:dyDescent="0.25">
      <c r="A5" s="231"/>
      <c r="B5" s="362"/>
      <c r="C5" s="362"/>
      <c r="D5" s="362"/>
      <c r="E5" s="362"/>
    </row>
    <row r="6" spans="1:5" ht="7.5" customHeight="1" x14ac:dyDescent="0.25">
      <c r="A6" s="231"/>
      <c r="B6" s="362"/>
      <c r="C6" s="362"/>
      <c r="D6" s="362"/>
      <c r="E6" s="362"/>
    </row>
    <row r="7" spans="1:5" ht="15.75" thickBot="1" x14ac:dyDescent="0.3"/>
    <row r="8" spans="1:5" ht="23.25" thickBot="1" x14ac:dyDescent="0.3">
      <c r="A8" s="337"/>
      <c r="B8" s="338" t="s">
        <v>323</v>
      </c>
      <c r="C8" s="410" t="s">
        <v>325</v>
      </c>
      <c r="D8" s="420" t="s">
        <v>140</v>
      </c>
    </row>
    <row r="9" spans="1:5" ht="15.75" thickTop="1" x14ac:dyDescent="0.25">
      <c r="A9" s="376" t="s">
        <v>20</v>
      </c>
      <c r="B9" s="377"/>
      <c r="C9" s="411"/>
      <c r="D9" s="411"/>
    </row>
    <row r="10" spans="1:5" x14ac:dyDescent="0.25">
      <c r="A10" s="378" t="s">
        <v>160</v>
      </c>
      <c r="B10" s="379"/>
      <c r="C10" s="412"/>
      <c r="D10" s="421"/>
    </row>
    <row r="11" spans="1:5" ht="15.75" thickBot="1" x14ac:dyDescent="0.3">
      <c r="A11" s="240" t="s">
        <v>161</v>
      </c>
      <c r="B11" s="242">
        <v>497947</v>
      </c>
      <c r="C11" s="413">
        <v>578829</v>
      </c>
      <c r="D11" s="422">
        <f t="shared" ref="D11:D16" si="0">(C11-B11)/B11</f>
        <v>0.16243094144557554</v>
      </c>
    </row>
    <row r="12" spans="1:5" ht="15.75" thickBot="1" x14ac:dyDescent="0.3">
      <c r="A12" s="240" t="s">
        <v>298</v>
      </c>
      <c r="B12" s="242">
        <v>1166248</v>
      </c>
      <c r="C12" s="413">
        <v>1355381</v>
      </c>
      <c r="D12" s="422">
        <f t="shared" si="0"/>
        <v>0.1621721966511411</v>
      </c>
    </row>
    <row r="13" spans="1:5" ht="15.75" thickBot="1" x14ac:dyDescent="0.3">
      <c r="A13" s="240" t="s">
        <v>36</v>
      </c>
      <c r="B13" s="242">
        <v>1248128</v>
      </c>
      <c r="C13" s="413">
        <v>1321073</v>
      </c>
      <c r="D13" s="422">
        <f t="shared" si="0"/>
        <v>5.8443525023074559E-2</v>
      </c>
    </row>
    <row r="14" spans="1:5" ht="15.75" thickBot="1" x14ac:dyDescent="0.3">
      <c r="A14" s="240" t="s">
        <v>163</v>
      </c>
      <c r="B14" s="242">
        <v>96632</v>
      </c>
      <c r="C14" s="413">
        <v>96842</v>
      </c>
      <c r="D14" s="422">
        <f t="shared" si="0"/>
        <v>2.1731931451279079E-3</v>
      </c>
    </row>
    <row r="15" spans="1:5" ht="15.75" thickBot="1" x14ac:dyDescent="0.3">
      <c r="A15" s="240" t="s">
        <v>283</v>
      </c>
      <c r="B15" s="242">
        <v>251397</v>
      </c>
      <c r="C15" s="413">
        <v>356174</v>
      </c>
      <c r="D15" s="422">
        <f t="shared" si="0"/>
        <v>0.41677903873156802</v>
      </c>
    </row>
    <row r="16" spans="1:5" ht="15.75" thickBot="1" x14ac:dyDescent="0.3">
      <c r="A16" s="245" t="s">
        <v>165</v>
      </c>
      <c r="B16" s="247">
        <v>2610</v>
      </c>
      <c r="C16" s="414">
        <v>2610</v>
      </c>
      <c r="D16" s="422">
        <f t="shared" si="0"/>
        <v>0</v>
      </c>
    </row>
    <row r="17" spans="1:4" ht="15.75" thickBot="1" x14ac:dyDescent="0.3">
      <c r="A17" s="249" t="s">
        <v>166</v>
      </c>
      <c r="B17" s="250">
        <f>SUM(B11:B16)</f>
        <v>3262962</v>
      </c>
      <c r="C17" s="415">
        <f>SUM(C11:C16)</f>
        <v>3710909</v>
      </c>
      <c r="D17" s="424">
        <f>(C17-B17)/B17</f>
        <v>0.13728232201294407</v>
      </c>
    </row>
    <row r="18" spans="1:4" x14ac:dyDescent="0.25">
      <c r="A18" s="378" t="s">
        <v>167</v>
      </c>
      <c r="B18" s="379"/>
      <c r="C18" s="412"/>
      <c r="D18" s="421"/>
    </row>
    <row r="19" spans="1:4" ht="15.75" thickBot="1" x14ac:dyDescent="0.3">
      <c r="A19" s="240" t="s">
        <v>298</v>
      </c>
      <c r="B19" s="242">
        <v>25409</v>
      </c>
      <c r="C19" s="413">
        <v>24602</v>
      </c>
      <c r="D19" s="422">
        <f t="shared" ref="D19:D30" si="1">(C19-B19)/B19</f>
        <v>-3.1760399858317918E-2</v>
      </c>
    </row>
    <row r="20" spans="1:4" ht="15.75" thickBot="1" x14ac:dyDescent="0.3">
      <c r="A20" s="240" t="s">
        <v>169</v>
      </c>
      <c r="B20" s="242">
        <v>193360</v>
      </c>
      <c r="C20" s="413">
        <v>195447</v>
      </c>
      <c r="D20" s="422">
        <f t="shared" si="1"/>
        <v>1.079333884981382E-2</v>
      </c>
    </row>
    <row r="21" spans="1:4" ht="15.75" thickBot="1" x14ac:dyDescent="0.3">
      <c r="A21" s="240" t="s">
        <v>170</v>
      </c>
      <c r="B21" s="242">
        <v>3511768</v>
      </c>
      <c r="C21" s="413">
        <v>2224803</v>
      </c>
      <c r="D21" s="422">
        <f t="shared" si="1"/>
        <v>-0.36647210180171358</v>
      </c>
    </row>
    <row r="22" spans="1:4" ht="15.75" thickBot="1" x14ac:dyDescent="0.3">
      <c r="A22" s="240" t="s">
        <v>171</v>
      </c>
      <c r="B22" s="242">
        <v>3400057</v>
      </c>
      <c r="C22" s="413">
        <v>3536783</v>
      </c>
      <c r="D22" s="422">
        <f t="shared" si="1"/>
        <v>4.0212855255073662E-2</v>
      </c>
    </row>
    <row r="23" spans="1:4" ht="15.75" thickBot="1" x14ac:dyDescent="0.3">
      <c r="A23" s="240" t="s">
        <v>295</v>
      </c>
      <c r="B23" s="242">
        <v>878552</v>
      </c>
      <c r="C23" s="413">
        <v>896574</v>
      </c>
      <c r="D23" s="422">
        <f t="shared" si="1"/>
        <v>2.0513299155883773E-2</v>
      </c>
    </row>
    <row r="24" spans="1:4" ht="15.75" thickBot="1" x14ac:dyDescent="0.3">
      <c r="A24" s="240" t="s">
        <v>141</v>
      </c>
      <c r="B24" s="242">
        <v>79489</v>
      </c>
      <c r="C24" s="413">
        <v>79401</v>
      </c>
      <c r="D24" s="422">
        <f t="shared" si="1"/>
        <v>-1.1070714186868624E-3</v>
      </c>
    </row>
    <row r="25" spans="1:4" ht="15.75" thickBot="1" x14ac:dyDescent="0.3">
      <c r="A25" s="240" t="s">
        <v>247</v>
      </c>
      <c r="B25" s="242">
        <v>2309739</v>
      </c>
      <c r="C25" s="413">
        <v>2478655</v>
      </c>
      <c r="D25" s="422">
        <f t="shared" si="1"/>
        <v>7.3132072498234654E-2</v>
      </c>
    </row>
    <row r="26" spans="1:4" ht="15.75" thickBot="1" x14ac:dyDescent="0.3">
      <c r="A26" s="240" t="s">
        <v>173</v>
      </c>
      <c r="B26" s="242">
        <v>1248973</v>
      </c>
      <c r="C26" s="413">
        <v>1343011</v>
      </c>
      <c r="D26" s="422">
        <f t="shared" si="1"/>
        <v>7.5292260120915347E-2</v>
      </c>
    </row>
    <row r="27" spans="1:4" ht="15.75" thickBot="1" x14ac:dyDescent="0.3">
      <c r="A27" s="240" t="s">
        <v>274</v>
      </c>
      <c r="B27" s="242">
        <v>654496</v>
      </c>
      <c r="C27" s="413">
        <v>686449</v>
      </c>
      <c r="D27" s="422">
        <f t="shared" si="1"/>
        <v>4.8820772013885495E-2</v>
      </c>
    </row>
    <row r="28" spans="1:4" ht="15.75" thickBot="1" x14ac:dyDescent="0.3">
      <c r="A28" s="245" t="s">
        <v>283</v>
      </c>
      <c r="B28" s="247">
        <v>80436</v>
      </c>
      <c r="C28" s="414">
        <v>80867</v>
      </c>
      <c r="D28" s="423">
        <f t="shared" si="1"/>
        <v>5.3582972798249537E-3</v>
      </c>
    </row>
    <row r="29" spans="1:4" ht="15.75" thickBot="1" x14ac:dyDescent="0.3">
      <c r="A29" s="249" t="s">
        <v>175</v>
      </c>
      <c r="B29" s="250">
        <f>SUM(B19:B28)</f>
        <v>12382279</v>
      </c>
      <c r="C29" s="415">
        <f>SUM(C19:C28)</f>
        <v>11546592</v>
      </c>
      <c r="D29" s="424">
        <f t="shared" si="1"/>
        <v>-6.7490564539855705E-2</v>
      </c>
    </row>
    <row r="30" spans="1:4" ht="15.75" thickBot="1" x14ac:dyDescent="0.3">
      <c r="A30" s="382" t="s">
        <v>176</v>
      </c>
      <c r="B30" s="383">
        <f>+B17+B29</f>
        <v>15645241</v>
      </c>
      <c r="C30" s="416">
        <f>+C17+C29</f>
        <v>15257501</v>
      </c>
      <c r="D30" s="425">
        <f t="shared" si="1"/>
        <v>-2.4783255176446306E-2</v>
      </c>
    </row>
    <row r="31" spans="1:4" x14ac:dyDescent="0.25">
      <c r="A31" s="376" t="s">
        <v>142</v>
      </c>
      <c r="B31" s="377"/>
      <c r="C31" s="411"/>
      <c r="D31" s="411"/>
    </row>
    <row r="32" spans="1:4" x14ac:dyDescent="0.25">
      <c r="A32" s="378" t="s">
        <v>177</v>
      </c>
      <c r="B32" s="379"/>
      <c r="C32" s="412"/>
      <c r="D32" s="421"/>
    </row>
    <row r="33" spans="1:4" ht="15.75" thickBot="1" x14ac:dyDescent="0.3">
      <c r="A33" s="240" t="s">
        <v>28</v>
      </c>
      <c r="B33" s="242">
        <v>527196</v>
      </c>
      <c r="C33" s="413">
        <v>464550</v>
      </c>
      <c r="D33" s="422">
        <f t="shared" ref="D33:D40" si="2">(C33-B33)/B33</f>
        <v>-0.11882867093073544</v>
      </c>
    </row>
    <row r="34" spans="1:4" ht="15.75" thickBot="1" x14ac:dyDescent="0.3">
      <c r="A34" s="240" t="s">
        <v>296</v>
      </c>
      <c r="B34" s="242">
        <v>147242</v>
      </c>
      <c r="C34" s="413">
        <v>145747</v>
      </c>
      <c r="D34" s="422">
        <f t="shared" si="2"/>
        <v>-1.0153352983523723E-2</v>
      </c>
    </row>
    <row r="35" spans="1:4" ht="15.75" thickBot="1" x14ac:dyDescent="0.3">
      <c r="A35" s="240" t="s">
        <v>178</v>
      </c>
      <c r="B35" s="242">
        <v>1235133</v>
      </c>
      <c r="C35" s="413">
        <v>1341476</v>
      </c>
      <c r="D35" s="422">
        <f t="shared" si="2"/>
        <v>8.6098420170135526E-2</v>
      </c>
    </row>
    <row r="36" spans="1:4" ht="15.75" thickBot="1" x14ac:dyDescent="0.3">
      <c r="A36" s="240" t="s">
        <v>257</v>
      </c>
      <c r="B36" s="242">
        <v>214542</v>
      </c>
      <c r="C36" s="413">
        <v>235930</v>
      </c>
      <c r="D36" s="422">
        <f t="shared" si="2"/>
        <v>9.9691435709558032E-2</v>
      </c>
    </row>
    <row r="37" spans="1:4" ht="15.75" thickBot="1" x14ac:dyDescent="0.3">
      <c r="A37" s="240" t="s">
        <v>179</v>
      </c>
      <c r="B37" s="242">
        <v>191864</v>
      </c>
      <c r="C37" s="413">
        <v>160008</v>
      </c>
      <c r="D37" s="422">
        <f t="shared" si="2"/>
        <v>-0.1660342742776133</v>
      </c>
    </row>
    <row r="38" spans="1:4" ht="15.75" thickBot="1" x14ac:dyDescent="0.3">
      <c r="A38" s="240" t="s">
        <v>326</v>
      </c>
      <c r="B38" s="242">
        <v>1948</v>
      </c>
      <c r="C38" s="413">
        <v>2033</v>
      </c>
      <c r="D38" s="422">
        <f t="shared" si="2"/>
        <v>4.3634496919917866E-2</v>
      </c>
    </row>
    <row r="39" spans="1:4" ht="15.75" thickBot="1" x14ac:dyDescent="0.3">
      <c r="A39" s="245" t="s">
        <v>319</v>
      </c>
      <c r="B39" s="247">
        <v>29912</v>
      </c>
      <c r="C39" s="414">
        <v>74454</v>
      </c>
      <c r="D39" s="423">
        <f t="shared" si="2"/>
        <v>1.4891013640010697</v>
      </c>
    </row>
    <row r="40" spans="1:4" ht="15.75" thickBot="1" x14ac:dyDescent="0.3">
      <c r="A40" s="249" t="s">
        <v>181</v>
      </c>
      <c r="B40" s="250">
        <f>SUM(B33:B39)</f>
        <v>2347837</v>
      </c>
      <c r="C40" s="415">
        <f>SUM(C33:C39)</f>
        <v>2424198</v>
      </c>
      <c r="D40" s="424">
        <f t="shared" si="2"/>
        <v>3.2523978453359415E-2</v>
      </c>
    </row>
    <row r="41" spans="1:4" x14ac:dyDescent="0.25">
      <c r="A41" s="378" t="s">
        <v>182</v>
      </c>
      <c r="B41" s="379"/>
      <c r="C41" s="412"/>
      <c r="D41" s="421"/>
    </row>
    <row r="42" spans="1:4" ht="15.75" thickBot="1" x14ac:dyDescent="0.3">
      <c r="A42" s="240" t="s">
        <v>28</v>
      </c>
      <c r="B42" s="242">
        <v>2680014</v>
      </c>
      <c r="C42" s="413">
        <v>3074884</v>
      </c>
      <c r="D42" s="422">
        <f t="shared" ref="D42:D50" si="3">(C42-B42)/B42</f>
        <v>0.14733878255859859</v>
      </c>
    </row>
    <row r="43" spans="1:4" ht="15.75" thickBot="1" x14ac:dyDescent="0.3">
      <c r="A43" s="240" t="s">
        <v>296</v>
      </c>
      <c r="B43" s="242">
        <v>745313</v>
      </c>
      <c r="C43" s="413">
        <v>772638</v>
      </c>
      <c r="D43" s="422">
        <f t="shared" si="3"/>
        <v>3.6662449199195507E-2</v>
      </c>
    </row>
    <row r="44" spans="1:4" ht="15.75" thickBot="1" x14ac:dyDescent="0.3">
      <c r="A44" s="240" t="s">
        <v>178</v>
      </c>
      <c r="B44" s="241">
        <v>158</v>
      </c>
      <c r="C44" s="417">
        <v>158</v>
      </c>
      <c r="D44" s="422">
        <f t="shared" si="3"/>
        <v>0</v>
      </c>
    </row>
    <row r="45" spans="1:4" ht="15.75" thickBot="1" x14ac:dyDescent="0.3">
      <c r="A45" s="240" t="s">
        <v>179</v>
      </c>
      <c r="B45" s="242">
        <v>189295</v>
      </c>
      <c r="C45" s="413">
        <v>190792</v>
      </c>
      <c r="D45" s="422">
        <f t="shared" si="3"/>
        <v>7.9082912913706113E-3</v>
      </c>
    </row>
    <row r="46" spans="1:4" ht="15.75" thickBot="1" x14ac:dyDescent="0.3">
      <c r="A46" s="240" t="s">
        <v>183</v>
      </c>
      <c r="B46" s="242">
        <v>984035</v>
      </c>
      <c r="C46" s="413">
        <v>1017103</v>
      </c>
      <c r="D46" s="422">
        <f t="shared" si="3"/>
        <v>3.3604495775048648E-2</v>
      </c>
    </row>
    <row r="47" spans="1:4" ht="15.75" thickBot="1" x14ac:dyDescent="0.3">
      <c r="A47" s="240" t="s">
        <v>297</v>
      </c>
      <c r="B47" s="242">
        <v>13238</v>
      </c>
      <c r="C47" s="413">
        <v>13520</v>
      </c>
      <c r="D47" s="422">
        <f t="shared" si="3"/>
        <v>2.1302311527421059E-2</v>
      </c>
    </row>
    <row r="48" spans="1:4" ht="15.75" thickBot="1" x14ac:dyDescent="0.3">
      <c r="A48" s="245" t="s">
        <v>143</v>
      </c>
      <c r="B48" s="246">
        <v>487</v>
      </c>
      <c r="C48" s="418">
        <v>0</v>
      </c>
      <c r="D48" s="422">
        <f t="shared" si="3"/>
        <v>-1</v>
      </c>
    </row>
    <row r="49" spans="1:20" ht="15.75" thickBot="1" x14ac:dyDescent="0.3">
      <c r="A49" s="249" t="s">
        <v>185</v>
      </c>
      <c r="B49" s="250">
        <f>SUM(B42:B48)</f>
        <v>4612540</v>
      </c>
      <c r="C49" s="415">
        <f>SUM(C42:C48)</f>
        <v>5069095</v>
      </c>
      <c r="D49" s="424">
        <f>(C49-B49)/B49</f>
        <v>9.898125544710723E-2</v>
      </c>
    </row>
    <row r="50" spans="1:20" ht="15.75" thickBot="1" x14ac:dyDescent="0.3">
      <c r="A50" s="382" t="s">
        <v>186</v>
      </c>
      <c r="B50" s="383">
        <f>+B40+B49</f>
        <v>6960377</v>
      </c>
      <c r="C50" s="416">
        <f>+C40+C49</f>
        <v>7493293</v>
      </c>
      <c r="D50" s="425">
        <f t="shared" si="3"/>
        <v>7.6564243574737401E-2</v>
      </c>
    </row>
    <row r="51" spans="1:20" x14ac:dyDescent="0.25">
      <c r="A51" s="376" t="s">
        <v>34</v>
      </c>
      <c r="B51" s="377"/>
      <c r="C51" s="411"/>
      <c r="D51" s="411"/>
    </row>
    <row r="52" spans="1:20" ht="15.75" thickBot="1" x14ac:dyDescent="0.3">
      <c r="A52" s="249" t="s">
        <v>187</v>
      </c>
      <c r="B52" s="250">
        <v>8627950</v>
      </c>
      <c r="C52" s="415">
        <v>7704735</v>
      </c>
      <c r="D52" s="424">
        <f>(C52-B52)/B52</f>
        <v>-0.10700282222312368</v>
      </c>
    </row>
    <row r="53" spans="1:20" ht="15.75" thickBot="1" x14ac:dyDescent="0.3">
      <c r="A53" s="259" t="s">
        <v>188</v>
      </c>
      <c r="B53" s="247">
        <v>56914</v>
      </c>
      <c r="C53" s="414">
        <v>59473</v>
      </c>
      <c r="D53" s="423">
        <f>(C53-B53)/B53</f>
        <v>4.4962575113328886E-2</v>
      </c>
    </row>
    <row r="54" spans="1:20" ht="15.75" thickBot="1" x14ac:dyDescent="0.3">
      <c r="A54" s="382" t="s">
        <v>189</v>
      </c>
      <c r="B54" s="383">
        <f>SUM(B52:B53)</f>
        <v>8684864</v>
      </c>
      <c r="C54" s="416">
        <f>SUM(C52:C53)</f>
        <v>7764208</v>
      </c>
      <c r="D54" s="425">
        <f>(C54-B54)/B54</f>
        <v>-0.10600695647047553</v>
      </c>
    </row>
    <row r="55" spans="1:20" ht="15.75" thickBot="1" x14ac:dyDescent="0.3">
      <c r="A55" s="380" t="s">
        <v>190</v>
      </c>
      <c r="B55" s="381">
        <f>+B50+B54</f>
        <v>15645241</v>
      </c>
      <c r="C55" s="419">
        <f>+C50+C54</f>
        <v>15257501</v>
      </c>
      <c r="D55" s="426">
        <f>(C55-B55)/B55</f>
        <v>-2.4783255176446306E-2</v>
      </c>
    </row>
    <row r="57" spans="1:20" x14ac:dyDescent="0.25">
      <c r="B57" s="263"/>
      <c r="C57" s="263"/>
      <c r="D57" s="263"/>
      <c r="E57" s="263"/>
      <c r="H57" s="263"/>
      <c r="J57" s="263"/>
      <c r="M57" s="263"/>
      <c r="O57" s="263"/>
      <c r="R57" s="263"/>
      <c r="T57" s="263"/>
    </row>
    <row r="58" spans="1:20" ht="18.75" x14ac:dyDescent="0.3">
      <c r="A58" s="264" t="s">
        <v>191</v>
      </c>
      <c r="B58" s="362"/>
      <c r="C58" s="362"/>
      <c r="D58" s="362"/>
      <c r="E58" s="362"/>
    </row>
    <row r="59" spans="1:20" x14ac:dyDescent="0.25">
      <c r="A59" s="332" t="s">
        <v>192</v>
      </c>
      <c r="B59" s="362"/>
      <c r="C59" s="362"/>
      <c r="D59" s="362"/>
      <c r="E59" s="362"/>
    </row>
    <row r="60" spans="1:20" x14ac:dyDescent="0.25">
      <c r="A60" s="332" t="s">
        <v>88</v>
      </c>
      <c r="B60" s="362"/>
      <c r="C60" s="362"/>
      <c r="D60" s="362"/>
      <c r="E60" s="362"/>
    </row>
    <row r="61" spans="1:20" x14ac:dyDescent="0.25">
      <c r="A61" s="265" t="s">
        <v>159</v>
      </c>
      <c r="B61" s="362"/>
      <c r="C61" s="362"/>
      <c r="D61" s="362"/>
      <c r="E61" s="362"/>
    </row>
    <row r="62" spans="1:20" ht="15.75" thickBot="1" x14ac:dyDescent="0.3">
      <c r="B62" s="364"/>
      <c r="C62" s="364"/>
      <c r="D62" s="364"/>
      <c r="E62" s="364"/>
    </row>
    <row r="63" spans="1:20" ht="15.75" customHeight="1" thickBot="1" x14ac:dyDescent="0.3">
      <c r="A63" s="353"/>
      <c r="B63" s="388" t="s">
        <v>299</v>
      </c>
      <c r="C63" s="388" t="s">
        <v>55</v>
      </c>
      <c r="D63" s="400" t="s">
        <v>324</v>
      </c>
      <c r="E63" s="400" t="s">
        <v>55</v>
      </c>
      <c r="F63" s="388" t="s">
        <v>46</v>
      </c>
    </row>
    <row r="64" spans="1:20" ht="15.75" thickTop="1" x14ac:dyDescent="0.25">
      <c r="A64" s="390" t="s">
        <v>193</v>
      </c>
      <c r="B64" s="389"/>
      <c r="C64" s="389"/>
      <c r="D64" s="401"/>
      <c r="E64" s="406"/>
      <c r="F64" s="389"/>
    </row>
    <row r="65" spans="1:6" ht="15.75" thickBot="1" x14ac:dyDescent="0.3">
      <c r="A65" s="391" t="s">
        <v>292</v>
      </c>
      <c r="B65" s="458">
        <v>2245742</v>
      </c>
      <c r="C65" s="387">
        <f t="shared" ref="C65:C84" si="4">+B65/$B$65</f>
        <v>1</v>
      </c>
      <c r="D65" s="395">
        <v>2659333</v>
      </c>
      <c r="E65" s="387">
        <f t="shared" ref="E65:E84" si="5">+D65/$D$65</f>
        <v>1</v>
      </c>
      <c r="F65" s="387">
        <f t="shared" ref="F65:F84" si="6">(D65-B65)/B65</f>
        <v>0.18416674756049448</v>
      </c>
    </row>
    <row r="66" spans="1:6" ht="15.75" thickBot="1" x14ac:dyDescent="0.3">
      <c r="A66" s="392" t="s">
        <v>273</v>
      </c>
      <c r="B66" s="460">
        <v>-1253514</v>
      </c>
      <c r="C66" s="384">
        <f t="shared" si="4"/>
        <v>-0.55817364594864416</v>
      </c>
      <c r="D66" s="456">
        <v>-1526792</v>
      </c>
      <c r="E66" s="407">
        <f t="shared" si="5"/>
        <v>-0.57412591804035074</v>
      </c>
      <c r="F66" s="384">
        <f t="shared" si="6"/>
        <v>0.21800953160475273</v>
      </c>
    </row>
    <row r="67" spans="1:6" ht="15.75" thickBot="1" x14ac:dyDescent="0.3">
      <c r="A67" s="393" t="s">
        <v>196</v>
      </c>
      <c r="B67" s="461">
        <f>SUM(B65:B66)</f>
        <v>992228</v>
      </c>
      <c r="C67" s="386">
        <f t="shared" si="4"/>
        <v>0.44182635405135584</v>
      </c>
      <c r="D67" s="457">
        <f>SUM(D65:D66)</f>
        <v>1132541</v>
      </c>
      <c r="E67" s="408">
        <f t="shared" si="5"/>
        <v>0.42587408195964926</v>
      </c>
      <c r="F67" s="386">
        <f t="shared" si="6"/>
        <v>0.14141205448747668</v>
      </c>
    </row>
    <row r="68" spans="1:6" ht="15.75" thickBot="1" x14ac:dyDescent="0.3">
      <c r="A68" s="392" t="s">
        <v>7</v>
      </c>
      <c r="B68" s="460">
        <v>-104388</v>
      </c>
      <c r="C68" s="384">
        <f t="shared" si="4"/>
        <v>-4.6482632466240556E-2</v>
      </c>
      <c r="D68" s="456">
        <v>-118843</v>
      </c>
      <c r="E68" s="407">
        <f t="shared" si="5"/>
        <v>-4.4689025405994662E-2</v>
      </c>
      <c r="F68" s="384">
        <f t="shared" si="6"/>
        <v>0.13847377093152469</v>
      </c>
    </row>
    <row r="69" spans="1:6" ht="15.75" thickBot="1" x14ac:dyDescent="0.3">
      <c r="A69" s="392" t="s">
        <v>8</v>
      </c>
      <c r="B69" s="460">
        <v>-625569</v>
      </c>
      <c r="C69" s="384">
        <f t="shared" si="4"/>
        <v>-0.27855782186911943</v>
      </c>
      <c r="D69" s="456">
        <v>-706386</v>
      </c>
      <c r="E69" s="407">
        <f t="shared" si="5"/>
        <v>-0.2656252526479384</v>
      </c>
      <c r="F69" s="384">
        <f t="shared" si="6"/>
        <v>0.12918958580108669</v>
      </c>
    </row>
    <row r="70" spans="1:6" ht="15.75" thickBot="1" x14ac:dyDescent="0.3">
      <c r="A70" s="392" t="s">
        <v>84</v>
      </c>
      <c r="B70" s="460">
        <v>-33782</v>
      </c>
      <c r="C70" s="384">
        <f t="shared" si="4"/>
        <v>-1.5042689676730453E-2</v>
      </c>
      <c r="D70" s="456">
        <v>-38263</v>
      </c>
      <c r="E70" s="407">
        <f t="shared" si="5"/>
        <v>-1.4388194332939877E-2</v>
      </c>
      <c r="F70" s="384">
        <f t="shared" si="6"/>
        <v>0.13264460363507194</v>
      </c>
    </row>
    <row r="71" spans="1:6" ht="15.75" thickBot="1" x14ac:dyDescent="0.3">
      <c r="A71" s="392" t="s">
        <v>197</v>
      </c>
      <c r="B71" s="460">
        <v>3810</v>
      </c>
      <c r="C71" s="384">
        <f t="shared" si="4"/>
        <v>1.6965439485034344E-3</v>
      </c>
      <c r="D71" s="456">
        <v>-13838</v>
      </c>
      <c r="E71" s="407">
        <f t="shared" si="5"/>
        <v>-5.2035604416596189E-3</v>
      </c>
      <c r="F71" s="384" t="s">
        <v>131</v>
      </c>
    </row>
    <row r="72" spans="1:6" ht="15.75" thickBot="1" x14ac:dyDescent="0.3">
      <c r="A72" s="392" t="s">
        <v>144</v>
      </c>
      <c r="B72" s="460">
        <v>-2136</v>
      </c>
      <c r="C72" s="384">
        <f t="shared" si="4"/>
        <v>-9.5113330026334278E-4</v>
      </c>
      <c r="D72" s="456">
        <v>1430</v>
      </c>
      <c r="E72" s="407">
        <f t="shared" si="5"/>
        <v>5.3772882147515939E-4</v>
      </c>
      <c r="F72" s="384">
        <f t="shared" si="6"/>
        <v>-1.6694756554307115</v>
      </c>
    </row>
    <row r="73" spans="1:6" ht="16.5" customHeight="1" thickBot="1" x14ac:dyDescent="0.3">
      <c r="A73" s="391" t="s">
        <v>198</v>
      </c>
      <c r="B73" s="458">
        <f>SUM(B67:B72)</f>
        <v>230163</v>
      </c>
      <c r="C73" s="387">
        <f t="shared" si="4"/>
        <v>0.10248862068750551</v>
      </c>
      <c r="D73" s="458">
        <f>SUM(D67:D72)</f>
        <v>256641</v>
      </c>
      <c r="E73" s="387">
        <f t="shared" si="5"/>
        <v>9.6505777952591867E-2</v>
      </c>
      <c r="F73" s="387">
        <f t="shared" si="6"/>
        <v>0.11504021063333376</v>
      </c>
    </row>
    <row r="74" spans="1:6" ht="15.75" thickBot="1" x14ac:dyDescent="0.3">
      <c r="A74" s="392" t="s">
        <v>51</v>
      </c>
      <c r="B74" s="460">
        <v>3427</v>
      </c>
      <c r="C74" s="384">
        <f t="shared" si="4"/>
        <v>1.5259989794019081E-3</v>
      </c>
      <c r="D74" s="456">
        <v>4300</v>
      </c>
      <c r="E74" s="407">
        <f t="shared" si="5"/>
        <v>1.6169468058343953E-3</v>
      </c>
      <c r="F74" s="384">
        <f t="shared" si="6"/>
        <v>0.25474175663845927</v>
      </c>
    </row>
    <row r="75" spans="1:6" ht="15.75" thickBot="1" x14ac:dyDescent="0.3">
      <c r="A75" s="392" t="s">
        <v>11</v>
      </c>
      <c r="B75" s="460">
        <v>-72588</v>
      </c>
      <c r="C75" s="384">
        <f t="shared" si="4"/>
        <v>-3.2322501872432366E-2</v>
      </c>
      <c r="D75" s="456">
        <v>-77029</v>
      </c>
      <c r="E75" s="407">
        <f t="shared" si="5"/>
        <v>-2.8965533838748288E-2</v>
      </c>
      <c r="F75" s="384">
        <f t="shared" si="6"/>
        <v>6.1180911445417978E-2</v>
      </c>
    </row>
    <row r="76" spans="1:6" ht="15.75" thickBot="1" x14ac:dyDescent="0.3">
      <c r="A76" s="392" t="s">
        <v>272</v>
      </c>
      <c r="B76" s="460">
        <v>61493</v>
      </c>
      <c r="C76" s="384">
        <f t="shared" si="4"/>
        <v>2.7382041213995196E-2</v>
      </c>
      <c r="D76" s="456">
        <v>65582</v>
      </c>
      <c r="E76" s="407">
        <f t="shared" si="5"/>
        <v>2.4661071027960772E-2</v>
      </c>
      <c r="F76" s="384">
        <f t="shared" si="6"/>
        <v>6.649537345714146E-2</v>
      </c>
    </row>
    <row r="77" spans="1:6" ht="15.75" thickBot="1" x14ac:dyDescent="0.3">
      <c r="A77" s="392" t="s">
        <v>200</v>
      </c>
      <c r="B77" s="460">
        <v>702</v>
      </c>
      <c r="C77" s="384">
        <f t="shared" si="4"/>
        <v>3.1259156216519973E-4</v>
      </c>
      <c r="D77" s="456">
        <v>16393</v>
      </c>
      <c r="E77" s="407">
        <f t="shared" si="5"/>
        <v>6.164327671637963E-3</v>
      </c>
      <c r="F77" s="384" t="s">
        <v>131</v>
      </c>
    </row>
    <row r="78" spans="1:6" ht="15.75" thickBot="1" x14ac:dyDescent="0.3">
      <c r="A78" s="392" t="s">
        <v>275</v>
      </c>
      <c r="B78" s="460">
        <v>-377</v>
      </c>
      <c r="C78" s="384">
        <f t="shared" si="4"/>
        <v>-1.6787324634797763E-4</v>
      </c>
      <c r="D78" s="456">
        <v>-6316</v>
      </c>
      <c r="E78" s="407">
        <f t="shared" si="5"/>
        <v>-2.3750316338721025E-3</v>
      </c>
      <c r="F78" s="384" t="s">
        <v>131</v>
      </c>
    </row>
    <row r="79" spans="1:6" ht="15.75" thickBot="1" x14ac:dyDescent="0.3">
      <c r="A79" s="393" t="s">
        <v>204</v>
      </c>
      <c r="B79" s="461">
        <f>SUM(B73:B78)</f>
        <v>222820</v>
      </c>
      <c r="C79" s="386">
        <f t="shared" si="4"/>
        <v>9.9218877324287469E-2</v>
      </c>
      <c r="D79" s="457">
        <f>SUM(D73:D78)</f>
        <v>259571</v>
      </c>
      <c r="E79" s="408">
        <f t="shared" si="5"/>
        <v>9.7607557985404617E-2</v>
      </c>
      <c r="F79" s="386">
        <f t="shared" si="6"/>
        <v>0.16493582263710618</v>
      </c>
    </row>
    <row r="80" spans="1:6" ht="15.75" thickBot="1" x14ac:dyDescent="0.3">
      <c r="A80" s="392" t="s">
        <v>205</v>
      </c>
      <c r="B80" s="460">
        <v>-43888</v>
      </c>
      <c r="C80" s="384">
        <f t="shared" si="4"/>
        <v>-1.9542761367957674E-2</v>
      </c>
      <c r="D80" s="456">
        <v>-76490</v>
      </c>
      <c r="E80" s="407">
        <f t="shared" si="5"/>
        <v>-2.8762851436807652E-2</v>
      </c>
      <c r="F80" s="384">
        <f t="shared" si="6"/>
        <v>0.74284542471746262</v>
      </c>
    </row>
    <row r="81" spans="1:6" ht="15.75" thickBot="1" x14ac:dyDescent="0.3">
      <c r="A81" s="394" t="s">
        <v>206</v>
      </c>
      <c r="B81" s="462">
        <v>-2661</v>
      </c>
      <c r="C81" s="385">
        <f t="shared" si="4"/>
        <v>-1.1849090411988554E-3</v>
      </c>
      <c r="D81" s="459">
        <v>8406</v>
      </c>
      <c r="E81" s="409">
        <f t="shared" si="5"/>
        <v>3.1609429883357968E-3</v>
      </c>
      <c r="F81" s="385" t="s">
        <v>131</v>
      </c>
    </row>
    <row r="82" spans="1:6" ht="15.75" thickBot="1" x14ac:dyDescent="0.3">
      <c r="A82" s="393" t="s">
        <v>207</v>
      </c>
      <c r="B82" s="461">
        <f>SUM(B79:B81)</f>
        <v>176271</v>
      </c>
      <c r="C82" s="386">
        <f t="shared" si="4"/>
        <v>7.8491206915130951E-2</v>
      </c>
      <c r="D82" s="457">
        <f>SUM(D79:D81)</f>
        <v>191487</v>
      </c>
      <c r="E82" s="408">
        <f t="shared" si="5"/>
        <v>7.2005649536932753E-2</v>
      </c>
      <c r="F82" s="386">
        <f t="shared" si="6"/>
        <v>8.6321629763262256E-2</v>
      </c>
    </row>
    <row r="83" spans="1:6" ht="15.75" thickBot="1" x14ac:dyDescent="0.3">
      <c r="A83" s="392" t="s">
        <v>208</v>
      </c>
      <c r="B83" s="460">
        <v>-842</v>
      </c>
      <c r="C83" s="384">
        <f t="shared" si="4"/>
        <v>-3.7493175974800312E-4</v>
      </c>
      <c r="D83" s="456">
        <v>-95</v>
      </c>
      <c r="E83" s="407">
        <f t="shared" si="5"/>
        <v>-3.5723243384713388E-5</v>
      </c>
      <c r="F83" s="384">
        <f t="shared" si="6"/>
        <v>-0.88717339667458428</v>
      </c>
    </row>
    <row r="84" spans="1:6" ht="15.75" thickBot="1" x14ac:dyDescent="0.3">
      <c r="A84" s="391" t="s">
        <v>209</v>
      </c>
      <c r="B84" s="458">
        <f>SUM(B82:B83)</f>
        <v>175429</v>
      </c>
      <c r="C84" s="387">
        <f t="shared" si="4"/>
        <v>7.8116275155382942E-2</v>
      </c>
      <c r="D84" s="395">
        <f>SUM(D82:D83)</f>
        <v>191392</v>
      </c>
      <c r="E84" s="387">
        <f t="shared" si="5"/>
        <v>7.196992629354805E-2</v>
      </c>
      <c r="F84" s="387">
        <f t="shared" si="6"/>
        <v>9.0994077376032476E-2</v>
      </c>
    </row>
    <row r="85" spans="1:6" x14ac:dyDescent="0.25">
      <c r="A85" s="289"/>
      <c r="B85" s="291"/>
      <c r="C85" s="292"/>
      <c r="D85" s="294"/>
      <c r="E85" s="292"/>
      <c r="F85" s="292"/>
    </row>
    <row r="86" spans="1:6" x14ac:dyDescent="0.25">
      <c r="A86" s="295" t="s">
        <v>210</v>
      </c>
      <c r="B86" s="297"/>
      <c r="C86" s="298"/>
      <c r="D86" s="300"/>
      <c r="E86" s="298"/>
      <c r="F86" s="298"/>
    </row>
    <row r="87" spans="1:6" ht="15.75" thickBot="1" x14ac:dyDescent="0.3">
      <c r="A87" s="301" t="s">
        <v>211</v>
      </c>
      <c r="B87" s="274">
        <v>174437</v>
      </c>
      <c r="C87" s="384">
        <f>+B87/$B$65</f>
        <v>7.7674550326796224E-2</v>
      </c>
      <c r="D87" s="373">
        <v>190294</v>
      </c>
      <c r="E87" s="366">
        <f>+D87/$D$65</f>
        <v>7.1557040806848937E-2</v>
      </c>
      <c r="F87" s="384">
        <f>(D87-B87)/B87</f>
        <v>9.0903879337525875E-2</v>
      </c>
    </row>
    <row r="88" spans="1:6" ht="15.75" thickBot="1" x14ac:dyDescent="0.3">
      <c r="A88" s="303" t="s">
        <v>188</v>
      </c>
      <c r="B88" s="304">
        <v>992</v>
      </c>
      <c r="C88" s="385">
        <f>+B88/$B$65</f>
        <v>4.4172482858672099E-4</v>
      </c>
      <c r="D88" s="470">
        <v>1098</v>
      </c>
      <c r="E88" s="368">
        <f>+D88/$D$65</f>
        <v>4.1288548669910841E-4</v>
      </c>
      <c r="F88" s="385">
        <f>(D88-B88)/B88</f>
        <v>0.10685483870967742</v>
      </c>
    </row>
    <row r="89" spans="1:6" ht="15.75" thickBot="1" x14ac:dyDescent="0.3">
      <c r="A89" s="306" t="s">
        <v>212</v>
      </c>
      <c r="B89" s="278">
        <f>SUM(B87:B88)</f>
        <v>175429</v>
      </c>
      <c r="C89" s="386">
        <f>+B89/$B$65</f>
        <v>7.8116275155382942E-2</v>
      </c>
      <c r="D89" s="375">
        <f>SUM(D87:D88)</f>
        <v>191392</v>
      </c>
      <c r="E89" s="367">
        <f>+D89/$D$65</f>
        <v>7.196992629354805E-2</v>
      </c>
      <c r="F89" s="386">
        <f>(D89-B89)/B89</f>
        <v>9.0994077376032476E-2</v>
      </c>
    </row>
    <row r="90" spans="1:6" ht="15.75" thickBot="1" x14ac:dyDescent="0.3">
      <c r="A90" s="369" t="s">
        <v>213</v>
      </c>
      <c r="B90" s="370">
        <v>320118</v>
      </c>
      <c r="C90" s="387">
        <f>+B90/$B$65</f>
        <v>0.14254442407008464</v>
      </c>
      <c r="D90" s="372">
        <v>376134</v>
      </c>
      <c r="E90" s="371">
        <f>+D90/$D$65</f>
        <v>0.14143922555016616</v>
      </c>
      <c r="F90" s="387">
        <f>(D90-B90)/B90</f>
        <v>0.17498547410642326</v>
      </c>
    </row>
  </sheetData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C67:C84 C89" formula="1"/>
  </ignoredErrors>
  <drawing r:id="rId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0"/>
  <sheetViews>
    <sheetView topLeftCell="A61" zoomScaleNormal="100" workbookViewId="0">
      <selection activeCell="I80" sqref="I80:I81"/>
    </sheetView>
  </sheetViews>
  <sheetFormatPr baseColWidth="10" defaultColWidth="11.42578125" defaultRowHeight="15" x14ac:dyDescent="0.25"/>
  <cols>
    <col min="1" max="1" width="50.85546875" style="229" bestFit="1" customWidth="1"/>
    <col min="2" max="6" width="11.42578125" style="229" customWidth="1"/>
    <col min="7" max="16384" width="11.42578125" style="229"/>
  </cols>
  <sheetData>
    <row r="1" spans="1:7" ht="18.75" x14ac:dyDescent="0.3">
      <c r="A1" s="228" t="s">
        <v>157</v>
      </c>
      <c r="B1" s="362"/>
      <c r="C1" s="362"/>
      <c r="D1" s="362"/>
      <c r="E1" s="362"/>
    </row>
    <row r="2" spans="1:7" x14ac:dyDescent="0.25">
      <c r="A2" s="332" t="s">
        <v>327</v>
      </c>
      <c r="B2" s="362"/>
      <c r="C2" s="362"/>
      <c r="D2" s="362"/>
      <c r="E2" s="362"/>
    </row>
    <row r="3" spans="1:7" x14ac:dyDescent="0.25">
      <c r="A3" s="332" t="s">
        <v>88</v>
      </c>
      <c r="B3" s="362"/>
      <c r="C3" s="362"/>
      <c r="D3" s="362"/>
      <c r="E3" s="362"/>
    </row>
    <row r="4" spans="1:7" x14ac:dyDescent="0.25">
      <c r="A4" s="231" t="s">
        <v>159</v>
      </c>
      <c r="B4" s="362"/>
      <c r="C4" s="362"/>
      <c r="D4" s="362"/>
      <c r="E4" s="362"/>
    </row>
    <row r="5" spans="1:7" x14ac:dyDescent="0.25">
      <c r="A5" s="231"/>
      <c r="B5" s="362"/>
      <c r="C5" s="362"/>
      <c r="D5" s="362"/>
      <c r="E5" s="362"/>
    </row>
    <row r="6" spans="1:7" ht="20.25" customHeight="1" x14ac:dyDescent="0.25">
      <c r="A6" s="231" t="s">
        <v>331</v>
      </c>
      <c r="B6" s="362"/>
      <c r="C6" s="362"/>
      <c r="D6" s="362"/>
      <c r="E6" s="362"/>
    </row>
    <row r="7" spans="1:7" ht="15.75" thickBot="1" x14ac:dyDescent="0.3"/>
    <row r="8" spans="1:7" ht="23.25" thickBot="1" x14ac:dyDescent="0.3">
      <c r="A8" s="337"/>
      <c r="B8" s="338" t="s">
        <v>323</v>
      </c>
      <c r="C8" s="410" t="s">
        <v>325</v>
      </c>
      <c r="D8" s="420" t="s">
        <v>140</v>
      </c>
      <c r="E8" s="338" t="s">
        <v>323</v>
      </c>
      <c r="F8" s="410" t="s">
        <v>328</v>
      </c>
      <c r="G8" s="420" t="s">
        <v>140</v>
      </c>
    </row>
    <row r="9" spans="1:7" ht="15.75" thickTop="1" x14ac:dyDescent="0.25">
      <c r="A9" s="376" t="s">
        <v>20</v>
      </c>
      <c r="B9" s="377"/>
      <c r="C9" s="411"/>
      <c r="D9" s="411"/>
      <c r="E9" s="377"/>
      <c r="F9" s="411"/>
      <c r="G9" s="411"/>
    </row>
    <row r="10" spans="1:7" x14ac:dyDescent="0.25">
      <c r="A10" s="378" t="s">
        <v>160</v>
      </c>
      <c r="B10" s="379"/>
      <c r="C10" s="412"/>
      <c r="D10" s="421"/>
      <c r="E10" s="379"/>
      <c r="F10" s="412"/>
      <c r="G10" s="421"/>
    </row>
    <row r="11" spans="1:7" ht="15.75" thickBot="1" x14ac:dyDescent="0.3">
      <c r="A11" s="240" t="s">
        <v>161</v>
      </c>
      <c r="B11" s="242">
        <v>497947</v>
      </c>
      <c r="C11" s="413">
        <v>578829</v>
      </c>
      <c r="D11" s="422">
        <f t="shared" ref="D11:D16" si="0">(C11-B11)/B11</f>
        <v>0.16243094144557554</v>
      </c>
      <c r="E11" s="242">
        <v>497947</v>
      </c>
      <c r="F11" s="413">
        <v>743445</v>
      </c>
      <c r="G11" s="422">
        <f t="shared" ref="G11:G17" si="1">(F11-E11)/E11</f>
        <v>0.49302034152229052</v>
      </c>
    </row>
    <row r="12" spans="1:7" ht="15.75" thickBot="1" x14ac:dyDescent="0.3">
      <c r="A12" s="240" t="s">
        <v>298</v>
      </c>
      <c r="B12" s="242">
        <v>1166248</v>
      </c>
      <c r="C12" s="413">
        <v>1355381</v>
      </c>
      <c r="D12" s="422">
        <f t="shared" si="0"/>
        <v>0.1621721966511411</v>
      </c>
      <c r="E12" s="242">
        <v>1166248</v>
      </c>
      <c r="F12" s="413">
        <v>1207640</v>
      </c>
      <c r="G12" s="422">
        <f t="shared" si="1"/>
        <v>3.5491593554715636E-2</v>
      </c>
    </row>
    <row r="13" spans="1:7" ht="15.75" thickBot="1" x14ac:dyDescent="0.3">
      <c r="A13" s="240" t="s">
        <v>36</v>
      </c>
      <c r="B13" s="242">
        <v>1248128</v>
      </c>
      <c r="C13" s="413">
        <v>1321073</v>
      </c>
      <c r="D13" s="422">
        <f t="shared" si="0"/>
        <v>5.8443525023074559E-2</v>
      </c>
      <c r="E13" s="242">
        <v>1248128</v>
      </c>
      <c r="F13" s="413">
        <v>1472682</v>
      </c>
      <c r="G13" s="422">
        <f t="shared" si="1"/>
        <v>0.17991263716541894</v>
      </c>
    </row>
    <row r="14" spans="1:7" ht="15.75" thickBot="1" x14ac:dyDescent="0.3">
      <c r="A14" s="240" t="s">
        <v>163</v>
      </c>
      <c r="B14" s="242">
        <v>96632</v>
      </c>
      <c r="C14" s="413">
        <v>96842</v>
      </c>
      <c r="D14" s="422">
        <f t="shared" si="0"/>
        <v>2.1731931451279079E-3</v>
      </c>
      <c r="E14" s="242">
        <v>96632</v>
      </c>
      <c r="F14" s="413">
        <v>100702</v>
      </c>
      <c r="G14" s="422">
        <f t="shared" si="1"/>
        <v>4.2118552860336118E-2</v>
      </c>
    </row>
    <row r="15" spans="1:7" ht="15.75" thickBot="1" x14ac:dyDescent="0.3">
      <c r="A15" s="240" t="s">
        <v>283</v>
      </c>
      <c r="B15" s="242">
        <v>251397</v>
      </c>
      <c r="C15" s="413">
        <v>356174</v>
      </c>
      <c r="D15" s="422">
        <f t="shared" si="0"/>
        <v>0.41677903873156802</v>
      </c>
      <c r="E15" s="242">
        <v>251397</v>
      </c>
      <c r="F15" s="413">
        <v>338726</v>
      </c>
      <c r="G15" s="422">
        <f t="shared" si="1"/>
        <v>0.34737486923073863</v>
      </c>
    </row>
    <row r="16" spans="1:7" ht="15.75" thickBot="1" x14ac:dyDescent="0.3">
      <c r="A16" s="245" t="s">
        <v>165</v>
      </c>
      <c r="B16" s="247">
        <v>2610</v>
      </c>
      <c r="C16" s="414">
        <v>2610</v>
      </c>
      <c r="D16" s="422">
        <f t="shared" si="0"/>
        <v>0</v>
      </c>
      <c r="E16" s="247">
        <v>2610</v>
      </c>
      <c r="F16" s="414">
        <v>2610</v>
      </c>
      <c r="G16" s="422">
        <f t="shared" si="1"/>
        <v>0</v>
      </c>
    </row>
    <row r="17" spans="1:7" ht="15.75" thickBot="1" x14ac:dyDescent="0.3">
      <c r="A17" s="249" t="s">
        <v>166</v>
      </c>
      <c r="B17" s="250">
        <f>SUM(B11:B16)</f>
        <v>3262962</v>
      </c>
      <c r="C17" s="415">
        <f>SUM(C11:C16)</f>
        <v>3710909</v>
      </c>
      <c r="D17" s="424">
        <f>(C17-B17)/B17</f>
        <v>0.13728232201294407</v>
      </c>
      <c r="E17" s="250">
        <f>SUM(E11:E16)</f>
        <v>3262962</v>
      </c>
      <c r="F17" s="415">
        <f>SUM(F11:F16)</f>
        <v>3865805</v>
      </c>
      <c r="G17" s="424">
        <f t="shared" si="1"/>
        <v>0.18475330083525338</v>
      </c>
    </row>
    <row r="18" spans="1:7" x14ac:dyDescent="0.25">
      <c r="A18" s="378" t="s">
        <v>167</v>
      </c>
      <c r="B18" s="379"/>
      <c r="C18" s="412"/>
      <c r="D18" s="421"/>
      <c r="E18" s="379"/>
      <c r="F18" s="412"/>
      <c r="G18" s="421"/>
    </row>
    <row r="19" spans="1:7" ht="15.75" thickBot="1" x14ac:dyDescent="0.3">
      <c r="A19" s="240" t="s">
        <v>298</v>
      </c>
      <c r="B19" s="242">
        <v>25409</v>
      </c>
      <c r="C19" s="413">
        <v>24602</v>
      </c>
      <c r="D19" s="422">
        <f t="shared" ref="D19:D30" si="2">(C19-B19)/B19</f>
        <v>-3.1760399858317918E-2</v>
      </c>
      <c r="E19" s="242">
        <v>25409</v>
      </c>
      <c r="F19" s="413">
        <v>25422</v>
      </c>
      <c r="G19" s="422">
        <f t="shared" ref="G19:G30" si="3">(F19-E19)/E19</f>
        <v>5.116297374945885E-4</v>
      </c>
    </row>
    <row r="20" spans="1:7" ht="15.75" thickBot="1" x14ac:dyDescent="0.3">
      <c r="A20" s="240" t="s">
        <v>169</v>
      </c>
      <c r="B20" s="242">
        <v>193360</v>
      </c>
      <c r="C20" s="413">
        <v>195447</v>
      </c>
      <c r="D20" s="422">
        <f t="shared" si="2"/>
        <v>1.079333884981382E-2</v>
      </c>
      <c r="E20" s="242">
        <v>193360</v>
      </c>
      <c r="F20" s="413">
        <v>195349</v>
      </c>
      <c r="G20" s="422">
        <f t="shared" si="3"/>
        <v>1.0286512205213073E-2</v>
      </c>
    </row>
    <row r="21" spans="1:7" ht="15.75" thickBot="1" x14ac:dyDescent="0.3">
      <c r="A21" s="240" t="s">
        <v>170</v>
      </c>
      <c r="B21" s="242">
        <v>3511768</v>
      </c>
      <c r="C21" s="413">
        <v>2224803</v>
      </c>
      <c r="D21" s="422">
        <f t="shared" si="2"/>
        <v>-0.36647210180171358</v>
      </c>
      <c r="E21" s="242">
        <v>3511768</v>
      </c>
      <c r="F21" s="413">
        <v>1946129</v>
      </c>
      <c r="G21" s="422">
        <f t="shared" si="3"/>
        <v>-0.44582643272562422</v>
      </c>
    </row>
    <row r="22" spans="1:7" ht="15.75" thickBot="1" x14ac:dyDescent="0.3">
      <c r="A22" s="240" t="s">
        <v>171</v>
      </c>
      <c r="B22" s="242">
        <v>3400057</v>
      </c>
      <c r="C22" s="413">
        <v>3536783</v>
      </c>
      <c r="D22" s="422">
        <f t="shared" si="2"/>
        <v>4.0212855255073662E-2</v>
      </c>
      <c r="E22" s="242">
        <v>3400057</v>
      </c>
      <c r="F22" s="413">
        <v>3441132</v>
      </c>
      <c r="G22" s="422">
        <f t="shared" si="3"/>
        <v>1.2080679823897071E-2</v>
      </c>
    </row>
    <row r="23" spans="1:7" ht="15.75" thickBot="1" x14ac:dyDescent="0.3">
      <c r="A23" s="240" t="s">
        <v>295</v>
      </c>
      <c r="B23" s="242">
        <v>878552</v>
      </c>
      <c r="C23" s="413">
        <v>896574</v>
      </c>
      <c r="D23" s="422">
        <f t="shared" si="2"/>
        <v>2.0513299155883773E-2</v>
      </c>
      <c r="E23" s="242">
        <v>878552</v>
      </c>
      <c r="F23" s="413">
        <v>855072</v>
      </c>
      <c r="G23" s="422">
        <f t="shared" si="3"/>
        <v>-2.6725794261466596E-2</v>
      </c>
    </row>
    <row r="24" spans="1:7" ht="15.75" thickBot="1" x14ac:dyDescent="0.3">
      <c r="A24" s="240" t="s">
        <v>141</v>
      </c>
      <c r="B24" s="242">
        <v>79489</v>
      </c>
      <c r="C24" s="413">
        <v>79401</v>
      </c>
      <c r="D24" s="422">
        <f t="shared" si="2"/>
        <v>-1.1070714186868624E-3</v>
      </c>
      <c r="E24" s="242">
        <v>79489</v>
      </c>
      <c r="F24" s="413">
        <v>79313</v>
      </c>
      <c r="G24" s="422">
        <f t="shared" si="3"/>
        <v>-2.2141428373737247E-3</v>
      </c>
    </row>
    <row r="25" spans="1:7" ht="15.75" thickBot="1" x14ac:dyDescent="0.3">
      <c r="A25" s="240" t="s">
        <v>247</v>
      </c>
      <c r="B25" s="242">
        <v>2309739</v>
      </c>
      <c r="C25" s="413">
        <v>2478655</v>
      </c>
      <c r="D25" s="422">
        <f t="shared" si="2"/>
        <v>7.3132072498234654E-2</v>
      </c>
      <c r="E25" s="242">
        <v>2309739</v>
      </c>
      <c r="F25" s="413">
        <v>2401036</v>
      </c>
      <c r="G25" s="422">
        <f t="shared" si="3"/>
        <v>3.9526976857558363E-2</v>
      </c>
    </row>
    <row r="26" spans="1:7" ht="15.75" thickBot="1" x14ac:dyDescent="0.3">
      <c r="A26" s="240" t="s">
        <v>173</v>
      </c>
      <c r="B26" s="242">
        <v>1248973</v>
      </c>
      <c r="C26" s="413">
        <v>1343011</v>
      </c>
      <c r="D26" s="422">
        <f t="shared" si="2"/>
        <v>7.5292260120915347E-2</v>
      </c>
      <c r="E26" s="242">
        <v>1248973</v>
      </c>
      <c r="F26" s="413">
        <v>1304821</v>
      </c>
      <c r="G26" s="422">
        <f t="shared" si="3"/>
        <v>4.4715137957345753E-2</v>
      </c>
    </row>
    <row r="27" spans="1:7" ht="15.75" thickBot="1" x14ac:dyDescent="0.3">
      <c r="A27" s="240" t="s">
        <v>274</v>
      </c>
      <c r="B27" s="242">
        <v>654496</v>
      </c>
      <c r="C27" s="413">
        <v>686449</v>
      </c>
      <c r="D27" s="422">
        <f t="shared" si="2"/>
        <v>4.8820772013885495E-2</v>
      </c>
      <c r="E27" s="242">
        <v>654496</v>
      </c>
      <c r="F27" s="413">
        <v>661679</v>
      </c>
      <c r="G27" s="422">
        <f t="shared" si="3"/>
        <v>1.097485698919474E-2</v>
      </c>
    </row>
    <row r="28" spans="1:7" ht="15.75" thickBot="1" x14ac:dyDescent="0.3">
      <c r="A28" s="245" t="s">
        <v>283</v>
      </c>
      <c r="B28" s="247">
        <v>80436</v>
      </c>
      <c r="C28" s="414">
        <v>80867</v>
      </c>
      <c r="D28" s="423">
        <f t="shared" si="2"/>
        <v>5.3582972798249537E-3</v>
      </c>
      <c r="E28" s="247">
        <v>80436</v>
      </c>
      <c r="F28" s="414">
        <v>84235</v>
      </c>
      <c r="G28" s="423">
        <f t="shared" si="3"/>
        <v>4.7230095976925755E-2</v>
      </c>
    </row>
    <row r="29" spans="1:7" ht="15.75" thickBot="1" x14ac:dyDescent="0.3">
      <c r="A29" s="249" t="s">
        <v>175</v>
      </c>
      <c r="B29" s="250">
        <f>SUM(B19:B28)</f>
        <v>12382279</v>
      </c>
      <c r="C29" s="415">
        <f>SUM(C19:C28)</f>
        <v>11546592</v>
      </c>
      <c r="D29" s="424">
        <f t="shared" si="2"/>
        <v>-6.7490564539855705E-2</v>
      </c>
      <c r="E29" s="250">
        <f>SUM(E19:E28)</f>
        <v>12382279</v>
      </c>
      <c r="F29" s="415">
        <f>SUM(F19:F28)</f>
        <v>10994188</v>
      </c>
      <c r="G29" s="424">
        <f t="shared" si="3"/>
        <v>-0.11210303046797766</v>
      </c>
    </row>
    <row r="30" spans="1:7" ht="15.75" thickBot="1" x14ac:dyDescent="0.3">
      <c r="A30" s="382" t="s">
        <v>176</v>
      </c>
      <c r="B30" s="383">
        <f>+B17+B29</f>
        <v>15645241</v>
      </c>
      <c r="C30" s="416">
        <f>+C17+C29</f>
        <v>15257501</v>
      </c>
      <c r="D30" s="425">
        <f t="shared" si="2"/>
        <v>-2.4783255176446306E-2</v>
      </c>
      <c r="E30" s="383">
        <f>+E17+E29</f>
        <v>15645241</v>
      </c>
      <c r="F30" s="416">
        <f>+F17+F29</f>
        <v>14859993</v>
      </c>
      <c r="G30" s="425">
        <f t="shared" si="3"/>
        <v>-5.0190853563713084E-2</v>
      </c>
    </row>
    <row r="31" spans="1:7" x14ac:dyDescent="0.25">
      <c r="A31" s="376" t="s">
        <v>142</v>
      </c>
      <c r="B31" s="377"/>
      <c r="C31" s="411"/>
      <c r="D31" s="411"/>
      <c r="E31" s="377"/>
      <c r="F31" s="411"/>
      <c r="G31" s="411"/>
    </row>
    <row r="32" spans="1:7" x14ac:dyDescent="0.25">
      <c r="A32" s="378" t="s">
        <v>177</v>
      </c>
      <c r="B32" s="379"/>
      <c r="C32" s="412"/>
      <c r="D32" s="421"/>
      <c r="E32" s="379"/>
      <c r="F32" s="412"/>
      <c r="G32" s="421"/>
    </row>
    <row r="33" spans="1:7" ht="15.75" thickBot="1" x14ac:dyDescent="0.3">
      <c r="A33" s="240" t="s">
        <v>28</v>
      </c>
      <c r="B33" s="242">
        <v>527196</v>
      </c>
      <c r="C33" s="413">
        <v>464550</v>
      </c>
      <c r="D33" s="422">
        <f t="shared" ref="D33:D40" si="4">(C33-B33)/B33</f>
        <v>-0.11882867093073544</v>
      </c>
      <c r="E33" s="242">
        <v>527196</v>
      </c>
      <c r="F33" s="413">
        <v>515558</v>
      </c>
      <c r="G33" s="422">
        <f t="shared" ref="G33:G40" si="5">(F33-E33)/E33</f>
        <v>-2.2075281299554626E-2</v>
      </c>
    </row>
    <row r="34" spans="1:7" ht="15.75" thickBot="1" x14ac:dyDescent="0.3">
      <c r="A34" s="240" t="s">
        <v>296</v>
      </c>
      <c r="B34" s="242">
        <v>147242</v>
      </c>
      <c r="C34" s="413">
        <v>145747</v>
      </c>
      <c r="D34" s="422">
        <f t="shared" si="4"/>
        <v>-1.0153352983523723E-2</v>
      </c>
      <c r="E34" s="242">
        <v>147242</v>
      </c>
      <c r="F34" s="413">
        <v>135442</v>
      </c>
      <c r="G34" s="422">
        <f t="shared" si="5"/>
        <v>-8.0140177395036746E-2</v>
      </c>
    </row>
    <row r="35" spans="1:7" ht="15.75" thickBot="1" x14ac:dyDescent="0.3">
      <c r="A35" s="240" t="s">
        <v>178</v>
      </c>
      <c r="B35" s="242">
        <v>1235133</v>
      </c>
      <c r="C35" s="413">
        <v>1341476</v>
      </c>
      <c r="D35" s="422">
        <f t="shared" si="4"/>
        <v>8.6098420170135526E-2</v>
      </c>
      <c r="E35" s="242">
        <v>1235133</v>
      </c>
      <c r="F35" s="413">
        <v>1268591</v>
      </c>
      <c r="G35" s="422">
        <f t="shared" si="5"/>
        <v>2.7088580743936077E-2</v>
      </c>
    </row>
    <row r="36" spans="1:7" ht="15.75" thickBot="1" x14ac:dyDescent="0.3">
      <c r="A36" s="240" t="s">
        <v>257</v>
      </c>
      <c r="B36" s="242">
        <v>214542</v>
      </c>
      <c r="C36" s="413">
        <v>235930</v>
      </c>
      <c r="D36" s="422">
        <f t="shared" si="4"/>
        <v>9.9691435709558032E-2</v>
      </c>
      <c r="E36" s="242">
        <v>214542</v>
      </c>
      <c r="F36" s="413">
        <v>331466</v>
      </c>
      <c r="G36" s="422">
        <f t="shared" si="5"/>
        <v>0.54499352108211907</v>
      </c>
    </row>
    <row r="37" spans="1:7" ht="15.75" thickBot="1" x14ac:dyDescent="0.3">
      <c r="A37" s="240" t="s">
        <v>179</v>
      </c>
      <c r="B37" s="242">
        <v>191864</v>
      </c>
      <c r="C37" s="413">
        <v>160008</v>
      </c>
      <c r="D37" s="422">
        <f t="shared" si="4"/>
        <v>-0.1660342742776133</v>
      </c>
      <c r="E37" s="242">
        <v>191864</v>
      </c>
      <c r="F37" s="413">
        <v>185454</v>
      </c>
      <c r="G37" s="422">
        <f t="shared" si="5"/>
        <v>-3.3409081432681481E-2</v>
      </c>
    </row>
    <row r="38" spans="1:7" ht="15.75" thickBot="1" x14ac:dyDescent="0.3">
      <c r="A38" s="240" t="s">
        <v>326</v>
      </c>
      <c r="B38" s="242">
        <v>1948</v>
      </c>
      <c r="C38" s="413">
        <v>2033</v>
      </c>
      <c r="D38" s="422">
        <f t="shared" si="4"/>
        <v>4.3634496919917866E-2</v>
      </c>
      <c r="E38" s="242">
        <v>1948</v>
      </c>
      <c r="F38" s="413">
        <v>3475</v>
      </c>
      <c r="G38" s="422">
        <f t="shared" si="5"/>
        <v>0.78388090349075978</v>
      </c>
    </row>
    <row r="39" spans="1:7" ht="15.75" thickBot="1" x14ac:dyDescent="0.3">
      <c r="A39" s="245" t="s">
        <v>319</v>
      </c>
      <c r="B39" s="247">
        <v>29912</v>
      </c>
      <c r="C39" s="414">
        <v>74454</v>
      </c>
      <c r="D39" s="423">
        <f t="shared" si="4"/>
        <v>1.4891013640010697</v>
      </c>
      <c r="E39" s="247">
        <v>29912</v>
      </c>
      <c r="F39" s="414">
        <v>69469</v>
      </c>
      <c r="G39" s="423">
        <f t="shared" si="5"/>
        <v>1.322445841133993</v>
      </c>
    </row>
    <row r="40" spans="1:7" ht="15.75" thickBot="1" x14ac:dyDescent="0.3">
      <c r="A40" s="249" t="s">
        <v>181</v>
      </c>
      <c r="B40" s="250">
        <f>SUM(B33:B39)</f>
        <v>2347837</v>
      </c>
      <c r="C40" s="415">
        <f>SUM(C33:C39)</f>
        <v>2424198</v>
      </c>
      <c r="D40" s="424">
        <f t="shared" si="4"/>
        <v>3.2523978453359415E-2</v>
      </c>
      <c r="E40" s="250">
        <f>SUM(E33:E39)</f>
        <v>2347837</v>
      </c>
      <c r="F40" s="415">
        <f>SUM(F33:F39)</f>
        <v>2509455</v>
      </c>
      <c r="G40" s="424">
        <f t="shared" si="5"/>
        <v>6.8836976331832236E-2</v>
      </c>
    </row>
    <row r="41" spans="1:7" x14ac:dyDescent="0.25">
      <c r="A41" s="378" t="s">
        <v>182</v>
      </c>
      <c r="B41" s="379"/>
      <c r="C41" s="412"/>
      <c r="D41" s="421"/>
      <c r="E41" s="379"/>
      <c r="F41" s="412"/>
      <c r="G41" s="421"/>
    </row>
    <row r="42" spans="1:7" ht="15.75" thickBot="1" x14ac:dyDescent="0.3">
      <c r="A42" s="240" t="s">
        <v>28</v>
      </c>
      <c r="B42" s="242">
        <v>2680014</v>
      </c>
      <c r="C42" s="413">
        <v>3074884</v>
      </c>
      <c r="D42" s="422">
        <f t="shared" ref="D42:D50" si="6">(C42-B42)/B42</f>
        <v>0.14733878255859859</v>
      </c>
      <c r="E42" s="242">
        <v>2680014</v>
      </c>
      <c r="F42" s="413">
        <v>3024078</v>
      </c>
      <c r="G42" s="422">
        <f t="shared" ref="G42:G48" si="7">(F42-E42)/E42</f>
        <v>0.12838141890303559</v>
      </c>
    </row>
    <row r="43" spans="1:7" ht="15.75" thickBot="1" x14ac:dyDescent="0.3">
      <c r="A43" s="240" t="s">
        <v>296</v>
      </c>
      <c r="B43" s="242">
        <v>745313</v>
      </c>
      <c r="C43" s="413">
        <v>772638</v>
      </c>
      <c r="D43" s="422">
        <f t="shared" si="6"/>
        <v>3.6662449199195507E-2</v>
      </c>
      <c r="E43" s="242">
        <v>745313</v>
      </c>
      <c r="F43" s="413">
        <v>750270</v>
      </c>
      <c r="G43" s="422">
        <f t="shared" si="7"/>
        <v>6.6508970056875436E-3</v>
      </c>
    </row>
    <row r="44" spans="1:7" ht="15.75" thickBot="1" x14ac:dyDescent="0.3">
      <c r="A44" s="240" t="s">
        <v>178</v>
      </c>
      <c r="B44" s="241">
        <v>158</v>
      </c>
      <c r="C44" s="417">
        <v>158</v>
      </c>
      <c r="D44" s="422">
        <f t="shared" si="6"/>
        <v>0</v>
      </c>
      <c r="E44" s="241">
        <v>158</v>
      </c>
      <c r="F44" s="417">
        <v>158</v>
      </c>
      <c r="G44" s="422">
        <f t="shared" si="7"/>
        <v>0</v>
      </c>
    </row>
    <row r="45" spans="1:7" ht="15.75" thickBot="1" x14ac:dyDescent="0.3">
      <c r="A45" s="240" t="s">
        <v>179</v>
      </c>
      <c r="B45" s="242">
        <v>189295</v>
      </c>
      <c r="C45" s="413">
        <v>190792</v>
      </c>
      <c r="D45" s="422">
        <f t="shared" si="6"/>
        <v>7.9082912913706113E-3</v>
      </c>
      <c r="E45" s="242">
        <v>189295</v>
      </c>
      <c r="F45" s="413">
        <v>187612</v>
      </c>
      <c r="G45" s="422">
        <f t="shared" si="7"/>
        <v>-8.8908845981140548E-3</v>
      </c>
    </row>
    <row r="46" spans="1:7" ht="15.75" thickBot="1" x14ac:dyDescent="0.3">
      <c r="A46" s="240" t="s">
        <v>183</v>
      </c>
      <c r="B46" s="242">
        <v>984035</v>
      </c>
      <c r="C46" s="413">
        <v>1017103</v>
      </c>
      <c r="D46" s="422">
        <f t="shared" si="6"/>
        <v>3.3604495775048648E-2</v>
      </c>
      <c r="E46" s="242">
        <v>984035</v>
      </c>
      <c r="F46" s="413">
        <v>979310</v>
      </c>
      <c r="G46" s="422">
        <f t="shared" si="7"/>
        <v>-4.8016584775948008E-3</v>
      </c>
    </row>
    <row r="47" spans="1:7" ht="15.75" thickBot="1" x14ac:dyDescent="0.3">
      <c r="A47" s="240" t="s">
        <v>297</v>
      </c>
      <c r="B47" s="242">
        <v>13238</v>
      </c>
      <c r="C47" s="413">
        <v>13520</v>
      </c>
      <c r="D47" s="422">
        <f t="shared" si="6"/>
        <v>2.1302311527421059E-2</v>
      </c>
      <c r="E47" s="242">
        <v>13238</v>
      </c>
      <c r="F47" s="413">
        <v>13230</v>
      </c>
      <c r="G47" s="422">
        <f t="shared" si="7"/>
        <v>-6.0432089439492367E-4</v>
      </c>
    </row>
    <row r="48" spans="1:7" ht="15.75" thickBot="1" x14ac:dyDescent="0.3">
      <c r="A48" s="245" t="s">
        <v>143</v>
      </c>
      <c r="B48" s="246">
        <v>487</v>
      </c>
      <c r="C48" s="418">
        <v>0</v>
      </c>
      <c r="D48" s="422">
        <f t="shared" si="6"/>
        <v>-1</v>
      </c>
      <c r="E48" s="246">
        <v>487</v>
      </c>
      <c r="F48" s="418">
        <v>0</v>
      </c>
      <c r="G48" s="422">
        <f t="shared" si="7"/>
        <v>-1</v>
      </c>
    </row>
    <row r="49" spans="1:20" ht="15.75" thickBot="1" x14ac:dyDescent="0.3">
      <c r="A49" s="249" t="s">
        <v>185</v>
      </c>
      <c r="B49" s="250">
        <f>SUM(B42:B48)</f>
        <v>4612540</v>
      </c>
      <c r="C49" s="415">
        <f>SUM(C42:C48)</f>
        <v>5069095</v>
      </c>
      <c r="D49" s="424">
        <f>(C49-B49)/B49</f>
        <v>9.898125544710723E-2</v>
      </c>
      <c r="E49" s="250">
        <f>SUM(E42:E48)</f>
        <v>4612540</v>
      </c>
      <c r="F49" s="415">
        <f>SUM(F42:F48)</f>
        <v>4954658</v>
      </c>
      <c r="G49" s="424">
        <f>(F49-E49)/E49</f>
        <v>7.417128089946104E-2</v>
      </c>
    </row>
    <row r="50" spans="1:20" ht="15.75" thickBot="1" x14ac:dyDescent="0.3">
      <c r="A50" s="382" t="s">
        <v>186</v>
      </c>
      <c r="B50" s="383">
        <f>+B40+B49</f>
        <v>6960377</v>
      </c>
      <c r="C50" s="416">
        <f>+C40+C49</f>
        <v>7493293</v>
      </c>
      <c r="D50" s="425">
        <f t="shared" si="6"/>
        <v>7.6564243574737401E-2</v>
      </c>
      <c r="E50" s="383">
        <f>+E40+E49</f>
        <v>6960377</v>
      </c>
      <c r="F50" s="416">
        <f>+F40+F49</f>
        <v>7464113</v>
      </c>
      <c r="G50" s="425">
        <f>(F50-E50)/E50</f>
        <v>7.2371941922111396E-2</v>
      </c>
    </row>
    <row r="51" spans="1:20" x14ac:dyDescent="0.25">
      <c r="A51" s="376" t="s">
        <v>34</v>
      </c>
      <c r="B51" s="377"/>
      <c r="C51" s="411"/>
      <c r="D51" s="411"/>
      <c r="E51" s="377"/>
      <c r="F51" s="411"/>
      <c r="G51" s="411"/>
    </row>
    <row r="52" spans="1:20" ht="15.75" thickBot="1" x14ac:dyDescent="0.3">
      <c r="A52" s="249" t="s">
        <v>187</v>
      </c>
      <c r="B52" s="250">
        <v>8627950</v>
      </c>
      <c r="C52" s="415">
        <v>7704735</v>
      </c>
      <c r="D52" s="424">
        <f>(C52-B52)/B52</f>
        <v>-0.10700282222312368</v>
      </c>
      <c r="E52" s="250">
        <v>8627950</v>
      </c>
      <c r="F52" s="415">
        <v>7339184</v>
      </c>
      <c r="G52" s="424">
        <f>(F52-E52)/E52</f>
        <v>-0.14937105569689207</v>
      </c>
    </row>
    <row r="53" spans="1:20" ht="15.75" thickBot="1" x14ac:dyDescent="0.3">
      <c r="A53" s="259" t="s">
        <v>188</v>
      </c>
      <c r="B53" s="247">
        <v>56914</v>
      </c>
      <c r="C53" s="414">
        <v>59473</v>
      </c>
      <c r="D53" s="423">
        <f>(C53-B53)/B53</f>
        <v>4.4962575113328886E-2</v>
      </c>
      <c r="E53" s="247">
        <v>56914</v>
      </c>
      <c r="F53" s="414">
        <v>56696</v>
      </c>
      <c r="G53" s="423">
        <f>(F53-E53)/E53</f>
        <v>-3.8303405137575992E-3</v>
      </c>
    </row>
    <row r="54" spans="1:20" ht="15.75" thickBot="1" x14ac:dyDescent="0.3">
      <c r="A54" s="382" t="s">
        <v>189</v>
      </c>
      <c r="B54" s="383">
        <f>SUM(B52:B53)</f>
        <v>8684864</v>
      </c>
      <c r="C54" s="416">
        <f>SUM(C52:C53)</f>
        <v>7764208</v>
      </c>
      <c r="D54" s="425">
        <f>(C54-B54)/B54</f>
        <v>-0.10600695647047553</v>
      </c>
      <c r="E54" s="383">
        <f>SUM(E52:E53)</f>
        <v>8684864</v>
      </c>
      <c r="F54" s="416">
        <f>SUM(F52:F53)</f>
        <v>7395880</v>
      </c>
      <c r="G54" s="425">
        <f>(F54-E54)/E54</f>
        <v>-0.14841729242967996</v>
      </c>
    </row>
    <row r="55" spans="1:20" ht="15.75" thickBot="1" x14ac:dyDescent="0.3">
      <c r="A55" s="380" t="s">
        <v>190</v>
      </c>
      <c r="B55" s="381">
        <f>+B50+B54</f>
        <v>15645241</v>
      </c>
      <c r="C55" s="419">
        <f>+C50+C54</f>
        <v>15257501</v>
      </c>
      <c r="D55" s="426">
        <f>(C55-B55)/B55</f>
        <v>-2.4783255176446306E-2</v>
      </c>
      <c r="E55" s="381">
        <f>+E50+E54</f>
        <v>15645241</v>
      </c>
      <c r="F55" s="419">
        <f>+F50+F54</f>
        <v>14859993</v>
      </c>
      <c r="G55" s="426">
        <f>(F55-E55)/E55</f>
        <v>-5.0190853563713084E-2</v>
      </c>
    </row>
    <row r="57" spans="1:20" x14ac:dyDescent="0.25">
      <c r="B57" s="263"/>
      <c r="C57" s="263"/>
      <c r="D57" s="263"/>
      <c r="E57" s="263"/>
      <c r="F57" s="263"/>
      <c r="H57" s="263"/>
      <c r="J57" s="263"/>
      <c r="M57" s="263"/>
      <c r="O57" s="263"/>
      <c r="R57" s="263"/>
      <c r="T57" s="263"/>
    </row>
    <row r="58" spans="1:20" ht="18.75" x14ac:dyDescent="0.3">
      <c r="A58" s="264" t="s">
        <v>191</v>
      </c>
      <c r="B58" s="362"/>
      <c r="C58" s="362"/>
      <c r="D58" s="362"/>
      <c r="E58" s="362"/>
    </row>
    <row r="59" spans="1:20" x14ac:dyDescent="0.25">
      <c r="A59" s="332" t="s">
        <v>215</v>
      </c>
      <c r="B59" s="362"/>
      <c r="C59" s="362"/>
      <c r="D59" s="362"/>
      <c r="E59" s="362"/>
    </row>
    <row r="60" spans="1:20" x14ac:dyDescent="0.25">
      <c r="A60" s="332" t="s">
        <v>88</v>
      </c>
      <c r="B60" s="362"/>
      <c r="C60" s="362"/>
      <c r="D60" s="362"/>
      <c r="E60" s="362"/>
    </row>
    <row r="61" spans="1:20" x14ac:dyDescent="0.25">
      <c r="A61" s="265" t="s">
        <v>159</v>
      </c>
      <c r="B61" s="362"/>
      <c r="C61" s="362"/>
      <c r="D61" s="362"/>
      <c r="E61" s="362"/>
    </row>
    <row r="62" spans="1:20" ht="15.75" thickBot="1" x14ac:dyDescent="0.3">
      <c r="B62" s="364"/>
      <c r="C62" s="364"/>
      <c r="D62" s="364"/>
      <c r="E62" s="364"/>
    </row>
    <row r="63" spans="1:20" ht="15.75" customHeight="1" thickBot="1" x14ac:dyDescent="0.3">
      <c r="A63" s="353"/>
      <c r="B63" s="388" t="s">
        <v>299</v>
      </c>
      <c r="C63" s="388" t="s">
        <v>55</v>
      </c>
      <c r="D63" s="400" t="s">
        <v>324</v>
      </c>
      <c r="E63" s="400" t="s">
        <v>55</v>
      </c>
      <c r="F63" s="388" t="s">
        <v>46</v>
      </c>
      <c r="G63" s="388" t="s">
        <v>299</v>
      </c>
      <c r="H63" s="400" t="s">
        <v>324</v>
      </c>
      <c r="I63" s="388" t="s">
        <v>307</v>
      </c>
      <c r="J63" s="388" t="s">
        <v>55</v>
      </c>
      <c r="K63" s="400" t="s">
        <v>329</v>
      </c>
      <c r="L63" s="400" t="s">
        <v>55</v>
      </c>
      <c r="M63" s="388" t="s">
        <v>46</v>
      </c>
      <c r="N63" s="388" t="s">
        <v>309</v>
      </c>
      <c r="O63" s="388" t="s">
        <v>55</v>
      </c>
      <c r="P63" s="400" t="s">
        <v>330</v>
      </c>
      <c r="Q63" s="400" t="s">
        <v>55</v>
      </c>
      <c r="R63" s="388" t="s">
        <v>46</v>
      </c>
    </row>
    <row r="64" spans="1:20" ht="15.75" thickTop="1" x14ac:dyDescent="0.25">
      <c r="A64" s="390" t="s">
        <v>193</v>
      </c>
      <c r="B64" s="389"/>
      <c r="C64" s="389"/>
      <c r="D64" s="401"/>
      <c r="E64" s="406"/>
      <c r="F64" s="389"/>
      <c r="G64" s="389"/>
      <c r="H64" s="401"/>
      <c r="I64" s="389"/>
      <c r="J64" s="389"/>
      <c r="K64" s="401"/>
      <c r="L64" s="406"/>
      <c r="M64" s="389"/>
      <c r="N64" s="389"/>
      <c r="O64" s="389"/>
      <c r="P64" s="401"/>
      <c r="Q64" s="406"/>
      <c r="R64" s="389"/>
    </row>
    <row r="65" spans="1:18" ht="15.75" thickBot="1" x14ac:dyDescent="0.3">
      <c r="A65" s="391" t="s">
        <v>292</v>
      </c>
      <c r="B65" s="458">
        <v>2245742</v>
      </c>
      <c r="C65" s="387">
        <f t="shared" ref="C65:C84" si="8">+B65/$B$65</f>
        <v>1</v>
      </c>
      <c r="D65" s="395">
        <v>2659333</v>
      </c>
      <c r="E65" s="387">
        <f t="shared" ref="E65:E84" si="9">+D65/$D$65</f>
        <v>1</v>
      </c>
      <c r="F65" s="387">
        <f t="shared" ref="F65:F84" si="10">(D65-B65)/B65</f>
        <v>0.18416674756049448</v>
      </c>
      <c r="G65" s="458">
        <v>2245742</v>
      </c>
      <c r="H65" s="395">
        <v>2659333</v>
      </c>
      <c r="I65" s="458">
        <v>2400675</v>
      </c>
      <c r="J65" s="387">
        <f>I65/$I$65</f>
        <v>1</v>
      </c>
      <c r="K65" s="395">
        <v>2665449</v>
      </c>
      <c r="L65" s="387">
        <f>K65/$K$65</f>
        <v>1</v>
      </c>
      <c r="M65" s="387">
        <f>(K65-I65)/I65</f>
        <v>0.11029148052110344</v>
      </c>
      <c r="N65" s="458">
        <f>G65+I65</f>
        <v>4646417</v>
      </c>
      <c r="O65" s="387">
        <f>N65/$N$65</f>
        <v>1</v>
      </c>
      <c r="P65" s="395">
        <f>H65+K65</f>
        <v>5324782</v>
      </c>
      <c r="Q65" s="387">
        <f>P65/$P$65</f>
        <v>1</v>
      </c>
      <c r="R65" s="387">
        <f>(P65-N65)/N65</f>
        <v>0.1459974427607337</v>
      </c>
    </row>
    <row r="66" spans="1:18" ht="15.75" thickBot="1" x14ac:dyDescent="0.3">
      <c r="A66" s="392" t="s">
        <v>273</v>
      </c>
      <c r="B66" s="460">
        <v>-1253514</v>
      </c>
      <c r="C66" s="384">
        <f t="shared" si="8"/>
        <v>-0.55817364594864416</v>
      </c>
      <c r="D66" s="456">
        <v>-1526792</v>
      </c>
      <c r="E66" s="407">
        <f t="shared" si="9"/>
        <v>-0.57412591804035074</v>
      </c>
      <c r="F66" s="384">
        <f t="shared" si="10"/>
        <v>0.21800953160475273</v>
      </c>
      <c r="G66" s="460">
        <v>-1253514</v>
      </c>
      <c r="H66" s="456">
        <v>-1526792</v>
      </c>
      <c r="I66" s="460">
        <v>-1330189</v>
      </c>
      <c r="J66" s="384">
        <f t="shared" ref="J66:J90" si="11">I66/$I$65</f>
        <v>-0.5540895789725806</v>
      </c>
      <c r="K66" s="456">
        <v>-1541575</v>
      </c>
      <c r="L66" s="407">
        <f t="shared" ref="L66:L89" si="12">K66/$K$65</f>
        <v>-0.57835471622229495</v>
      </c>
      <c r="M66" s="384">
        <f t="shared" ref="M66:M84" si="13">(K66-I66)/I66</f>
        <v>0.15891425955258989</v>
      </c>
      <c r="N66" s="460">
        <f t="shared" ref="N66:N90" si="14">G66+I66</f>
        <v>-2583703</v>
      </c>
      <c r="O66" s="384">
        <f t="shared" ref="O66:O90" si="15">N66/$N$65</f>
        <v>-0.55606352163398165</v>
      </c>
      <c r="P66" s="456">
        <f t="shared" ref="P66:P90" si="16">H66+K66</f>
        <v>-3068367</v>
      </c>
      <c r="Q66" s="407">
        <f t="shared" ref="Q66:Q90" si="17">P66/$P$65</f>
        <v>-0.57624274571240663</v>
      </c>
      <c r="R66" s="384">
        <f t="shared" ref="R66:R90" si="18">(P66-N66)/N66</f>
        <v>0.18758502815532591</v>
      </c>
    </row>
    <row r="67" spans="1:18" ht="15.75" thickBot="1" x14ac:dyDescent="0.3">
      <c r="A67" s="393" t="s">
        <v>196</v>
      </c>
      <c r="B67" s="461">
        <f>SUM(B65:B66)</f>
        <v>992228</v>
      </c>
      <c r="C67" s="386">
        <f t="shared" si="8"/>
        <v>0.44182635405135584</v>
      </c>
      <c r="D67" s="457">
        <f>SUM(D65:D66)</f>
        <v>1132541</v>
      </c>
      <c r="E67" s="408">
        <f t="shared" si="9"/>
        <v>0.42587408195964926</v>
      </c>
      <c r="F67" s="386">
        <f t="shared" si="10"/>
        <v>0.14141205448747668</v>
      </c>
      <c r="G67" s="461">
        <f>SUM(G65:G66)</f>
        <v>992228</v>
      </c>
      <c r="H67" s="457">
        <f>SUM(H65:H66)</f>
        <v>1132541</v>
      </c>
      <c r="I67" s="461">
        <f>SUM(I65:I66)</f>
        <v>1070486</v>
      </c>
      <c r="J67" s="386">
        <f t="shared" si="11"/>
        <v>0.44591042102741935</v>
      </c>
      <c r="K67" s="457">
        <f>SUM(K65:K66)</f>
        <v>1123874</v>
      </c>
      <c r="L67" s="408">
        <f t="shared" si="12"/>
        <v>0.42164528377770499</v>
      </c>
      <c r="M67" s="386">
        <f t="shared" si="13"/>
        <v>4.9872674654315892E-2</v>
      </c>
      <c r="N67" s="461">
        <f t="shared" si="14"/>
        <v>2062714</v>
      </c>
      <c r="O67" s="386">
        <f t="shared" si="15"/>
        <v>0.44393647836601835</v>
      </c>
      <c r="P67" s="457">
        <f t="shared" si="16"/>
        <v>2256415</v>
      </c>
      <c r="Q67" s="408">
        <f t="shared" si="17"/>
        <v>0.42375725428759337</v>
      </c>
      <c r="R67" s="386">
        <f t="shared" si="18"/>
        <v>9.3905892915838063E-2</v>
      </c>
    </row>
    <row r="68" spans="1:18" ht="15.75" thickBot="1" x14ac:dyDescent="0.3">
      <c r="A68" s="392" t="s">
        <v>7</v>
      </c>
      <c r="B68" s="460">
        <v>-104388</v>
      </c>
      <c r="C68" s="384">
        <f t="shared" si="8"/>
        <v>-4.6482632466240556E-2</v>
      </c>
      <c r="D68" s="456">
        <v>-118843</v>
      </c>
      <c r="E68" s="407">
        <f t="shared" si="9"/>
        <v>-4.4689025405994662E-2</v>
      </c>
      <c r="F68" s="384">
        <f t="shared" si="10"/>
        <v>0.13847377093152469</v>
      </c>
      <c r="G68" s="460">
        <v>-104388</v>
      </c>
      <c r="H68" s="456">
        <v>-118843</v>
      </c>
      <c r="I68" s="460">
        <v>-108782</v>
      </c>
      <c r="J68" s="384">
        <f t="shared" si="11"/>
        <v>-4.5313089027044479E-2</v>
      </c>
      <c r="K68" s="456">
        <v>-119542</v>
      </c>
      <c r="L68" s="407">
        <f t="shared" si="12"/>
        <v>-4.4848729050902869E-2</v>
      </c>
      <c r="M68" s="384">
        <f t="shared" si="13"/>
        <v>9.891342317662849E-2</v>
      </c>
      <c r="N68" s="460">
        <f t="shared" si="14"/>
        <v>-213170</v>
      </c>
      <c r="O68" s="384">
        <f t="shared" si="15"/>
        <v>-4.5878361757026975E-2</v>
      </c>
      <c r="P68" s="456">
        <f t="shared" si="16"/>
        <v>-238385</v>
      </c>
      <c r="Q68" s="407">
        <f t="shared" si="17"/>
        <v>-4.4768968945583125E-2</v>
      </c>
      <c r="R68" s="384">
        <f t="shared" si="18"/>
        <v>0.11828587512314115</v>
      </c>
    </row>
    <row r="69" spans="1:18" ht="15.75" thickBot="1" x14ac:dyDescent="0.3">
      <c r="A69" s="392" t="s">
        <v>8</v>
      </c>
      <c r="B69" s="460">
        <v>-625569</v>
      </c>
      <c r="C69" s="384">
        <f t="shared" si="8"/>
        <v>-0.27855782186911943</v>
      </c>
      <c r="D69" s="456">
        <v>-706386</v>
      </c>
      <c r="E69" s="407">
        <f t="shared" si="9"/>
        <v>-0.2656252526479384</v>
      </c>
      <c r="F69" s="384">
        <f t="shared" si="10"/>
        <v>0.12918958580108669</v>
      </c>
      <c r="G69" s="460">
        <v>-625569</v>
      </c>
      <c r="H69" s="456">
        <v>-706386</v>
      </c>
      <c r="I69" s="460">
        <v>-691588</v>
      </c>
      <c r="J69" s="384">
        <f t="shared" si="11"/>
        <v>-0.28808064398554573</v>
      </c>
      <c r="K69" s="456">
        <v>-676509</v>
      </c>
      <c r="L69" s="407">
        <f t="shared" si="12"/>
        <v>-0.25380676951613029</v>
      </c>
      <c r="M69" s="384">
        <f t="shared" si="13"/>
        <v>-2.1803443668773893E-2</v>
      </c>
      <c r="N69" s="460">
        <f t="shared" si="14"/>
        <v>-1317157</v>
      </c>
      <c r="O69" s="384">
        <f t="shared" si="15"/>
        <v>-0.28347800036027759</v>
      </c>
      <c r="P69" s="456">
        <f t="shared" si="16"/>
        <v>-1382895</v>
      </c>
      <c r="Q69" s="407">
        <f t="shared" si="17"/>
        <v>-0.25970922377667294</v>
      </c>
      <c r="R69" s="384">
        <f t="shared" si="18"/>
        <v>4.9909008569213847E-2</v>
      </c>
    </row>
    <row r="70" spans="1:18" ht="15.75" thickBot="1" x14ac:dyDescent="0.3">
      <c r="A70" s="392" t="s">
        <v>84</v>
      </c>
      <c r="B70" s="460">
        <v>-33782</v>
      </c>
      <c r="C70" s="384">
        <f t="shared" si="8"/>
        <v>-1.5042689676730453E-2</v>
      </c>
      <c r="D70" s="456">
        <v>-38263</v>
      </c>
      <c r="E70" s="407">
        <f t="shared" si="9"/>
        <v>-1.4388194332939877E-2</v>
      </c>
      <c r="F70" s="384">
        <f t="shared" si="10"/>
        <v>0.13264460363507194</v>
      </c>
      <c r="G70" s="460">
        <v>-33782</v>
      </c>
      <c r="H70" s="456">
        <v>-38263</v>
      </c>
      <c r="I70" s="460">
        <v>-39119</v>
      </c>
      <c r="J70" s="384">
        <f t="shared" si="11"/>
        <v>-1.6295000364480824E-2</v>
      </c>
      <c r="K70" s="456">
        <v>-51216</v>
      </c>
      <c r="L70" s="407">
        <f t="shared" si="12"/>
        <v>-1.9214773946153164E-2</v>
      </c>
      <c r="M70" s="384">
        <f t="shared" si="13"/>
        <v>0.30923592116362891</v>
      </c>
      <c r="N70" s="460">
        <f t="shared" si="14"/>
        <v>-72901</v>
      </c>
      <c r="O70" s="384">
        <f t="shared" si="15"/>
        <v>-1.5689723931364748E-2</v>
      </c>
      <c r="P70" s="456">
        <f t="shared" si="16"/>
        <v>-89479</v>
      </c>
      <c r="Q70" s="407">
        <f t="shared" si="17"/>
        <v>-1.6804256024002484E-2</v>
      </c>
      <c r="R70" s="384">
        <f t="shared" si="18"/>
        <v>0.22740428800702323</v>
      </c>
    </row>
    <row r="71" spans="1:18" ht="15.75" thickBot="1" x14ac:dyDescent="0.3">
      <c r="A71" s="392" t="s">
        <v>197</v>
      </c>
      <c r="B71" s="460">
        <v>3810</v>
      </c>
      <c r="C71" s="384">
        <f t="shared" si="8"/>
        <v>1.6965439485034344E-3</v>
      </c>
      <c r="D71" s="456">
        <v>-13838</v>
      </c>
      <c r="E71" s="407">
        <f t="shared" si="9"/>
        <v>-5.2035604416596189E-3</v>
      </c>
      <c r="F71" s="384" t="s">
        <v>131</v>
      </c>
      <c r="G71" s="460">
        <v>3810</v>
      </c>
      <c r="H71" s="456">
        <v>-13838</v>
      </c>
      <c r="I71" s="460">
        <v>854</v>
      </c>
      <c r="J71" s="384">
        <f t="shared" si="11"/>
        <v>3.5573328334739189E-4</v>
      </c>
      <c r="K71" s="456">
        <v>13527</v>
      </c>
      <c r="L71" s="407">
        <f t="shared" si="12"/>
        <v>5.0749423455485358E-3</v>
      </c>
      <c r="M71" s="384" t="s">
        <v>131</v>
      </c>
      <c r="N71" s="460">
        <f t="shared" si="14"/>
        <v>4664</v>
      </c>
      <c r="O71" s="384">
        <f t="shared" si="15"/>
        <v>1.0037842061958709E-3</v>
      </c>
      <c r="P71" s="456">
        <f t="shared" si="16"/>
        <v>-311</v>
      </c>
      <c r="Q71" s="407">
        <f t="shared" si="17"/>
        <v>-5.8406146955875375E-5</v>
      </c>
      <c r="R71" s="384">
        <f t="shared" si="18"/>
        <v>-1.0666809605488852</v>
      </c>
    </row>
    <row r="72" spans="1:18" ht="15.75" thickBot="1" x14ac:dyDescent="0.3">
      <c r="A72" s="392" t="s">
        <v>144</v>
      </c>
      <c r="B72" s="460">
        <v>-2136</v>
      </c>
      <c r="C72" s="384">
        <f t="shared" si="8"/>
        <v>-9.5113330026334278E-4</v>
      </c>
      <c r="D72" s="456">
        <v>1430</v>
      </c>
      <c r="E72" s="407">
        <f t="shared" si="9"/>
        <v>5.3772882147515939E-4</v>
      </c>
      <c r="F72" s="384">
        <f t="shared" si="10"/>
        <v>-1.6694756554307115</v>
      </c>
      <c r="G72" s="460">
        <v>-2136</v>
      </c>
      <c r="H72" s="456">
        <v>1430</v>
      </c>
      <c r="I72" s="460">
        <v>3310</v>
      </c>
      <c r="J72" s="384">
        <f t="shared" si="11"/>
        <v>1.3787788851052309E-3</v>
      </c>
      <c r="K72" s="456">
        <v>-9931</v>
      </c>
      <c r="L72" s="407">
        <f t="shared" si="12"/>
        <v>-3.72582630543672E-3</v>
      </c>
      <c r="M72" s="384">
        <f t="shared" si="13"/>
        <v>-4.0003021148036257</v>
      </c>
      <c r="N72" s="460">
        <f t="shared" si="14"/>
        <v>1174</v>
      </c>
      <c r="O72" s="384">
        <f t="shared" si="15"/>
        <v>2.5266780833489548E-4</v>
      </c>
      <c r="P72" s="456">
        <f t="shared" si="16"/>
        <v>-8501</v>
      </c>
      <c r="Q72" s="407">
        <f t="shared" si="17"/>
        <v>-1.5964972838324648E-3</v>
      </c>
      <c r="R72" s="384" t="s">
        <v>131</v>
      </c>
    </row>
    <row r="73" spans="1:18" ht="16.5" customHeight="1" thickBot="1" x14ac:dyDescent="0.3">
      <c r="A73" s="391" t="s">
        <v>198</v>
      </c>
      <c r="B73" s="458">
        <f>SUM(B67:B72)</f>
        <v>230163</v>
      </c>
      <c r="C73" s="387">
        <f t="shared" si="8"/>
        <v>0.10248862068750551</v>
      </c>
      <c r="D73" s="458">
        <f>SUM(D67:D72)</f>
        <v>256641</v>
      </c>
      <c r="E73" s="387">
        <f t="shared" si="9"/>
        <v>9.6505777952591867E-2</v>
      </c>
      <c r="F73" s="387">
        <f t="shared" si="10"/>
        <v>0.11504021063333376</v>
      </c>
      <c r="G73" s="458">
        <f>SUM(G67:G72)</f>
        <v>230163</v>
      </c>
      <c r="H73" s="458">
        <f>SUM(H67:H72)</f>
        <v>256641</v>
      </c>
      <c r="I73" s="458">
        <f>SUM(I67:I72)</f>
        <v>235161</v>
      </c>
      <c r="J73" s="387">
        <f t="shared" si="11"/>
        <v>9.7956199818800965E-2</v>
      </c>
      <c r="K73" s="458">
        <f>SUM(K67:K72)</f>
        <v>280203</v>
      </c>
      <c r="L73" s="387">
        <f t="shared" si="12"/>
        <v>0.10512412730463047</v>
      </c>
      <c r="M73" s="387">
        <f t="shared" si="13"/>
        <v>0.19153686197966499</v>
      </c>
      <c r="N73" s="458">
        <f t="shared" si="14"/>
        <v>465324</v>
      </c>
      <c r="O73" s="387">
        <f t="shared" si="15"/>
        <v>0.10014684433187981</v>
      </c>
      <c r="P73" s="458">
        <f t="shared" si="16"/>
        <v>536844</v>
      </c>
      <c r="Q73" s="387">
        <f t="shared" si="17"/>
        <v>0.10081990211054649</v>
      </c>
      <c r="R73" s="387">
        <f t="shared" si="18"/>
        <v>0.15369935786677669</v>
      </c>
    </row>
    <row r="74" spans="1:18" ht="15.75" thickBot="1" x14ac:dyDescent="0.3">
      <c r="A74" s="392" t="s">
        <v>51</v>
      </c>
      <c r="B74" s="460">
        <v>3427</v>
      </c>
      <c r="C74" s="384">
        <f t="shared" si="8"/>
        <v>1.5259989794019081E-3</v>
      </c>
      <c r="D74" s="456">
        <v>4300</v>
      </c>
      <c r="E74" s="407">
        <f t="shared" si="9"/>
        <v>1.6169468058343953E-3</v>
      </c>
      <c r="F74" s="384">
        <f t="shared" si="10"/>
        <v>0.25474175663845927</v>
      </c>
      <c r="G74" s="460">
        <v>3427</v>
      </c>
      <c r="H74" s="456">
        <v>4300</v>
      </c>
      <c r="I74" s="460">
        <v>3687</v>
      </c>
      <c r="J74" s="384">
        <f t="shared" si="11"/>
        <v>1.5358180511731076E-3</v>
      </c>
      <c r="K74" s="456">
        <v>5402</v>
      </c>
      <c r="L74" s="407">
        <f t="shared" si="12"/>
        <v>2.026675430668529E-3</v>
      </c>
      <c r="M74" s="384">
        <f t="shared" si="13"/>
        <v>0.46514781665310551</v>
      </c>
      <c r="N74" s="460">
        <f t="shared" si="14"/>
        <v>7114</v>
      </c>
      <c r="O74" s="384">
        <f t="shared" si="15"/>
        <v>1.5310722218862406E-3</v>
      </c>
      <c r="P74" s="456">
        <f t="shared" si="16"/>
        <v>9702</v>
      </c>
      <c r="Q74" s="407">
        <f t="shared" si="17"/>
        <v>1.8220464236845752E-3</v>
      </c>
      <c r="R74" s="384">
        <f t="shared" si="18"/>
        <v>0.36378971043013775</v>
      </c>
    </row>
    <row r="75" spans="1:18" ht="15.75" thickBot="1" x14ac:dyDescent="0.3">
      <c r="A75" s="392" t="s">
        <v>11</v>
      </c>
      <c r="B75" s="460">
        <v>-72588</v>
      </c>
      <c r="C75" s="384">
        <f t="shared" si="8"/>
        <v>-3.2322501872432366E-2</v>
      </c>
      <c r="D75" s="456">
        <v>-77029</v>
      </c>
      <c r="E75" s="407">
        <f t="shared" si="9"/>
        <v>-2.8965533838748288E-2</v>
      </c>
      <c r="F75" s="384">
        <f t="shared" si="10"/>
        <v>6.1180911445417978E-2</v>
      </c>
      <c r="G75" s="460">
        <v>-72588</v>
      </c>
      <c r="H75" s="456">
        <v>-77029</v>
      </c>
      <c r="I75" s="460">
        <v>-74889</v>
      </c>
      <c r="J75" s="384">
        <f t="shared" si="11"/>
        <v>-3.1194976412883876E-2</v>
      </c>
      <c r="K75" s="456">
        <v>-78002</v>
      </c>
      <c r="L75" s="407">
        <f t="shared" si="12"/>
        <v>-2.926411272547327E-2</v>
      </c>
      <c r="M75" s="384">
        <f t="shared" si="13"/>
        <v>4.156818758429142E-2</v>
      </c>
      <c r="N75" s="460">
        <f t="shared" si="14"/>
        <v>-147477</v>
      </c>
      <c r="O75" s="384">
        <f t="shared" si="15"/>
        <v>-3.1739940689783114E-2</v>
      </c>
      <c r="P75" s="456">
        <f t="shared" si="16"/>
        <v>-155031</v>
      </c>
      <c r="Q75" s="407">
        <f t="shared" si="17"/>
        <v>-2.9114994754714841E-2</v>
      </c>
      <c r="R75" s="384">
        <f t="shared" si="18"/>
        <v>5.1221546410626741E-2</v>
      </c>
    </row>
    <row r="76" spans="1:18" ht="15.75" thickBot="1" x14ac:dyDescent="0.3">
      <c r="A76" s="392" t="s">
        <v>272</v>
      </c>
      <c r="B76" s="460">
        <v>61493</v>
      </c>
      <c r="C76" s="384">
        <f t="shared" si="8"/>
        <v>2.7382041213995196E-2</v>
      </c>
      <c r="D76" s="456">
        <v>65582</v>
      </c>
      <c r="E76" s="407">
        <f t="shared" si="9"/>
        <v>2.4661071027960772E-2</v>
      </c>
      <c r="F76" s="384">
        <f t="shared" si="10"/>
        <v>6.649537345714146E-2</v>
      </c>
      <c r="G76" s="460">
        <v>61493</v>
      </c>
      <c r="H76" s="456">
        <v>65582</v>
      </c>
      <c r="I76" s="460">
        <v>10</v>
      </c>
      <c r="J76" s="384">
        <f t="shared" si="11"/>
        <v>4.1654951211638396E-6</v>
      </c>
      <c r="K76" s="456">
        <v>3112</v>
      </c>
      <c r="L76" s="407">
        <f t="shared" si="12"/>
        <v>1.1675331248131179E-3</v>
      </c>
      <c r="M76" s="384" t="s">
        <v>131</v>
      </c>
      <c r="N76" s="460">
        <f t="shared" si="14"/>
        <v>61503</v>
      </c>
      <c r="O76" s="384">
        <f t="shared" si="15"/>
        <v>1.3236650950614205E-2</v>
      </c>
      <c r="P76" s="456">
        <f t="shared" si="16"/>
        <v>68694</v>
      </c>
      <c r="Q76" s="407">
        <f t="shared" si="17"/>
        <v>1.290080983597075E-2</v>
      </c>
      <c r="R76" s="384">
        <f t="shared" si="18"/>
        <v>0.11692112579874152</v>
      </c>
    </row>
    <row r="77" spans="1:18" ht="15.75" thickBot="1" x14ac:dyDescent="0.3">
      <c r="A77" s="392" t="s">
        <v>200</v>
      </c>
      <c r="B77" s="460">
        <v>702</v>
      </c>
      <c r="C77" s="384">
        <f t="shared" si="8"/>
        <v>3.1259156216519973E-4</v>
      </c>
      <c r="D77" s="456">
        <v>16393</v>
      </c>
      <c r="E77" s="407">
        <f t="shared" si="9"/>
        <v>6.164327671637963E-3</v>
      </c>
      <c r="F77" s="384" t="s">
        <v>131</v>
      </c>
      <c r="G77" s="460">
        <v>702</v>
      </c>
      <c r="H77" s="456">
        <v>16393</v>
      </c>
      <c r="I77" s="460">
        <v>-1437</v>
      </c>
      <c r="J77" s="384">
        <f t="shared" si="11"/>
        <v>-5.9858164891124369E-4</v>
      </c>
      <c r="K77" s="456">
        <v>-16514</v>
      </c>
      <c r="L77" s="407">
        <f t="shared" si="12"/>
        <v>-6.1955790562865766E-3</v>
      </c>
      <c r="M77" s="384" t="s">
        <v>131</v>
      </c>
      <c r="N77" s="460">
        <f t="shared" si="14"/>
        <v>-735</v>
      </c>
      <c r="O77" s="384">
        <f t="shared" si="15"/>
        <v>-1.5818640470711089E-4</v>
      </c>
      <c r="P77" s="456">
        <f t="shared" si="16"/>
        <v>-121</v>
      </c>
      <c r="Q77" s="407">
        <f t="shared" si="17"/>
        <v>-2.272393498926341E-5</v>
      </c>
      <c r="R77" s="384">
        <f t="shared" si="18"/>
        <v>-0.8353741496598639</v>
      </c>
    </row>
    <row r="78" spans="1:18" ht="15.75" thickBot="1" x14ac:dyDescent="0.3">
      <c r="A78" s="392" t="s">
        <v>275</v>
      </c>
      <c r="B78" s="460">
        <v>-377</v>
      </c>
      <c r="C78" s="384">
        <f t="shared" si="8"/>
        <v>-1.6787324634797763E-4</v>
      </c>
      <c r="D78" s="456">
        <v>-6316</v>
      </c>
      <c r="E78" s="407">
        <f t="shared" si="9"/>
        <v>-2.3750316338721025E-3</v>
      </c>
      <c r="F78" s="384" t="s">
        <v>131</v>
      </c>
      <c r="G78" s="460">
        <v>-377</v>
      </c>
      <c r="H78" s="456">
        <v>-6316</v>
      </c>
      <c r="I78" s="460">
        <v>-523</v>
      </c>
      <c r="J78" s="384">
        <f t="shared" si="11"/>
        <v>-2.178553948368688E-4</v>
      </c>
      <c r="K78" s="456">
        <v>548</v>
      </c>
      <c r="L78" s="407">
        <f t="shared" si="12"/>
        <v>2.0559387930513772E-4</v>
      </c>
      <c r="M78" s="384" t="s">
        <v>131</v>
      </c>
      <c r="N78" s="460">
        <f t="shared" si="14"/>
        <v>-900</v>
      </c>
      <c r="O78" s="384">
        <f t="shared" si="15"/>
        <v>-1.9369763841687047E-4</v>
      </c>
      <c r="P78" s="456">
        <f t="shared" si="16"/>
        <v>-5768</v>
      </c>
      <c r="Q78" s="407">
        <f t="shared" si="17"/>
        <v>-1.0832368348600938E-3</v>
      </c>
      <c r="R78" s="384" t="s">
        <v>131</v>
      </c>
    </row>
    <row r="79" spans="1:18" ht="15.75" thickBot="1" x14ac:dyDescent="0.3">
      <c r="A79" s="393" t="s">
        <v>204</v>
      </c>
      <c r="B79" s="461">
        <f>SUM(B73:B78)</f>
        <v>222820</v>
      </c>
      <c r="C79" s="386">
        <f t="shared" si="8"/>
        <v>9.9218877324287469E-2</v>
      </c>
      <c r="D79" s="457">
        <f>SUM(D73:D78)</f>
        <v>259571</v>
      </c>
      <c r="E79" s="408">
        <f t="shared" si="9"/>
        <v>9.7607557985404617E-2</v>
      </c>
      <c r="F79" s="386">
        <f t="shared" si="10"/>
        <v>0.16493582263710618</v>
      </c>
      <c r="G79" s="461">
        <f>SUM(G73:G78)</f>
        <v>222820</v>
      </c>
      <c r="H79" s="457">
        <f>SUM(H73:H78)</f>
        <v>259571</v>
      </c>
      <c r="I79" s="461">
        <f>SUM(I73:I78)</f>
        <v>162009</v>
      </c>
      <c r="J79" s="386">
        <f t="shared" si="11"/>
        <v>6.7484769908463249E-2</v>
      </c>
      <c r="K79" s="457">
        <f>SUM(K73:K78)</f>
        <v>194749</v>
      </c>
      <c r="L79" s="408">
        <f t="shared" si="12"/>
        <v>7.3064237957657416E-2</v>
      </c>
      <c r="M79" s="386">
        <f t="shared" si="13"/>
        <v>0.20208753834663506</v>
      </c>
      <c r="N79" s="461">
        <f t="shared" si="14"/>
        <v>384829</v>
      </c>
      <c r="O79" s="386">
        <f t="shared" si="15"/>
        <v>8.2822742771473154E-2</v>
      </c>
      <c r="P79" s="457">
        <f t="shared" si="16"/>
        <v>454320</v>
      </c>
      <c r="Q79" s="408">
        <f t="shared" si="17"/>
        <v>8.5321802845637618E-2</v>
      </c>
      <c r="R79" s="386">
        <f t="shared" si="18"/>
        <v>0.18057630791858201</v>
      </c>
    </row>
    <row r="80" spans="1:18" ht="15.75" thickBot="1" x14ac:dyDescent="0.3">
      <c r="A80" s="392" t="s">
        <v>205</v>
      </c>
      <c r="B80" s="460">
        <v>-43888</v>
      </c>
      <c r="C80" s="384">
        <f t="shared" si="8"/>
        <v>-1.9542761367957674E-2</v>
      </c>
      <c r="D80" s="456">
        <v>-76490</v>
      </c>
      <c r="E80" s="407">
        <f t="shared" si="9"/>
        <v>-2.8762851436807652E-2</v>
      </c>
      <c r="F80" s="384">
        <f t="shared" si="10"/>
        <v>0.74284542471746262</v>
      </c>
      <c r="G80" s="460">
        <v>-43888</v>
      </c>
      <c r="H80" s="456">
        <v>-76490</v>
      </c>
      <c r="I80" s="460">
        <v>-49555</v>
      </c>
      <c r="J80" s="384">
        <f t="shared" si="11"/>
        <v>-2.0642111072927405E-2</v>
      </c>
      <c r="K80" s="456">
        <v>-66612</v>
      </c>
      <c r="L80" s="407">
        <f t="shared" si="12"/>
        <v>-2.4990911474952249E-2</v>
      </c>
      <c r="M80" s="384">
        <f t="shared" si="13"/>
        <v>0.34420341035213398</v>
      </c>
      <c r="N80" s="460">
        <f t="shared" si="14"/>
        <v>-93443</v>
      </c>
      <c r="O80" s="384">
        <f t="shared" si="15"/>
        <v>-2.0110764918430696E-2</v>
      </c>
      <c r="P80" s="456">
        <f t="shared" si="16"/>
        <v>-143102</v>
      </c>
      <c r="Q80" s="407">
        <f t="shared" si="17"/>
        <v>-2.6874715246558451E-2</v>
      </c>
      <c r="R80" s="384">
        <f t="shared" si="18"/>
        <v>0.53143627666063809</v>
      </c>
    </row>
    <row r="81" spans="1:18" ht="15.75" thickBot="1" x14ac:dyDescent="0.3">
      <c r="A81" s="394" t="s">
        <v>206</v>
      </c>
      <c r="B81" s="462">
        <v>-2661</v>
      </c>
      <c r="C81" s="385">
        <f t="shared" si="8"/>
        <v>-1.1849090411988554E-3</v>
      </c>
      <c r="D81" s="459">
        <v>8406</v>
      </c>
      <c r="E81" s="409">
        <f t="shared" si="9"/>
        <v>3.1609429883357968E-3</v>
      </c>
      <c r="F81" s="385" t="s">
        <v>131</v>
      </c>
      <c r="G81" s="462">
        <v>-2661</v>
      </c>
      <c r="H81" s="459">
        <v>8406</v>
      </c>
      <c r="I81" s="462">
        <v>-4414</v>
      </c>
      <c r="J81" s="385">
        <f t="shared" si="11"/>
        <v>-1.8386495464817187E-3</v>
      </c>
      <c r="K81" s="459">
        <v>11933</v>
      </c>
      <c r="L81" s="409">
        <f t="shared" si="12"/>
        <v>4.4769192732631536E-3</v>
      </c>
      <c r="M81" s="384" t="s">
        <v>131</v>
      </c>
      <c r="N81" s="462">
        <f t="shared" si="14"/>
        <v>-7075</v>
      </c>
      <c r="O81" s="385">
        <f t="shared" si="15"/>
        <v>-1.5226786575548428E-3</v>
      </c>
      <c r="P81" s="459">
        <f t="shared" si="16"/>
        <v>20339</v>
      </c>
      <c r="Q81" s="409">
        <f t="shared" si="17"/>
        <v>3.8196868904680041E-3</v>
      </c>
      <c r="R81" s="385" t="s">
        <v>131</v>
      </c>
    </row>
    <row r="82" spans="1:18" ht="15.75" thickBot="1" x14ac:dyDescent="0.3">
      <c r="A82" s="393" t="s">
        <v>207</v>
      </c>
      <c r="B82" s="461">
        <f>SUM(B79:B81)</f>
        <v>176271</v>
      </c>
      <c r="C82" s="386">
        <f t="shared" si="8"/>
        <v>7.8491206915130951E-2</v>
      </c>
      <c r="D82" s="457">
        <f>SUM(D79:D81)</f>
        <v>191487</v>
      </c>
      <c r="E82" s="408">
        <f t="shared" si="9"/>
        <v>7.2005649536932753E-2</v>
      </c>
      <c r="F82" s="386">
        <f t="shared" si="10"/>
        <v>8.6321629763262256E-2</v>
      </c>
      <c r="G82" s="461">
        <f>SUM(G79:G81)</f>
        <v>176271</v>
      </c>
      <c r="H82" s="457">
        <f>SUM(H79:H81)</f>
        <v>191487</v>
      </c>
      <c r="I82" s="461">
        <f>SUM(I79:I81)</f>
        <v>108040</v>
      </c>
      <c r="J82" s="386">
        <f t="shared" si="11"/>
        <v>4.5004009289054119E-2</v>
      </c>
      <c r="K82" s="457">
        <f>SUM(K79:K81)</f>
        <v>140070</v>
      </c>
      <c r="L82" s="408">
        <f t="shared" si="12"/>
        <v>5.2550245755968318E-2</v>
      </c>
      <c r="M82" s="386">
        <f t="shared" si="13"/>
        <v>0.29646427249166973</v>
      </c>
      <c r="N82" s="461">
        <f t="shared" si="14"/>
        <v>284311</v>
      </c>
      <c r="O82" s="386">
        <f t="shared" si="15"/>
        <v>6.1189299195487622E-2</v>
      </c>
      <c r="P82" s="457">
        <f t="shared" si="16"/>
        <v>331557</v>
      </c>
      <c r="Q82" s="408">
        <f t="shared" si="17"/>
        <v>6.2266774489547178E-2</v>
      </c>
      <c r="R82" s="386">
        <f t="shared" si="18"/>
        <v>0.16617717921571801</v>
      </c>
    </row>
    <row r="83" spans="1:18" ht="15.75" thickBot="1" x14ac:dyDescent="0.3">
      <c r="A83" s="392" t="s">
        <v>208</v>
      </c>
      <c r="B83" s="460">
        <v>-842</v>
      </c>
      <c r="C83" s="384">
        <f t="shared" si="8"/>
        <v>-3.7493175974800312E-4</v>
      </c>
      <c r="D83" s="456">
        <v>-95</v>
      </c>
      <c r="E83" s="407">
        <f t="shared" si="9"/>
        <v>-3.5723243384713388E-5</v>
      </c>
      <c r="F83" s="384">
        <f t="shared" si="10"/>
        <v>-0.88717339667458428</v>
      </c>
      <c r="G83" s="460">
        <v>-842</v>
      </c>
      <c r="H83" s="456">
        <v>-95</v>
      </c>
      <c r="I83" s="460">
        <v>-14</v>
      </c>
      <c r="J83" s="384">
        <f t="shared" si="11"/>
        <v>-5.8316931696293748E-6</v>
      </c>
      <c r="K83" s="456">
        <v>-169</v>
      </c>
      <c r="L83" s="407">
        <f t="shared" si="12"/>
        <v>-6.3403951829504147E-5</v>
      </c>
      <c r="M83" s="384">
        <f t="shared" si="13"/>
        <v>11.071428571428571</v>
      </c>
      <c r="N83" s="460">
        <f t="shared" si="14"/>
        <v>-856</v>
      </c>
      <c r="O83" s="384">
        <f t="shared" si="15"/>
        <v>-1.8422797609426791E-4</v>
      </c>
      <c r="P83" s="456">
        <f t="shared" si="16"/>
        <v>-264</v>
      </c>
      <c r="Q83" s="407">
        <f t="shared" si="17"/>
        <v>-4.9579494522029257E-5</v>
      </c>
      <c r="R83" s="386">
        <f t="shared" si="18"/>
        <v>-0.69158878504672894</v>
      </c>
    </row>
    <row r="84" spans="1:18" ht="15.75" thickBot="1" x14ac:dyDescent="0.3">
      <c r="A84" s="391" t="s">
        <v>209</v>
      </c>
      <c r="B84" s="458">
        <f>SUM(B82:B83)</f>
        <v>175429</v>
      </c>
      <c r="C84" s="387">
        <f t="shared" si="8"/>
        <v>7.8116275155382942E-2</v>
      </c>
      <c r="D84" s="395">
        <f>SUM(D82:D83)</f>
        <v>191392</v>
      </c>
      <c r="E84" s="387">
        <f t="shared" si="9"/>
        <v>7.196992629354805E-2</v>
      </c>
      <c r="F84" s="387">
        <f t="shared" si="10"/>
        <v>9.0994077376032476E-2</v>
      </c>
      <c r="G84" s="458">
        <f>SUM(G82:G83)</f>
        <v>175429</v>
      </c>
      <c r="H84" s="395">
        <f>SUM(H82:H83)</f>
        <v>191392</v>
      </c>
      <c r="I84" s="458">
        <f>SUM(I82:I83)</f>
        <v>108026</v>
      </c>
      <c r="J84" s="387">
        <f t="shared" si="11"/>
        <v>4.4998177595884488E-2</v>
      </c>
      <c r="K84" s="395">
        <f>SUM(K82:K83)</f>
        <v>139901</v>
      </c>
      <c r="L84" s="387">
        <f t="shared" si="12"/>
        <v>5.2486841804138817E-2</v>
      </c>
      <c r="M84" s="387">
        <f t="shared" si="13"/>
        <v>0.29506785403513969</v>
      </c>
      <c r="N84" s="458">
        <f t="shared" si="14"/>
        <v>283455</v>
      </c>
      <c r="O84" s="387">
        <f t="shared" si="15"/>
        <v>6.1005071219393352E-2</v>
      </c>
      <c r="P84" s="395">
        <f t="shared" si="16"/>
        <v>331293</v>
      </c>
      <c r="Q84" s="387">
        <f t="shared" si="17"/>
        <v>6.2217194995025149E-2</v>
      </c>
      <c r="R84" s="387">
        <f t="shared" si="18"/>
        <v>0.16876752923744509</v>
      </c>
    </row>
    <row r="85" spans="1:18" x14ac:dyDescent="0.25">
      <c r="A85" s="289"/>
      <c r="B85" s="291"/>
      <c r="C85" s="292"/>
      <c r="D85" s="294"/>
      <c r="E85" s="292"/>
      <c r="F85" s="292"/>
      <c r="G85" s="291"/>
      <c r="H85" s="294"/>
      <c r="I85" s="291"/>
      <c r="J85" s="292"/>
      <c r="K85" s="294"/>
      <c r="L85" s="292"/>
      <c r="M85" s="292"/>
      <c r="N85" s="291"/>
      <c r="O85" s="292"/>
      <c r="P85" s="294"/>
      <c r="Q85" s="292"/>
    </row>
    <row r="86" spans="1:18" x14ac:dyDescent="0.25">
      <c r="A86" s="295" t="s">
        <v>210</v>
      </c>
      <c r="B86" s="297"/>
      <c r="C86" s="298"/>
      <c r="D86" s="300"/>
      <c r="E86" s="298"/>
      <c r="F86" s="298"/>
      <c r="G86" s="297"/>
      <c r="H86" s="300"/>
      <c r="I86" s="297"/>
      <c r="J86" s="298"/>
      <c r="K86" s="300"/>
      <c r="L86" s="298"/>
      <c r="M86" s="298"/>
      <c r="N86" s="297"/>
      <c r="O86" s="298"/>
      <c r="P86" s="300"/>
      <c r="Q86" s="298"/>
    </row>
    <row r="87" spans="1:18" ht="15.75" thickBot="1" x14ac:dyDescent="0.3">
      <c r="A87" s="301" t="s">
        <v>211</v>
      </c>
      <c r="B87" s="274">
        <v>174437</v>
      </c>
      <c r="C87" s="384">
        <f>+B87/$B$65</f>
        <v>7.7674550326796224E-2</v>
      </c>
      <c r="D87" s="373">
        <v>190294</v>
      </c>
      <c r="E87" s="366">
        <f>+D87/$D$65</f>
        <v>7.1557040806848937E-2</v>
      </c>
      <c r="F87" s="384">
        <f>(D87-B87)/B87</f>
        <v>9.0903879337525875E-2</v>
      </c>
      <c r="G87" s="274">
        <v>174437</v>
      </c>
      <c r="H87" s="373">
        <v>190294</v>
      </c>
      <c r="I87" s="274">
        <v>106483</v>
      </c>
      <c r="J87" s="384">
        <f t="shared" si="11"/>
        <v>4.4355441698688908E-2</v>
      </c>
      <c r="K87" s="373">
        <v>138479</v>
      </c>
      <c r="L87" s="366">
        <f>K87/$K$65</f>
        <v>5.1953348197620736E-2</v>
      </c>
      <c r="M87" s="384">
        <f>(K87-I87)/I87</f>
        <v>0.30047988880854221</v>
      </c>
      <c r="N87" s="274">
        <f>G87+I87</f>
        <v>280920</v>
      </c>
      <c r="O87" s="384">
        <f t="shared" si="15"/>
        <v>6.0459489537852497E-2</v>
      </c>
      <c r="P87" s="373">
        <f t="shared" si="16"/>
        <v>328773</v>
      </c>
      <c r="Q87" s="366">
        <f t="shared" si="17"/>
        <v>6.1743936183678502E-2</v>
      </c>
      <c r="R87" s="384">
        <f t="shared" si="18"/>
        <v>0.17034387014096539</v>
      </c>
    </row>
    <row r="88" spans="1:18" ht="15.75" thickBot="1" x14ac:dyDescent="0.3">
      <c r="A88" s="303" t="s">
        <v>188</v>
      </c>
      <c r="B88" s="304">
        <v>992</v>
      </c>
      <c r="C88" s="385">
        <f>+B88/$B$65</f>
        <v>4.4172482858672099E-4</v>
      </c>
      <c r="D88" s="470">
        <v>1098</v>
      </c>
      <c r="E88" s="368">
        <f>+D88/$D$65</f>
        <v>4.1288548669910841E-4</v>
      </c>
      <c r="F88" s="385">
        <f>(D88-B88)/B88</f>
        <v>0.10685483870967742</v>
      </c>
      <c r="G88" s="304">
        <v>992</v>
      </c>
      <c r="H88" s="470">
        <v>1098</v>
      </c>
      <c r="I88" s="304">
        <v>1543</v>
      </c>
      <c r="J88" s="385">
        <f t="shared" si="11"/>
        <v>6.4273589719558038E-4</v>
      </c>
      <c r="K88" s="470">
        <v>1422</v>
      </c>
      <c r="L88" s="368">
        <f t="shared" si="12"/>
        <v>5.3349360651807633E-4</v>
      </c>
      <c r="M88" s="385">
        <f>(K88-I88)/I88</f>
        <v>-7.8418664938431623E-2</v>
      </c>
      <c r="N88" s="304">
        <f t="shared" si="14"/>
        <v>2535</v>
      </c>
      <c r="O88" s="385">
        <f t="shared" si="15"/>
        <v>5.4558168154085181E-4</v>
      </c>
      <c r="P88" s="470">
        <f t="shared" si="16"/>
        <v>2520</v>
      </c>
      <c r="Q88" s="368">
        <f t="shared" si="17"/>
        <v>4.7325881134664292E-4</v>
      </c>
      <c r="R88" s="385">
        <f t="shared" si="18"/>
        <v>-5.9171597633136093E-3</v>
      </c>
    </row>
    <row r="89" spans="1:18" ht="15.75" thickBot="1" x14ac:dyDescent="0.3">
      <c r="A89" s="306" t="s">
        <v>212</v>
      </c>
      <c r="B89" s="278">
        <f>SUM(B87:B88)</f>
        <v>175429</v>
      </c>
      <c r="C89" s="386">
        <f>+B89/$B$65</f>
        <v>7.8116275155382942E-2</v>
      </c>
      <c r="D89" s="375">
        <f>SUM(D87:D88)</f>
        <v>191392</v>
      </c>
      <c r="E89" s="367">
        <f>+D89/$D$65</f>
        <v>7.196992629354805E-2</v>
      </c>
      <c r="F89" s="386">
        <f>(D89-B89)/B89</f>
        <v>9.0994077376032476E-2</v>
      </c>
      <c r="G89" s="278">
        <f>SUM(G87:G88)</f>
        <v>175429</v>
      </c>
      <c r="H89" s="375">
        <f>SUM(H87:H88)</f>
        <v>191392</v>
      </c>
      <c r="I89" s="278">
        <f>SUM(I87:I88)</f>
        <v>108026</v>
      </c>
      <c r="J89" s="386">
        <f t="shared" si="11"/>
        <v>4.4998177595884488E-2</v>
      </c>
      <c r="K89" s="375">
        <f>SUM(K87:K88)</f>
        <v>139901</v>
      </c>
      <c r="L89" s="367">
        <f t="shared" si="12"/>
        <v>5.2486841804138817E-2</v>
      </c>
      <c r="M89" s="386">
        <f>(K89-I89)/I89</f>
        <v>0.29506785403513969</v>
      </c>
      <c r="N89" s="278">
        <f t="shared" si="14"/>
        <v>283455</v>
      </c>
      <c r="O89" s="386">
        <f t="shared" si="15"/>
        <v>6.1005071219393352E-2</v>
      </c>
      <c r="P89" s="375">
        <f t="shared" si="16"/>
        <v>331293</v>
      </c>
      <c r="Q89" s="367">
        <f t="shared" si="17"/>
        <v>6.2217194995025149E-2</v>
      </c>
      <c r="R89" s="386">
        <f t="shared" si="18"/>
        <v>0.16876752923744509</v>
      </c>
    </row>
    <row r="90" spans="1:18" ht="15.75" thickBot="1" x14ac:dyDescent="0.3">
      <c r="A90" s="369" t="s">
        <v>213</v>
      </c>
      <c r="B90" s="370">
        <v>320118</v>
      </c>
      <c r="C90" s="387">
        <f>+B90/$B$65</f>
        <v>0.14254442407008464</v>
      </c>
      <c r="D90" s="372">
        <v>376134</v>
      </c>
      <c r="E90" s="371">
        <f>+D90/$D$65</f>
        <v>0.14143922555016616</v>
      </c>
      <c r="F90" s="387">
        <f>(D90-B90)/B90</f>
        <v>0.17498547410642326</v>
      </c>
      <c r="G90" s="370">
        <v>320118</v>
      </c>
      <c r="H90" s="372">
        <v>376134</v>
      </c>
      <c r="I90" s="370">
        <v>327876</v>
      </c>
      <c r="J90" s="387">
        <f t="shared" si="11"/>
        <v>0.1365765878346715</v>
      </c>
      <c r="K90" s="372">
        <v>370188</v>
      </c>
      <c r="L90" s="371">
        <f>K90/$K$65</f>
        <v>0.13888391786899693</v>
      </c>
      <c r="M90" s="387">
        <f>(K90-I90)/I90</f>
        <v>0.12904878673644915</v>
      </c>
      <c r="N90" s="370">
        <f t="shared" si="14"/>
        <v>647994</v>
      </c>
      <c r="O90" s="387">
        <f t="shared" si="15"/>
        <v>0.13946100834255729</v>
      </c>
      <c r="P90" s="372">
        <f t="shared" si="16"/>
        <v>746322</v>
      </c>
      <c r="Q90" s="371">
        <f t="shared" si="17"/>
        <v>0.14016010420708302</v>
      </c>
      <c r="R90" s="387">
        <f t="shared" si="18"/>
        <v>0.1517421457606089</v>
      </c>
    </row>
  </sheetData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D40 D49 D29 D17 C67:C84 J67 J79:J84" formula="1"/>
  </ignoredErrors>
  <drawing r:id="rId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1"/>
  <sheetViews>
    <sheetView topLeftCell="J49" zoomScaleNormal="100" workbookViewId="0">
      <selection activeCell="W63" sqref="W63"/>
    </sheetView>
  </sheetViews>
  <sheetFormatPr baseColWidth="10" defaultColWidth="11.42578125" defaultRowHeight="15" x14ac:dyDescent="0.25"/>
  <cols>
    <col min="1" max="1" width="50.85546875" style="229" bestFit="1" customWidth="1"/>
    <col min="2" max="6" width="11.42578125" style="229" customWidth="1"/>
    <col min="7" max="8" width="11.42578125" style="229"/>
    <col min="9" max="9" width="13.140625" style="229" customWidth="1"/>
    <col min="10" max="24" width="11.42578125" style="229"/>
    <col min="25" max="25" width="7" style="229" bestFit="1" customWidth="1"/>
    <col min="26" max="16384" width="11.42578125" style="229"/>
  </cols>
  <sheetData>
    <row r="1" spans="1:10" ht="18.75" x14ac:dyDescent="0.3">
      <c r="A1" s="228" t="s">
        <v>157</v>
      </c>
      <c r="B1" s="362"/>
      <c r="C1" s="362"/>
      <c r="D1" s="362"/>
      <c r="E1" s="362"/>
    </row>
    <row r="2" spans="1:10" x14ac:dyDescent="0.25">
      <c r="A2" s="332" t="s">
        <v>332</v>
      </c>
      <c r="B2" s="362"/>
      <c r="C2" s="362"/>
      <c r="D2" s="362"/>
      <c r="E2" s="362"/>
    </row>
    <row r="3" spans="1:10" x14ac:dyDescent="0.25">
      <c r="A3" s="332" t="s">
        <v>88</v>
      </c>
      <c r="B3" s="362"/>
      <c r="C3" s="362"/>
      <c r="D3" s="362"/>
      <c r="E3" s="362"/>
    </row>
    <row r="4" spans="1:10" x14ac:dyDescent="0.25">
      <c r="A4" s="231" t="s">
        <v>159</v>
      </c>
      <c r="B4" s="362"/>
      <c r="C4" s="362"/>
      <c r="D4" s="362"/>
      <c r="E4" s="362"/>
    </row>
    <row r="5" spans="1:10" x14ac:dyDescent="0.25">
      <c r="A5" s="231"/>
      <c r="B5" s="362"/>
      <c r="C5" s="362"/>
      <c r="D5" s="362"/>
      <c r="E5" s="362"/>
    </row>
    <row r="6" spans="1:10" ht="20.25" customHeight="1" x14ac:dyDescent="0.25">
      <c r="A6" s="231" t="s">
        <v>331</v>
      </c>
      <c r="B6" s="362"/>
      <c r="C6" s="362"/>
      <c r="D6" s="362"/>
      <c r="E6" s="362"/>
    </row>
    <row r="7" spans="1:10" ht="15.75" thickBot="1" x14ac:dyDescent="0.3"/>
    <row r="8" spans="1:10" ht="23.25" thickBot="1" x14ac:dyDescent="0.3">
      <c r="A8" s="337"/>
      <c r="B8" s="338" t="s">
        <v>323</v>
      </c>
      <c r="C8" s="410" t="s">
        <v>325</v>
      </c>
      <c r="D8" s="420" t="s">
        <v>140</v>
      </c>
      <c r="E8" s="338" t="s">
        <v>323</v>
      </c>
      <c r="F8" s="410" t="s">
        <v>328</v>
      </c>
      <c r="G8" s="420" t="s">
        <v>140</v>
      </c>
      <c r="H8" s="338" t="s">
        <v>323</v>
      </c>
      <c r="I8" s="410" t="s">
        <v>333</v>
      </c>
      <c r="J8" s="420" t="s">
        <v>140</v>
      </c>
    </row>
    <row r="9" spans="1:10" ht="15.75" thickTop="1" x14ac:dyDescent="0.25">
      <c r="A9" s="376" t="s">
        <v>20</v>
      </c>
      <c r="B9" s="377"/>
      <c r="C9" s="411"/>
      <c r="D9" s="411"/>
      <c r="E9" s="377"/>
      <c r="F9" s="411"/>
      <c r="G9" s="411"/>
      <c r="H9" s="377"/>
      <c r="I9" s="411"/>
      <c r="J9" s="411"/>
    </row>
    <row r="10" spans="1:10" x14ac:dyDescent="0.25">
      <c r="A10" s="378" t="s">
        <v>160</v>
      </c>
      <c r="B10" s="379"/>
      <c r="C10" s="412"/>
      <c r="D10" s="421"/>
      <c r="E10" s="379"/>
      <c r="F10" s="412"/>
      <c r="G10" s="421"/>
      <c r="H10" s="379"/>
      <c r="I10" s="412"/>
      <c r="J10" s="421"/>
    </row>
    <row r="11" spans="1:10" ht="15.75" thickBot="1" x14ac:dyDescent="0.3">
      <c r="A11" s="240" t="s">
        <v>161</v>
      </c>
      <c r="B11" s="242">
        <v>497947</v>
      </c>
      <c r="C11" s="413">
        <v>578829</v>
      </c>
      <c r="D11" s="422">
        <f t="shared" ref="D11:D16" si="0">(C11-B11)/B11</f>
        <v>0.16243094144557554</v>
      </c>
      <c r="E11" s="242">
        <v>497947</v>
      </c>
      <c r="F11" s="413">
        <v>743445</v>
      </c>
      <c r="G11" s="422">
        <f t="shared" ref="G11:G17" si="1">(F11-E11)/E11</f>
        <v>0.49302034152229052</v>
      </c>
      <c r="H11" s="242">
        <v>497947</v>
      </c>
      <c r="I11" s="413">
        <v>887040</v>
      </c>
      <c r="J11" s="422">
        <f>(I11-H11)/H11</f>
        <v>0.78139440542869021</v>
      </c>
    </row>
    <row r="12" spans="1:10" ht="15.75" thickBot="1" x14ac:dyDescent="0.3">
      <c r="A12" s="240" t="s">
        <v>298</v>
      </c>
      <c r="B12" s="242">
        <v>1166248</v>
      </c>
      <c r="C12" s="413">
        <v>1355381</v>
      </c>
      <c r="D12" s="422">
        <f t="shared" si="0"/>
        <v>0.1621721966511411</v>
      </c>
      <c r="E12" s="242">
        <v>1166248</v>
      </c>
      <c r="F12" s="413">
        <v>1207640</v>
      </c>
      <c r="G12" s="422">
        <f t="shared" si="1"/>
        <v>3.5491593554715636E-2</v>
      </c>
      <c r="H12" s="242">
        <v>1166248</v>
      </c>
      <c r="I12" s="413">
        <v>1283933</v>
      </c>
      <c r="J12" s="422">
        <f t="shared" ref="J12:J17" si="2">(I12-H12)/H12</f>
        <v>0.10090906908307667</v>
      </c>
    </row>
    <row r="13" spans="1:10" ht="15.75" thickBot="1" x14ac:dyDescent="0.3">
      <c r="A13" s="240" t="s">
        <v>36</v>
      </c>
      <c r="B13" s="242">
        <v>1248128</v>
      </c>
      <c r="C13" s="413">
        <v>1321073</v>
      </c>
      <c r="D13" s="422">
        <f t="shared" si="0"/>
        <v>5.8443525023074559E-2</v>
      </c>
      <c r="E13" s="242">
        <v>1248128</v>
      </c>
      <c r="F13" s="413">
        <v>1472682</v>
      </c>
      <c r="G13" s="422">
        <f t="shared" si="1"/>
        <v>0.17991263716541894</v>
      </c>
      <c r="H13" s="242">
        <v>1248128</v>
      </c>
      <c r="I13" s="413">
        <v>1450968</v>
      </c>
      <c r="J13" s="422">
        <f t="shared" si="2"/>
        <v>0.16251538303763716</v>
      </c>
    </row>
    <row r="14" spans="1:10" ht="15.75" thickBot="1" x14ac:dyDescent="0.3">
      <c r="A14" s="240" t="s">
        <v>163</v>
      </c>
      <c r="B14" s="242">
        <v>96632</v>
      </c>
      <c r="C14" s="413">
        <v>96842</v>
      </c>
      <c r="D14" s="422">
        <f t="shared" si="0"/>
        <v>2.1731931451279079E-3</v>
      </c>
      <c r="E14" s="242">
        <v>96632</v>
      </c>
      <c r="F14" s="413">
        <v>100702</v>
      </c>
      <c r="G14" s="422">
        <f t="shared" si="1"/>
        <v>4.2118552860336118E-2</v>
      </c>
      <c r="H14" s="242">
        <v>96632</v>
      </c>
      <c r="I14" s="413">
        <v>111524</v>
      </c>
      <c r="J14" s="422">
        <f t="shared" si="2"/>
        <v>0.15411043960592763</v>
      </c>
    </row>
    <row r="15" spans="1:10" ht="15.75" thickBot="1" x14ac:dyDescent="0.3">
      <c r="A15" s="240" t="s">
        <v>283</v>
      </c>
      <c r="B15" s="242">
        <v>251397</v>
      </c>
      <c r="C15" s="413">
        <v>356174</v>
      </c>
      <c r="D15" s="422">
        <f t="shared" si="0"/>
        <v>0.41677903873156802</v>
      </c>
      <c r="E15" s="242">
        <v>251397</v>
      </c>
      <c r="F15" s="413">
        <v>338726</v>
      </c>
      <c r="G15" s="422">
        <f t="shared" si="1"/>
        <v>0.34737486923073863</v>
      </c>
      <c r="H15" s="242">
        <v>251397</v>
      </c>
      <c r="I15" s="413">
        <v>396133</v>
      </c>
      <c r="J15" s="422">
        <f t="shared" si="2"/>
        <v>0.57572683842687067</v>
      </c>
    </row>
    <row r="16" spans="1:10" ht="15.75" thickBot="1" x14ac:dyDescent="0.3">
      <c r="A16" s="245" t="s">
        <v>165</v>
      </c>
      <c r="B16" s="247">
        <v>2610</v>
      </c>
      <c r="C16" s="414">
        <v>2610</v>
      </c>
      <c r="D16" s="422">
        <f t="shared" si="0"/>
        <v>0</v>
      </c>
      <c r="E16" s="247">
        <v>2610</v>
      </c>
      <c r="F16" s="414">
        <v>2610</v>
      </c>
      <c r="G16" s="422">
        <f t="shared" si="1"/>
        <v>0</v>
      </c>
      <c r="H16" s="247">
        <v>2610</v>
      </c>
      <c r="I16" s="414">
        <v>2610</v>
      </c>
      <c r="J16" s="422">
        <f t="shared" si="2"/>
        <v>0</v>
      </c>
    </row>
    <row r="17" spans="1:10" ht="15.75" thickBot="1" x14ac:dyDescent="0.3">
      <c r="A17" s="249" t="s">
        <v>166</v>
      </c>
      <c r="B17" s="250">
        <f>SUM(B11:B16)</f>
        <v>3262962</v>
      </c>
      <c r="C17" s="415">
        <f>SUM(C11:C16)</f>
        <v>3710909</v>
      </c>
      <c r="D17" s="424">
        <f>(C17-B17)/B17</f>
        <v>0.13728232201294407</v>
      </c>
      <c r="E17" s="250">
        <f>SUM(E11:E16)</f>
        <v>3262962</v>
      </c>
      <c r="F17" s="415">
        <f>SUM(F11:F16)</f>
        <v>3865805</v>
      </c>
      <c r="G17" s="424">
        <f t="shared" si="1"/>
        <v>0.18475330083525338</v>
      </c>
      <c r="H17" s="250">
        <f>SUM(H11:H16)</f>
        <v>3262962</v>
      </c>
      <c r="I17" s="415">
        <f>SUM(I11:I16)</f>
        <v>4132208</v>
      </c>
      <c r="J17" s="424">
        <f t="shared" si="2"/>
        <v>0.26639783117302623</v>
      </c>
    </row>
    <row r="18" spans="1:10" x14ac:dyDescent="0.25">
      <c r="A18" s="378" t="s">
        <v>167</v>
      </c>
      <c r="B18" s="379"/>
      <c r="C18" s="412"/>
      <c r="D18" s="421"/>
      <c r="E18" s="379"/>
      <c r="F18" s="412"/>
      <c r="G18" s="421"/>
      <c r="H18" s="379"/>
      <c r="I18" s="412"/>
      <c r="J18" s="421"/>
    </row>
    <row r="19" spans="1:10" ht="15.75" thickBot="1" x14ac:dyDescent="0.3">
      <c r="A19" s="240" t="s">
        <v>298</v>
      </c>
      <c r="B19" s="242">
        <v>25409</v>
      </c>
      <c r="C19" s="413">
        <v>24602</v>
      </c>
      <c r="D19" s="422">
        <f t="shared" ref="D19:D30" si="3">(C19-B19)/B19</f>
        <v>-3.1760399858317918E-2</v>
      </c>
      <c r="E19" s="242">
        <v>25409</v>
      </c>
      <c r="F19" s="413">
        <v>25422</v>
      </c>
      <c r="G19" s="422">
        <f t="shared" ref="G19:G30" si="4">(F19-E19)/E19</f>
        <v>5.116297374945885E-4</v>
      </c>
      <c r="H19" s="242">
        <v>25409</v>
      </c>
      <c r="I19" s="413">
        <v>24681</v>
      </c>
      <c r="J19" s="422">
        <f t="shared" ref="J19:J30" si="5">(I19-H19)/H19</f>
        <v>-2.8651265299696957E-2</v>
      </c>
    </row>
    <row r="20" spans="1:10" ht="15.75" thickBot="1" x14ac:dyDescent="0.3">
      <c r="A20" s="240" t="s">
        <v>169</v>
      </c>
      <c r="B20" s="242">
        <v>193360</v>
      </c>
      <c r="C20" s="413">
        <v>195447</v>
      </c>
      <c r="D20" s="422">
        <f t="shared" si="3"/>
        <v>1.079333884981382E-2</v>
      </c>
      <c r="E20" s="242">
        <v>193360</v>
      </c>
      <c r="F20" s="413">
        <v>195349</v>
      </c>
      <c r="G20" s="422">
        <f t="shared" si="4"/>
        <v>1.0286512205213073E-2</v>
      </c>
      <c r="H20" s="242">
        <v>193360</v>
      </c>
      <c r="I20" s="413">
        <v>200462</v>
      </c>
      <c r="J20" s="422">
        <f t="shared" si="5"/>
        <v>3.6729416632188663E-2</v>
      </c>
    </row>
    <row r="21" spans="1:10" ht="15.75" thickBot="1" x14ac:dyDescent="0.3">
      <c r="A21" s="240" t="s">
        <v>170</v>
      </c>
      <c r="B21" s="242">
        <v>3511768</v>
      </c>
      <c r="C21" s="413">
        <v>2224803</v>
      </c>
      <c r="D21" s="422">
        <f t="shared" si="3"/>
        <v>-0.36647210180171358</v>
      </c>
      <c r="E21" s="242">
        <v>3511768</v>
      </c>
      <c r="F21" s="413">
        <v>1946129</v>
      </c>
      <c r="G21" s="422">
        <f t="shared" si="4"/>
        <v>-0.44582643272562422</v>
      </c>
      <c r="H21" s="242">
        <v>3511768</v>
      </c>
      <c r="I21" s="413">
        <v>2203143</v>
      </c>
      <c r="J21" s="422">
        <f t="shared" si="5"/>
        <v>-0.37263993521212108</v>
      </c>
    </row>
    <row r="22" spans="1:10" ht="15.75" thickBot="1" x14ac:dyDescent="0.3">
      <c r="A22" s="240" t="s">
        <v>171</v>
      </c>
      <c r="B22" s="242">
        <v>3400057</v>
      </c>
      <c r="C22" s="413">
        <v>3536783</v>
      </c>
      <c r="D22" s="422">
        <f t="shared" si="3"/>
        <v>4.0212855255073662E-2</v>
      </c>
      <c r="E22" s="242">
        <v>3400057</v>
      </c>
      <c r="F22" s="413">
        <v>3441132</v>
      </c>
      <c r="G22" s="422">
        <f t="shared" si="4"/>
        <v>1.2080679823897071E-2</v>
      </c>
      <c r="H22" s="242">
        <v>3400057</v>
      </c>
      <c r="I22" s="413">
        <v>3468841</v>
      </c>
      <c r="J22" s="422">
        <f t="shared" si="5"/>
        <v>2.0230249081118347E-2</v>
      </c>
    </row>
    <row r="23" spans="1:10" ht="15.75" thickBot="1" x14ac:dyDescent="0.3">
      <c r="A23" s="240" t="s">
        <v>295</v>
      </c>
      <c r="B23" s="242">
        <v>878552</v>
      </c>
      <c r="C23" s="413">
        <v>896574</v>
      </c>
      <c r="D23" s="422">
        <f t="shared" si="3"/>
        <v>2.0513299155883773E-2</v>
      </c>
      <c r="E23" s="242">
        <v>878552</v>
      </c>
      <c r="F23" s="413">
        <v>855072</v>
      </c>
      <c r="G23" s="422">
        <f t="shared" si="4"/>
        <v>-2.6725794261466596E-2</v>
      </c>
      <c r="H23" s="242">
        <v>878552</v>
      </c>
      <c r="I23" s="413">
        <v>824623</v>
      </c>
      <c r="J23" s="422">
        <f t="shared" si="5"/>
        <v>-6.1383959059907664E-2</v>
      </c>
    </row>
    <row r="24" spans="1:10" ht="15.75" thickBot="1" x14ac:dyDescent="0.3">
      <c r="A24" s="240" t="s">
        <v>141</v>
      </c>
      <c r="B24" s="242">
        <v>79489</v>
      </c>
      <c r="C24" s="413">
        <v>79401</v>
      </c>
      <c r="D24" s="422">
        <f t="shared" si="3"/>
        <v>-1.1070714186868624E-3</v>
      </c>
      <c r="E24" s="242">
        <v>79489</v>
      </c>
      <c r="F24" s="413">
        <v>79313</v>
      </c>
      <c r="G24" s="422">
        <f t="shared" si="4"/>
        <v>-2.2141428373737247E-3</v>
      </c>
      <c r="H24" s="242">
        <v>79489</v>
      </c>
      <c r="I24" s="413">
        <v>10629</v>
      </c>
      <c r="J24" s="422">
        <f t="shared" si="5"/>
        <v>-0.86628338512246983</v>
      </c>
    </row>
    <row r="25" spans="1:10" ht="15.75" thickBot="1" x14ac:dyDescent="0.3">
      <c r="A25" s="240" t="s">
        <v>247</v>
      </c>
      <c r="B25" s="242">
        <v>2309739</v>
      </c>
      <c r="C25" s="413">
        <v>2478655</v>
      </c>
      <c r="D25" s="422">
        <f t="shared" si="3"/>
        <v>7.3132072498234654E-2</v>
      </c>
      <c r="E25" s="242">
        <v>2309739</v>
      </c>
      <c r="F25" s="413">
        <v>2401036</v>
      </c>
      <c r="G25" s="422">
        <f t="shared" si="4"/>
        <v>3.9526976857558363E-2</v>
      </c>
      <c r="H25" s="242">
        <v>2309739</v>
      </c>
      <c r="I25" s="413">
        <v>2484957</v>
      </c>
      <c r="J25" s="422">
        <f t="shared" si="5"/>
        <v>7.5860519305428017E-2</v>
      </c>
    </row>
    <row r="26" spans="1:10" ht="15.75" thickBot="1" x14ac:dyDescent="0.3">
      <c r="A26" s="240" t="s">
        <v>173</v>
      </c>
      <c r="B26" s="242">
        <v>1248973</v>
      </c>
      <c r="C26" s="413">
        <v>1343011</v>
      </c>
      <c r="D26" s="422">
        <f t="shared" si="3"/>
        <v>7.5292260120915347E-2</v>
      </c>
      <c r="E26" s="242">
        <v>1248973</v>
      </c>
      <c r="F26" s="413">
        <v>1304821</v>
      </c>
      <c r="G26" s="422">
        <f t="shared" si="4"/>
        <v>4.4715137957345753E-2</v>
      </c>
      <c r="H26" s="242">
        <v>1248973</v>
      </c>
      <c r="I26" s="413">
        <v>1334645</v>
      </c>
      <c r="J26" s="422">
        <f t="shared" si="5"/>
        <v>6.8593956794902697E-2</v>
      </c>
    </row>
    <row r="27" spans="1:10" ht="15.75" thickBot="1" x14ac:dyDescent="0.3">
      <c r="A27" s="240" t="s">
        <v>274</v>
      </c>
      <c r="B27" s="242">
        <v>654496</v>
      </c>
      <c r="C27" s="413">
        <v>686449</v>
      </c>
      <c r="D27" s="422">
        <f t="shared" si="3"/>
        <v>4.8820772013885495E-2</v>
      </c>
      <c r="E27" s="242">
        <v>654496</v>
      </c>
      <c r="F27" s="413">
        <v>661679</v>
      </c>
      <c r="G27" s="422">
        <f t="shared" si="4"/>
        <v>1.097485698919474E-2</v>
      </c>
      <c r="H27" s="242">
        <v>654496</v>
      </c>
      <c r="I27" s="413">
        <v>712543</v>
      </c>
      <c r="J27" s="422">
        <f t="shared" si="5"/>
        <v>8.8689617660000983E-2</v>
      </c>
    </row>
    <row r="28" spans="1:10" ht="15.75" thickBot="1" x14ac:dyDescent="0.3">
      <c r="A28" s="245" t="s">
        <v>283</v>
      </c>
      <c r="B28" s="247">
        <v>80436</v>
      </c>
      <c r="C28" s="414">
        <v>80867</v>
      </c>
      <c r="D28" s="423">
        <f t="shared" si="3"/>
        <v>5.3582972798249537E-3</v>
      </c>
      <c r="E28" s="247">
        <v>80436</v>
      </c>
      <c r="F28" s="414">
        <v>84235</v>
      </c>
      <c r="G28" s="423">
        <f t="shared" si="4"/>
        <v>4.7230095976925755E-2</v>
      </c>
      <c r="H28" s="247">
        <v>80436</v>
      </c>
      <c r="I28" s="414">
        <v>86253</v>
      </c>
      <c r="J28" s="423">
        <f t="shared" si="5"/>
        <v>7.2318364911233779E-2</v>
      </c>
    </row>
    <row r="29" spans="1:10" ht="15.75" thickBot="1" x14ac:dyDescent="0.3">
      <c r="A29" s="249" t="s">
        <v>175</v>
      </c>
      <c r="B29" s="250">
        <f>SUM(B19:B28)</f>
        <v>12382279</v>
      </c>
      <c r="C29" s="415">
        <f>SUM(C19:C28)</f>
        <v>11546592</v>
      </c>
      <c r="D29" s="424">
        <f t="shared" si="3"/>
        <v>-6.7490564539855705E-2</v>
      </c>
      <c r="E29" s="250">
        <f>SUM(E19:E28)</f>
        <v>12382279</v>
      </c>
      <c r="F29" s="415">
        <f>SUM(F19:F28)</f>
        <v>10994188</v>
      </c>
      <c r="G29" s="424">
        <f t="shared" si="4"/>
        <v>-0.11210303046797766</v>
      </c>
      <c r="H29" s="250">
        <f>SUM(H19:H28)</f>
        <v>12382279</v>
      </c>
      <c r="I29" s="415">
        <f>SUM(I19:I28)</f>
        <v>11350777</v>
      </c>
      <c r="J29" s="424">
        <f t="shared" si="5"/>
        <v>-8.3304696978641818E-2</v>
      </c>
    </row>
    <row r="30" spans="1:10" ht="15.75" thickBot="1" x14ac:dyDescent="0.3">
      <c r="A30" s="382" t="s">
        <v>176</v>
      </c>
      <c r="B30" s="383">
        <f>+B17+B29</f>
        <v>15645241</v>
      </c>
      <c r="C30" s="416">
        <f>+C17+C29</f>
        <v>15257501</v>
      </c>
      <c r="D30" s="425">
        <f t="shared" si="3"/>
        <v>-2.4783255176446306E-2</v>
      </c>
      <c r="E30" s="383">
        <f>+E17+E29</f>
        <v>15645241</v>
      </c>
      <c r="F30" s="416">
        <f>+F17+F29</f>
        <v>14859993</v>
      </c>
      <c r="G30" s="425">
        <f t="shared" si="4"/>
        <v>-5.0190853563713084E-2</v>
      </c>
      <c r="H30" s="383">
        <f>+H17+H29</f>
        <v>15645241</v>
      </c>
      <c r="I30" s="416">
        <f>+I17+I29</f>
        <v>15482985</v>
      </c>
      <c r="J30" s="425">
        <f t="shared" si="5"/>
        <v>-1.0370949223473131E-2</v>
      </c>
    </row>
    <row r="31" spans="1:10" x14ac:dyDescent="0.25">
      <c r="A31" s="376" t="s">
        <v>142</v>
      </c>
      <c r="B31" s="377"/>
      <c r="C31" s="411"/>
      <c r="D31" s="411"/>
      <c r="E31" s="377"/>
      <c r="F31" s="411"/>
      <c r="G31" s="411"/>
      <c r="H31" s="377"/>
      <c r="I31" s="411"/>
      <c r="J31" s="411"/>
    </row>
    <row r="32" spans="1:10" x14ac:dyDescent="0.25">
      <c r="A32" s="378" t="s">
        <v>177</v>
      </c>
      <c r="B32" s="379"/>
      <c r="C32" s="412"/>
      <c r="D32" s="421"/>
      <c r="E32" s="379"/>
      <c r="F32" s="412"/>
      <c r="G32" s="421"/>
      <c r="H32" s="379"/>
      <c r="I32" s="412"/>
      <c r="J32" s="421"/>
    </row>
    <row r="33" spans="1:10" ht="15.75" thickBot="1" x14ac:dyDescent="0.3">
      <c r="A33" s="240" t="s">
        <v>28</v>
      </c>
      <c r="B33" s="242">
        <v>527196</v>
      </c>
      <c r="C33" s="413">
        <v>464550</v>
      </c>
      <c r="D33" s="422">
        <f t="shared" ref="D33:D40" si="6">(C33-B33)/B33</f>
        <v>-0.11882867093073544</v>
      </c>
      <c r="E33" s="242">
        <v>527196</v>
      </c>
      <c r="F33" s="413">
        <v>515558</v>
      </c>
      <c r="G33" s="422">
        <f t="shared" ref="G33:G40" si="7">(F33-E33)/E33</f>
        <v>-2.2075281299554626E-2</v>
      </c>
      <c r="H33" s="242">
        <v>527196</v>
      </c>
      <c r="I33" s="413">
        <v>643104</v>
      </c>
      <c r="J33" s="422">
        <f t="shared" ref="J33:J40" si="8">(I33-H33)/H33</f>
        <v>0.21985751029977466</v>
      </c>
    </row>
    <row r="34" spans="1:10" ht="15.75" thickBot="1" x14ac:dyDescent="0.3">
      <c r="A34" s="240" t="s">
        <v>296</v>
      </c>
      <c r="B34" s="242">
        <v>147242</v>
      </c>
      <c r="C34" s="413">
        <v>145747</v>
      </c>
      <c r="D34" s="422">
        <f t="shared" si="6"/>
        <v>-1.0153352983523723E-2</v>
      </c>
      <c r="E34" s="242">
        <v>147242</v>
      </c>
      <c r="F34" s="413">
        <v>135442</v>
      </c>
      <c r="G34" s="422">
        <f t="shared" si="7"/>
        <v>-8.0140177395036746E-2</v>
      </c>
      <c r="H34" s="242">
        <v>147242</v>
      </c>
      <c r="I34" s="413">
        <v>129569</v>
      </c>
      <c r="J34" s="422">
        <f t="shared" si="8"/>
        <v>-0.12002689450021053</v>
      </c>
    </row>
    <row r="35" spans="1:10" ht="15.75" thickBot="1" x14ac:dyDescent="0.3">
      <c r="A35" s="240" t="s">
        <v>178</v>
      </c>
      <c r="B35" s="242">
        <v>1235133</v>
      </c>
      <c r="C35" s="413">
        <v>1341476</v>
      </c>
      <c r="D35" s="422">
        <f t="shared" si="6"/>
        <v>8.6098420170135526E-2</v>
      </c>
      <c r="E35" s="242">
        <v>1235133</v>
      </c>
      <c r="F35" s="413">
        <v>1268591</v>
      </c>
      <c r="G35" s="422">
        <f t="shared" si="7"/>
        <v>2.7088580743936077E-2</v>
      </c>
      <c r="H35" s="242">
        <v>1235133</v>
      </c>
      <c r="I35" s="413">
        <v>1251503</v>
      </c>
      <c r="J35" s="422">
        <f t="shared" si="8"/>
        <v>1.3253633414377236E-2</v>
      </c>
    </row>
    <row r="36" spans="1:10" ht="15.75" thickBot="1" x14ac:dyDescent="0.3">
      <c r="A36" s="240" t="s">
        <v>257</v>
      </c>
      <c r="B36" s="242">
        <v>214542</v>
      </c>
      <c r="C36" s="413">
        <v>235930</v>
      </c>
      <c r="D36" s="422">
        <f t="shared" si="6"/>
        <v>9.9691435709558032E-2</v>
      </c>
      <c r="E36" s="242">
        <v>214542</v>
      </c>
      <c r="F36" s="413">
        <v>331466</v>
      </c>
      <c r="G36" s="422">
        <f t="shared" si="7"/>
        <v>0.54499352108211907</v>
      </c>
      <c r="H36" s="242">
        <v>214542</v>
      </c>
      <c r="I36" s="413">
        <v>377326</v>
      </c>
      <c r="J36" s="422">
        <f t="shared" si="8"/>
        <v>0.75875120023119014</v>
      </c>
    </row>
    <row r="37" spans="1:10" ht="15.75" thickBot="1" x14ac:dyDescent="0.3">
      <c r="A37" s="240" t="s">
        <v>179</v>
      </c>
      <c r="B37" s="242">
        <v>191864</v>
      </c>
      <c r="C37" s="413">
        <v>160008</v>
      </c>
      <c r="D37" s="422">
        <f t="shared" si="6"/>
        <v>-0.1660342742776133</v>
      </c>
      <c r="E37" s="242">
        <v>191864</v>
      </c>
      <c r="F37" s="413">
        <v>185454</v>
      </c>
      <c r="G37" s="422">
        <f t="shared" si="7"/>
        <v>-3.3409081432681481E-2</v>
      </c>
      <c r="H37" s="242">
        <v>191864</v>
      </c>
      <c r="I37" s="413">
        <v>248565</v>
      </c>
      <c r="J37" s="422">
        <f t="shared" si="8"/>
        <v>0.29552703998665719</v>
      </c>
    </row>
    <row r="38" spans="1:10" ht="15.75" thickBot="1" x14ac:dyDescent="0.3">
      <c r="A38" s="240" t="s">
        <v>326</v>
      </c>
      <c r="B38" s="242">
        <v>1948</v>
      </c>
      <c r="C38" s="413">
        <v>2033</v>
      </c>
      <c r="D38" s="422">
        <f t="shared" si="6"/>
        <v>4.3634496919917866E-2</v>
      </c>
      <c r="E38" s="242">
        <v>1948</v>
      </c>
      <c r="F38" s="413">
        <v>3475</v>
      </c>
      <c r="G38" s="422">
        <f t="shared" si="7"/>
        <v>0.78388090349075978</v>
      </c>
      <c r="H38" s="242">
        <v>1948</v>
      </c>
      <c r="I38" s="413">
        <v>3473</v>
      </c>
      <c r="J38" s="422">
        <f t="shared" si="8"/>
        <v>0.78285420944558526</v>
      </c>
    </row>
    <row r="39" spans="1:10" ht="15.75" thickBot="1" x14ac:dyDescent="0.3">
      <c r="A39" s="245" t="s">
        <v>319</v>
      </c>
      <c r="B39" s="247">
        <v>29912</v>
      </c>
      <c r="C39" s="414">
        <v>74454</v>
      </c>
      <c r="D39" s="423">
        <f t="shared" si="6"/>
        <v>1.4891013640010697</v>
      </c>
      <c r="E39" s="247">
        <v>29912</v>
      </c>
      <c r="F39" s="414">
        <v>69469</v>
      </c>
      <c r="G39" s="423">
        <f t="shared" si="7"/>
        <v>1.322445841133993</v>
      </c>
      <c r="H39" s="247">
        <v>29912</v>
      </c>
      <c r="I39" s="414">
        <v>58153</v>
      </c>
      <c r="J39" s="423">
        <f t="shared" si="8"/>
        <v>0.94413613265579033</v>
      </c>
    </row>
    <row r="40" spans="1:10" ht="15.75" thickBot="1" x14ac:dyDescent="0.3">
      <c r="A40" s="249" t="s">
        <v>181</v>
      </c>
      <c r="B40" s="250">
        <f>SUM(B33:B39)</f>
        <v>2347837</v>
      </c>
      <c r="C40" s="415">
        <f>SUM(C33:C39)</f>
        <v>2424198</v>
      </c>
      <c r="D40" s="424">
        <f t="shared" si="6"/>
        <v>3.2523978453359415E-2</v>
      </c>
      <c r="E40" s="250">
        <f>SUM(E33:E39)</f>
        <v>2347837</v>
      </c>
      <c r="F40" s="415">
        <f>SUM(F33:F39)</f>
        <v>2509455</v>
      </c>
      <c r="G40" s="424">
        <f t="shared" si="7"/>
        <v>6.8836976331832236E-2</v>
      </c>
      <c r="H40" s="250">
        <f>SUM(H33:H39)</f>
        <v>2347837</v>
      </c>
      <c r="I40" s="415">
        <f>SUM(I33:I39)</f>
        <v>2711693</v>
      </c>
      <c r="J40" s="424">
        <f t="shared" si="8"/>
        <v>0.15497498335702181</v>
      </c>
    </row>
    <row r="41" spans="1:10" x14ac:dyDescent="0.25">
      <c r="A41" s="378" t="s">
        <v>182</v>
      </c>
      <c r="B41" s="379"/>
      <c r="C41" s="412"/>
      <c r="D41" s="421"/>
      <c r="E41" s="379"/>
      <c r="F41" s="412"/>
      <c r="G41" s="421"/>
      <c r="H41" s="379"/>
      <c r="I41" s="412"/>
      <c r="J41" s="421"/>
    </row>
    <row r="42" spans="1:10" ht="15.75" thickBot="1" x14ac:dyDescent="0.3">
      <c r="A42" s="240" t="s">
        <v>28</v>
      </c>
      <c r="B42" s="242">
        <v>2680014</v>
      </c>
      <c r="C42" s="413">
        <v>3074884</v>
      </c>
      <c r="D42" s="422">
        <f t="shared" ref="D42:D50" si="9">(C42-B42)/B42</f>
        <v>0.14733878255859859</v>
      </c>
      <c r="E42" s="242">
        <v>2680014</v>
      </c>
      <c r="F42" s="413">
        <v>3024078</v>
      </c>
      <c r="G42" s="422">
        <f t="shared" ref="G42:G48" si="10">(F42-E42)/E42</f>
        <v>0.12838141890303559</v>
      </c>
      <c r="H42" s="242">
        <v>2680014</v>
      </c>
      <c r="I42" s="413">
        <v>2860554</v>
      </c>
      <c r="J42" s="422">
        <f t="shared" ref="J42:J48" si="11">(I42-H42)/H42</f>
        <v>6.7365319733404372E-2</v>
      </c>
    </row>
    <row r="43" spans="1:10" ht="15.75" thickBot="1" x14ac:dyDescent="0.3">
      <c r="A43" s="240" t="s">
        <v>296</v>
      </c>
      <c r="B43" s="242">
        <v>745313</v>
      </c>
      <c r="C43" s="413">
        <v>772638</v>
      </c>
      <c r="D43" s="422">
        <f t="shared" si="9"/>
        <v>3.6662449199195507E-2</v>
      </c>
      <c r="E43" s="242">
        <v>745313</v>
      </c>
      <c r="F43" s="413">
        <v>750270</v>
      </c>
      <c r="G43" s="422">
        <f t="shared" si="10"/>
        <v>6.6508970056875436E-3</v>
      </c>
      <c r="H43" s="242">
        <v>745313</v>
      </c>
      <c r="I43" s="413">
        <v>731022</v>
      </c>
      <c r="J43" s="422">
        <f t="shared" si="11"/>
        <v>-1.9174494474133687E-2</v>
      </c>
    </row>
    <row r="44" spans="1:10" ht="15.75" thickBot="1" x14ac:dyDescent="0.3">
      <c r="A44" s="240" t="s">
        <v>178</v>
      </c>
      <c r="B44" s="241">
        <v>158</v>
      </c>
      <c r="C44" s="417">
        <v>158</v>
      </c>
      <c r="D44" s="422">
        <f t="shared" si="9"/>
        <v>0</v>
      </c>
      <c r="E44" s="241">
        <v>158</v>
      </c>
      <c r="F44" s="417">
        <v>158</v>
      </c>
      <c r="G44" s="422">
        <f t="shared" si="10"/>
        <v>0</v>
      </c>
      <c r="H44" s="241">
        <v>158</v>
      </c>
      <c r="I44" s="417">
        <v>158</v>
      </c>
      <c r="J44" s="422">
        <f t="shared" si="11"/>
        <v>0</v>
      </c>
    </row>
    <row r="45" spans="1:10" ht="15.75" thickBot="1" x14ac:dyDescent="0.3">
      <c r="A45" s="240" t="s">
        <v>179</v>
      </c>
      <c r="B45" s="242">
        <v>189295</v>
      </c>
      <c r="C45" s="413">
        <v>190792</v>
      </c>
      <c r="D45" s="422">
        <f t="shared" si="9"/>
        <v>7.9082912913706113E-3</v>
      </c>
      <c r="E45" s="242">
        <v>189295</v>
      </c>
      <c r="F45" s="413">
        <v>187612</v>
      </c>
      <c r="G45" s="422">
        <f t="shared" si="10"/>
        <v>-8.8908845981140548E-3</v>
      </c>
      <c r="H45" s="242">
        <v>189295</v>
      </c>
      <c r="I45" s="413">
        <v>194646</v>
      </c>
      <c r="J45" s="422">
        <f t="shared" si="11"/>
        <v>2.826804722787184E-2</v>
      </c>
    </row>
    <row r="46" spans="1:10" ht="15.75" thickBot="1" x14ac:dyDescent="0.3">
      <c r="A46" s="240" t="s">
        <v>183</v>
      </c>
      <c r="B46" s="242">
        <v>984035</v>
      </c>
      <c r="C46" s="413">
        <v>1017103</v>
      </c>
      <c r="D46" s="422">
        <f t="shared" si="9"/>
        <v>3.3604495775048648E-2</v>
      </c>
      <c r="E46" s="242">
        <v>984035</v>
      </c>
      <c r="F46" s="413">
        <v>979310</v>
      </c>
      <c r="G46" s="422">
        <f t="shared" si="10"/>
        <v>-4.8016584775948008E-3</v>
      </c>
      <c r="H46" s="242">
        <v>984035</v>
      </c>
      <c r="I46" s="413">
        <v>1012651</v>
      </c>
      <c r="J46" s="422">
        <f t="shared" si="11"/>
        <v>2.9080266453937107E-2</v>
      </c>
    </row>
    <row r="47" spans="1:10" ht="15.75" thickBot="1" x14ac:dyDescent="0.3">
      <c r="A47" s="240" t="s">
        <v>297</v>
      </c>
      <c r="B47" s="242">
        <v>13238</v>
      </c>
      <c r="C47" s="413">
        <v>13520</v>
      </c>
      <c r="D47" s="422">
        <f t="shared" si="9"/>
        <v>2.1302311527421059E-2</v>
      </c>
      <c r="E47" s="242">
        <v>13238</v>
      </c>
      <c r="F47" s="413">
        <v>13230</v>
      </c>
      <c r="G47" s="422">
        <f t="shared" si="10"/>
        <v>-6.0432089439492367E-4</v>
      </c>
      <c r="H47" s="242">
        <v>13238</v>
      </c>
      <c r="I47" s="413">
        <v>13110</v>
      </c>
      <c r="J47" s="422">
        <f t="shared" si="11"/>
        <v>-9.6691343103187787E-3</v>
      </c>
    </row>
    <row r="48" spans="1:10" ht="15.75" thickBot="1" x14ac:dyDescent="0.3">
      <c r="A48" s="245" t="s">
        <v>143</v>
      </c>
      <c r="B48" s="246">
        <v>487</v>
      </c>
      <c r="C48" s="418">
        <v>0</v>
      </c>
      <c r="D48" s="422">
        <f t="shared" si="9"/>
        <v>-1</v>
      </c>
      <c r="E48" s="246">
        <v>487</v>
      </c>
      <c r="F48" s="418">
        <v>0</v>
      </c>
      <c r="G48" s="422">
        <f t="shared" si="10"/>
        <v>-1</v>
      </c>
      <c r="H48" s="246">
        <v>487</v>
      </c>
      <c r="I48" s="418">
        <v>0</v>
      </c>
      <c r="J48" s="422">
        <f t="shared" si="11"/>
        <v>-1</v>
      </c>
    </row>
    <row r="49" spans="1:25" ht="15.75" thickBot="1" x14ac:dyDescent="0.3">
      <c r="A49" s="249" t="s">
        <v>185</v>
      </c>
      <c r="B49" s="250">
        <f>SUM(B42:B48)</f>
        <v>4612540</v>
      </c>
      <c r="C49" s="415">
        <f>SUM(C42:C48)</f>
        <v>5069095</v>
      </c>
      <c r="D49" s="424">
        <f>(C49-B49)/B49</f>
        <v>9.898125544710723E-2</v>
      </c>
      <c r="E49" s="250">
        <f>SUM(E42:E48)</f>
        <v>4612540</v>
      </c>
      <c r="F49" s="415">
        <f>SUM(F42:F48)</f>
        <v>4954658</v>
      </c>
      <c r="G49" s="424">
        <f>(F49-E49)/E49</f>
        <v>7.417128089946104E-2</v>
      </c>
      <c r="H49" s="250">
        <f>SUM(H42:H48)</f>
        <v>4612540</v>
      </c>
      <c r="I49" s="415">
        <f>SUM(I42:I48)</f>
        <v>4812141</v>
      </c>
      <c r="J49" s="424">
        <f>(I49-H49)/H49</f>
        <v>4.3273554267280065E-2</v>
      </c>
    </row>
    <row r="50" spans="1:25" ht="15.75" thickBot="1" x14ac:dyDescent="0.3">
      <c r="A50" s="382" t="s">
        <v>186</v>
      </c>
      <c r="B50" s="383">
        <f>+B40+B49</f>
        <v>6960377</v>
      </c>
      <c r="C50" s="416">
        <f>+C40+C49</f>
        <v>7493293</v>
      </c>
      <c r="D50" s="425">
        <f t="shared" si="9"/>
        <v>7.6564243574737401E-2</v>
      </c>
      <c r="E50" s="383">
        <f>+E40+E49</f>
        <v>6960377</v>
      </c>
      <c r="F50" s="416">
        <f>+F40+F49</f>
        <v>7464113</v>
      </c>
      <c r="G50" s="425">
        <f>(F50-E50)/E50</f>
        <v>7.2371941922111396E-2</v>
      </c>
      <c r="H50" s="383">
        <f>+H40+H49</f>
        <v>6960377</v>
      </c>
      <c r="I50" s="416">
        <f>+I40+I49</f>
        <v>7523834</v>
      </c>
      <c r="J50" s="425">
        <f>(I50-H50)/H50</f>
        <v>8.0952080612874844E-2</v>
      </c>
    </row>
    <row r="51" spans="1:25" x14ac:dyDescent="0.25">
      <c r="A51" s="376" t="s">
        <v>34</v>
      </c>
      <c r="B51" s="377"/>
      <c r="C51" s="411"/>
      <c r="D51" s="411"/>
      <c r="E51" s="377"/>
      <c r="F51" s="411"/>
      <c r="G51" s="411"/>
      <c r="H51" s="377"/>
      <c r="I51" s="411"/>
      <c r="J51" s="411"/>
    </row>
    <row r="52" spans="1:25" ht="15.75" thickBot="1" x14ac:dyDescent="0.3">
      <c r="A52" s="249" t="s">
        <v>187</v>
      </c>
      <c r="B52" s="250">
        <v>8627950</v>
      </c>
      <c r="C52" s="415">
        <v>7704735</v>
      </c>
      <c r="D52" s="424">
        <f>(C52-B52)/B52</f>
        <v>-0.10700282222312368</v>
      </c>
      <c r="E52" s="250">
        <v>8627950</v>
      </c>
      <c r="F52" s="415">
        <v>7339184</v>
      </c>
      <c r="G52" s="424">
        <f>(F52-E52)/E52</f>
        <v>-0.14937105569689207</v>
      </c>
      <c r="H52" s="250">
        <v>8627950</v>
      </c>
      <c r="I52" s="415">
        <v>7903325</v>
      </c>
      <c r="J52" s="424">
        <f>(I52-H52)/H52</f>
        <v>-8.3985767186875213E-2</v>
      </c>
    </row>
    <row r="53" spans="1:25" ht="15.75" thickBot="1" x14ac:dyDescent="0.3">
      <c r="A53" s="259" t="s">
        <v>188</v>
      </c>
      <c r="B53" s="247">
        <v>56914</v>
      </c>
      <c r="C53" s="414">
        <v>59473</v>
      </c>
      <c r="D53" s="423">
        <f>(C53-B53)/B53</f>
        <v>4.4962575113328886E-2</v>
      </c>
      <c r="E53" s="247">
        <v>56914</v>
      </c>
      <c r="F53" s="414">
        <v>56696</v>
      </c>
      <c r="G53" s="423">
        <f>(F53-E53)/E53</f>
        <v>-3.8303405137575992E-3</v>
      </c>
      <c r="H53" s="247">
        <v>56914</v>
      </c>
      <c r="I53" s="414">
        <v>55826</v>
      </c>
      <c r="J53" s="423">
        <f>(I53-H53)/H53</f>
        <v>-1.9116561830129671E-2</v>
      </c>
    </row>
    <row r="54" spans="1:25" ht="15.75" thickBot="1" x14ac:dyDescent="0.3">
      <c r="A54" s="382" t="s">
        <v>189</v>
      </c>
      <c r="B54" s="383">
        <f>SUM(B52:B53)</f>
        <v>8684864</v>
      </c>
      <c r="C54" s="416">
        <f>SUM(C52:C53)</f>
        <v>7764208</v>
      </c>
      <c r="D54" s="425">
        <f>(C54-B54)/B54</f>
        <v>-0.10600695647047553</v>
      </c>
      <c r="E54" s="383">
        <f>SUM(E52:E53)</f>
        <v>8684864</v>
      </c>
      <c r="F54" s="416">
        <f>SUM(F52:F53)</f>
        <v>7395880</v>
      </c>
      <c r="G54" s="425">
        <f>(F54-E54)/E54</f>
        <v>-0.14841729242967996</v>
      </c>
      <c r="H54" s="383">
        <f>SUM(H52:H53)</f>
        <v>8684864</v>
      </c>
      <c r="I54" s="416">
        <f>SUM(I52:I53)</f>
        <v>7959151</v>
      </c>
      <c r="J54" s="425">
        <f>(I54-H54)/H54</f>
        <v>-8.3560663701815016E-2</v>
      </c>
    </row>
    <row r="55" spans="1:25" ht="15.75" thickBot="1" x14ac:dyDescent="0.3">
      <c r="A55" s="380" t="s">
        <v>190</v>
      </c>
      <c r="B55" s="381">
        <f>+B50+B54</f>
        <v>15645241</v>
      </c>
      <c r="C55" s="419">
        <f>+C50+C54</f>
        <v>15257501</v>
      </c>
      <c r="D55" s="426">
        <f>(C55-B55)/B55</f>
        <v>-2.4783255176446306E-2</v>
      </c>
      <c r="E55" s="381">
        <f>+E50+E54</f>
        <v>15645241</v>
      </c>
      <c r="F55" s="419">
        <f>+F50+F54</f>
        <v>14859993</v>
      </c>
      <c r="G55" s="426">
        <f>(F55-E55)/E55</f>
        <v>-5.0190853563713084E-2</v>
      </c>
      <c r="H55" s="381">
        <f>+H50+H54</f>
        <v>15645241</v>
      </c>
      <c r="I55" s="419">
        <f>+I50+I54</f>
        <v>15482985</v>
      </c>
      <c r="J55" s="426">
        <f>(I55-H55)/H55</f>
        <v>-1.0370949223473131E-2</v>
      </c>
    </row>
    <row r="57" spans="1:25" x14ac:dyDescent="0.25">
      <c r="B57" s="263"/>
      <c r="C57" s="263"/>
      <c r="D57" s="263"/>
      <c r="E57" s="263"/>
      <c r="F57" s="263"/>
      <c r="H57" s="263"/>
      <c r="I57" s="263"/>
      <c r="J57" s="263"/>
      <c r="M57" s="263"/>
      <c r="O57" s="263"/>
      <c r="R57" s="263"/>
      <c r="T57" s="263"/>
    </row>
    <row r="58" spans="1:25" ht="18.75" x14ac:dyDescent="0.3">
      <c r="A58" s="264" t="s">
        <v>191</v>
      </c>
      <c r="B58" s="362"/>
      <c r="C58" s="362"/>
      <c r="D58" s="362"/>
      <c r="E58" s="362"/>
    </row>
    <row r="59" spans="1:25" x14ac:dyDescent="0.25">
      <c r="A59" s="332" t="s">
        <v>235</v>
      </c>
      <c r="B59" s="362"/>
      <c r="C59" s="362"/>
      <c r="D59" s="362"/>
      <c r="E59" s="362"/>
    </row>
    <row r="60" spans="1:25" x14ac:dyDescent="0.25">
      <c r="A60" s="332" t="s">
        <v>88</v>
      </c>
      <c r="B60" s="362"/>
      <c r="C60" s="362"/>
      <c r="D60" s="362"/>
      <c r="E60" s="362"/>
    </row>
    <row r="61" spans="1:25" x14ac:dyDescent="0.25">
      <c r="A61" s="265" t="s">
        <v>159</v>
      </c>
      <c r="B61" s="362"/>
      <c r="C61" s="362"/>
      <c r="D61" s="362"/>
      <c r="E61" s="362"/>
    </row>
    <row r="62" spans="1:25" ht="15.75" thickBot="1" x14ac:dyDescent="0.3">
      <c r="B62" s="364"/>
      <c r="C62" s="364"/>
      <c r="D62" s="364"/>
      <c r="E62" s="364"/>
    </row>
    <row r="63" spans="1:25" ht="15.75" customHeight="1" thickBot="1" x14ac:dyDescent="0.3">
      <c r="A63" s="353"/>
      <c r="B63" s="388" t="s">
        <v>299</v>
      </c>
      <c r="C63" s="388" t="s">
        <v>55</v>
      </c>
      <c r="D63" s="400" t="s">
        <v>324</v>
      </c>
      <c r="E63" s="400" t="s">
        <v>55</v>
      </c>
      <c r="F63" s="388" t="s">
        <v>46</v>
      </c>
      <c r="G63" s="388" t="s">
        <v>309</v>
      </c>
      <c r="H63" s="388" t="s">
        <v>55</v>
      </c>
      <c r="I63" s="400" t="s">
        <v>330</v>
      </c>
      <c r="J63" s="400" t="s">
        <v>55</v>
      </c>
      <c r="K63" s="388" t="s">
        <v>46</v>
      </c>
      <c r="L63" s="388" t="s">
        <v>299</v>
      </c>
      <c r="M63" s="400" t="s">
        <v>324</v>
      </c>
      <c r="N63" s="388" t="s">
        <v>307</v>
      </c>
      <c r="O63" s="400" t="s">
        <v>329</v>
      </c>
      <c r="P63" s="388" t="s">
        <v>313</v>
      </c>
      <c r="Q63" s="388" t="s">
        <v>55</v>
      </c>
      <c r="R63" s="400" t="s">
        <v>334</v>
      </c>
      <c r="S63" s="400" t="s">
        <v>55</v>
      </c>
      <c r="T63" s="388" t="s">
        <v>46</v>
      </c>
      <c r="U63" s="388" t="s">
        <v>314</v>
      </c>
      <c r="V63" s="388" t="s">
        <v>55</v>
      </c>
      <c r="W63" s="400" t="s">
        <v>335</v>
      </c>
      <c r="X63" s="400" t="s">
        <v>55</v>
      </c>
      <c r="Y63" s="388" t="s">
        <v>46</v>
      </c>
    </row>
    <row r="64" spans="1:25" ht="15.75" thickTop="1" x14ac:dyDescent="0.25">
      <c r="A64" s="390" t="s">
        <v>193</v>
      </c>
      <c r="B64" s="389"/>
      <c r="C64" s="389"/>
      <c r="D64" s="401"/>
      <c r="E64" s="406"/>
      <c r="F64" s="389"/>
      <c r="G64" s="389"/>
      <c r="H64" s="389"/>
      <c r="I64" s="401"/>
      <c r="J64" s="406"/>
      <c r="K64" s="389"/>
      <c r="L64" s="389"/>
      <c r="M64" s="401"/>
      <c r="N64" s="389"/>
      <c r="O64" s="401"/>
      <c r="P64" s="389"/>
      <c r="Q64" s="389"/>
      <c r="R64" s="401"/>
      <c r="S64" s="406"/>
      <c r="T64" s="389"/>
      <c r="U64" s="389"/>
      <c r="V64" s="389"/>
      <c r="W64" s="401"/>
      <c r="X64" s="406"/>
      <c r="Y64" s="389"/>
    </row>
    <row r="65" spans="1:25" ht="15.75" thickBot="1" x14ac:dyDescent="0.3">
      <c r="A65" s="391" t="s">
        <v>292</v>
      </c>
      <c r="B65" s="458">
        <v>2245742</v>
      </c>
      <c r="C65" s="387">
        <f t="shared" ref="C65:C85" si="12">+B65/$B$65</f>
        <v>1</v>
      </c>
      <c r="D65" s="395">
        <v>2659333</v>
      </c>
      <c r="E65" s="387">
        <f t="shared" ref="E65:E85" si="13">+D65/$D$65</f>
        <v>1</v>
      </c>
      <c r="F65" s="387">
        <f>(D65-B65)/B65</f>
        <v>0.18416674756049448</v>
      </c>
      <c r="G65" s="458">
        <v>4646417</v>
      </c>
      <c r="H65" s="387">
        <f>G65/$G$65</f>
        <v>1</v>
      </c>
      <c r="I65" s="395">
        <v>5324782</v>
      </c>
      <c r="J65" s="387">
        <f>I65/$I$65</f>
        <v>1</v>
      </c>
      <c r="K65" s="387">
        <f>(I65-G65)/G65</f>
        <v>0.1459974427607337</v>
      </c>
      <c r="L65" s="458">
        <v>2245742</v>
      </c>
      <c r="M65" s="395">
        <v>2659333</v>
      </c>
      <c r="N65" s="458">
        <v>2400675</v>
      </c>
      <c r="O65" s="395">
        <v>2665449</v>
      </c>
      <c r="P65" s="458">
        <v>2553619</v>
      </c>
      <c r="Q65" s="387">
        <f>P65/$P$65</f>
        <v>1</v>
      </c>
      <c r="R65" s="395">
        <v>2853488</v>
      </c>
      <c r="S65" s="387">
        <f>R65/$R$65</f>
        <v>1</v>
      </c>
      <c r="T65" s="387">
        <f>(R65-P65)/P65</f>
        <v>0.11742902915431003</v>
      </c>
      <c r="U65" s="458">
        <f>L65+N65+P65</f>
        <v>7200036</v>
      </c>
      <c r="V65" s="387">
        <f>U65/$U$65</f>
        <v>1</v>
      </c>
      <c r="W65" s="395">
        <f>M65+O65+R65</f>
        <v>8178270</v>
      </c>
      <c r="X65" s="387">
        <f>W65/$W$65</f>
        <v>1</v>
      </c>
      <c r="Y65" s="387">
        <f>(W65-U65)/U65</f>
        <v>0.1358651540075633</v>
      </c>
    </row>
    <row r="66" spans="1:25" ht="15.75" thickBot="1" x14ac:dyDescent="0.3">
      <c r="A66" s="392" t="s">
        <v>273</v>
      </c>
      <c r="B66" s="460">
        <v>-1253514</v>
      </c>
      <c r="C66" s="384">
        <f t="shared" si="12"/>
        <v>-0.55817364594864416</v>
      </c>
      <c r="D66" s="456">
        <v>-1526792</v>
      </c>
      <c r="E66" s="407">
        <f t="shared" si="13"/>
        <v>-0.57412591804035074</v>
      </c>
      <c r="F66" s="384">
        <f t="shared" ref="F66:F85" si="14">(D66-B66)/B66</f>
        <v>0.21800953160475273</v>
      </c>
      <c r="G66" s="460">
        <v>-2583703</v>
      </c>
      <c r="H66" s="384">
        <f t="shared" ref="H66:H91" si="15">G66/$G$65</f>
        <v>-0.55606352163398165</v>
      </c>
      <c r="I66" s="456">
        <v>-3068367</v>
      </c>
      <c r="J66" s="407">
        <f t="shared" ref="J66:J91" si="16">I66/$I$65</f>
        <v>-0.57624274571240663</v>
      </c>
      <c r="K66" s="384">
        <f t="shared" ref="K66:K91" si="17">(I66-G66)/G66</f>
        <v>0.18758502815532591</v>
      </c>
      <c r="L66" s="460">
        <v>-1253514</v>
      </c>
      <c r="M66" s="456">
        <v>-1526792</v>
      </c>
      <c r="N66" s="460">
        <v>-1330189</v>
      </c>
      <c r="O66" s="456">
        <v>-1541575</v>
      </c>
      <c r="P66" s="460">
        <v>-1426054</v>
      </c>
      <c r="Q66" s="384">
        <f t="shared" ref="Q66:Q91" si="18">P66/$P$65</f>
        <v>-0.55844430982068982</v>
      </c>
      <c r="R66" s="456">
        <v>-1674132</v>
      </c>
      <c r="S66" s="407">
        <f t="shared" ref="S66:S91" si="19">R66/$R$65</f>
        <v>-0.58669670242173788</v>
      </c>
      <c r="T66" s="384">
        <f t="shared" ref="T66:T91" si="20">(R66-P66)/P66</f>
        <v>0.17396115434618886</v>
      </c>
      <c r="U66" s="460">
        <f>L66+N66+P66</f>
        <v>-4009757</v>
      </c>
      <c r="V66" s="384">
        <f t="shared" ref="V66:V91" si="21">U66/$U$65</f>
        <v>-0.55690790990489492</v>
      </c>
      <c r="W66" s="456">
        <f t="shared" ref="W66:W91" si="22">M66+O66+R66</f>
        <v>-4742499</v>
      </c>
      <c r="X66" s="407">
        <f t="shared" ref="X66:X91" si="23">W66/$W$65</f>
        <v>-0.57989024573656778</v>
      </c>
      <c r="Y66" s="384">
        <f t="shared" ref="Y66:Y91" si="24">(W66-U66)/U66</f>
        <v>0.18273975205978815</v>
      </c>
    </row>
    <row r="67" spans="1:25" ht="15.75" thickBot="1" x14ac:dyDescent="0.3">
      <c r="A67" s="393" t="s">
        <v>196</v>
      </c>
      <c r="B67" s="461">
        <f>SUM(B65:B66)</f>
        <v>992228</v>
      </c>
      <c r="C67" s="386">
        <f t="shared" si="12"/>
        <v>0.44182635405135584</v>
      </c>
      <c r="D67" s="457">
        <f>SUM(D65:D66)</f>
        <v>1132541</v>
      </c>
      <c r="E67" s="408">
        <f t="shared" si="13"/>
        <v>0.42587408195964926</v>
      </c>
      <c r="F67" s="386">
        <f t="shared" si="14"/>
        <v>0.14141205448747668</v>
      </c>
      <c r="G67" s="461">
        <f>SUM(G65:G66)</f>
        <v>2062714</v>
      </c>
      <c r="H67" s="386">
        <f t="shared" si="15"/>
        <v>0.44393647836601835</v>
      </c>
      <c r="I67" s="457">
        <f>SUM(I65:I66)</f>
        <v>2256415</v>
      </c>
      <c r="J67" s="408">
        <f t="shared" si="16"/>
        <v>0.42375725428759337</v>
      </c>
      <c r="K67" s="386">
        <f t="shared" si="17"/>
        <v>9.3905892915838063E-2</v>
      </c>
      <c r="L67" s="461">
        <f>SUM(L65:L66)</f>
        <v>992228</v>
      </c>
      <c r="M67" s="457">
        <f>SUM(M65:M66)</f>
        <v>1132541</v>
      </c>
      <c r="N67" s="461">
        <f>SUM(N65:N66)</f>
        <v>1070486</v>
      </c>
      <c r="O67" s="457">
        <f>SUM(O65:O66)</f>
        <v>1123874</v>
      </c>
      <c r="P67" s="461">
        <f>SUM(P65:P66)</f>
        <v>1127565</v>
      </c>
      <c r="Q67" s="386">
        <f t="shared" si="18"/>
        <v>0.44155569017931023</v>
      </c>
      <c r="R67" s="457">
        <f>SUM(R65:R66)</f>
        <v>1179356</v>
      </c>
      <c r="S67" s="408">
        <f t="shared" si="19"/>
        <v>0.41330329757826212</v>
      </c>
      <c r="T67" s="386">
        <f t="shared" si="20"/>
        <v>4.5931720122564995E-2</v>
      </c>
      <c r="U67" s="461">
        <f t="shared" ref="U67:U91" si="25">L67+N67+P67</f>
        <v>3190279</v>
      </c>
      <c r="V67" s="386">
        <f t="shared" si="21"/>
        <v>0.44309209009510508</v>
      </c>
      <c r="W67" s="457">
        <f t="shared" si="22"/>
        <v>3435771</v>
      </c>
      <c r="X67" s="408">
        <f t="shared" si="23"/>
        <v>0.42010975426343222</v>
      </c>
      <c r="Y67" s="386">
        <f t="shared" si="24"/>
        <v>7.695000970134587E-2</v>
      </c>
    </row>
    <row r="68" spans="1:25" ht="15.75" thickBot="1" x14ac:dyDescent="0.3">
      <c r="A68" s="392" t="s">
        <v>7</v>
      </c>
      <c r="B68" s="460">
        <v>-104388</v>
      </c>
      <c r="C68" s="384">
        <f t="shared" si="12"/>
        <v>-4.6482632466240556E-2</v>
      </c>
      <c r="D68" s="456">
        <v>-118843</v>
      </c>
      <c r="E68" s="407">
        <f t="shared" si="13"/>
        <v>-4.4689025405994662E-2</v>
      </c>
      <c r="F68" s="384">
        <f t="shared" si="14"/>
        <v>0.13847377093152469</v>
      </c>
      <c r="G68" s="460">
        <v>-213170</v>
      </c>
      <c r="H68" s="384">
        <f t="shared" si="15"/>
        <v>-4.5878361757026975E-2</v>
      </c>
      <c r="I68" s="456">
        <v>-238385</v>
      </c>
      <c r="J68" s="407">
        <f t="shared" si="16"/>
        <v>-4.4768968945583125E-2</v>
      </c>
      <c r="K68" s="384">
        <f t="shared" si="17"/>
        <v>0.11828587512314115</v>
      </c>
      <c r="L68" s="460">
        <v>-104388</v>
      </c>
      <c r="M68" s="456">
        <v>-118843</v>
      </c>
      <c r="N68" s="460">
        <v>-108782</v>
      </c>
      <c r="O68" s="456">
        <v>-119542</v>
      </c>
      <c r="P68" s="460">
        <v>-111656</v>
      </c>
      <c r="Q68" s="384">
        <f t="shared" si="18"/>
        <v>-4.3724612011423789E-2</v>
      </c>
      <c r="R68" s="456">
        <v>-120091</v>
      </c>
      <c r="S68" s="407">
        <f t="shared" si="19"/>
        <v>-4.2085686009543405E-2</v>
      </c>
      <c r="T68" s="384">
        <f t="shared" si="20"/>
        <v>7.5544529626710613E-2</v>
      </c>
      <c r="U68" s="460">
        <f t="shared" si="25"/>
        <v>-324826</v>
      </c>
      <c r="V68" s="384">
        <f t="shared" si="21"/>
        <v>-4.5114496649738975E-2</v>
      </c>
      <c r="W68" s="456">
        <f t="shared" si="22"/>
        <v>-358476</v>
      </c>
      <c r="X68" s="407">
        <f t="shared" si="23"/>
        <v>-4.3832742132504793E-2</v>
      </c>
      <c r="Y68" s="384">
        <f t="shared" si="24"/>
        <v>0.10359392413168897</v>
      </c>
    </row>
    <row r="69" spans="1:25" ht="15.75" thickBot="1" x14ac:dyDescent="0.3">
      <c r="A69" s="392" t="s">
        <v>8</v>
      </c>
      <c r="B69" s="460">
        <v>-625569</v>
      </c>
      <c r="C69" s="384">
        <f t="shared" si="12"/>
        <v>-0.27855782186911943</v>
      </c>
      <c r="D69" s="456">
        <v>-706386</v>
      </c>
      <c r="E69" s="407">
        <f t="shared" si="13"/>
        <v>-0.2656252526479384</v>
      </c>
      <c r="F69" s="384">
        <f t="shared" si="14"/>
        <v>0.12918958580108669</v>
      </c>
      <c r="G69" s="460">
        <v>-1317157</v>
      </c>
      <c r="H69" s="384">
        <f t="shared" si="15"/>
        <v>-0.28347800036027759</v>
      </c>
      <c r="I69" s="456">
        <v>-1382895</v>
      </c>
      <c r="J69" s="407">
        <f t="shared" si="16"/>
        <v>-0.25970922377667294</v>
      </c>
      <c r="K69" s="384">
        <f t="shared" si="17"/>
        <v>4.9909008569213847E-2</v>
      </c>
      <c r="L69" s="460">
        <v>-625569</v>
      </c>
      <c r="M69" s="456">
        <v>-706386</v>
      </c>
      <c r="N69" s="460">
        <v>-691588</v>
      </c>
      <c r="O69" s="456">
        <v>-676509</v>
      </c>
      <c r="P69" s="460">
        <v>-727342</v>
      </c>
      <c r="Q69" s="384">
        <f t="shared" si="18"/>
        <v>-0.28482792460425771</v>
      </c>
      <c r="R69" s="456">
        <v>-736941</v>
      </c>
      <c r="S69" s="407">
        <f t="shared" si="19"/>
        <v>-0.25825971582848778</v>
      </c>
      <c r="T69" s="384">
        <f t="shared" si="20"/>
        <v>1.3197367950702695E-2</v>
      </c>
      <c r="U69" s="460">
        <f t="shared" si="25"/>
        <v>-2044499</v>
      </c>
      <c r="V69" s="384">
        <f t="shared" si="21"/>
        <v>-0.28395677466057112</v>
      </c>
      <c r="W69" s="456">
        <f t="shared" si="22"/>
        <v>-2119836</v>
      </c>
      <c r="X69" s="407">
        <f t="shared" si="23"/>
        <v>-0.25920347457347337</v>
      </c>
      <c r="Y69" s="384">
        <f t="shared" si="24"/>
        <v>3.6848636267369173E-2</v>
      </c>
    </row>
    <row r="70" spans="1:25" ht="15.75" thickBot="1" x14ac:dyDescent="0.3">
      <c r="A70" s="392" t="s">
        <v>84</v>
      </c>
      <c r="B70" s="460">
        <v>-33782</v>
      </c>
      <c r="C70" s="384">
        <f t="shared" si="12"/>
        <v>-1.5042689676730453E-2</v>
      </c>
      <c r="D70" s="456">
        <v>-38263</v>
      </c>
      <c r="E70" s="407">
        <f t="shared" si="13"/>
        <v>-1.4388194332939877E-2</v>
      </c>
      <c r="F70" s="384">
        <f t="shared" si="14"/>
        <v>0.13264460363507194</v>
      </c>
      <c r="G70" s="460">
        <v>-72901</v>
      </c>
      <c r="H70" s="384">
        <f t="shared" si="15"/>
        <v>-1.5689723931364748E-2</v>
      </c>
      <c r="I70" s="456">
        <v>-89479</v>
      </c>
      <c r="J70" s="407">
        <f t="shared" si="16"/>
        <v>-1.6804256024002484E-2</v>
      </c>
      <c r="K70" s="384">
        <f t="shared" si="17"/>
        <v>0.22740428800702323</v>
      </c>
      <c r="L70" s="460">
        <v>-33782</v>
      </c>
      <c r="M70" s="456">
        <v>-38263</v>
      </c>
      <c r="N70" s="460">
        <v>-39119</v>
      </c>
      <c r="O70" s="456">
        <v>-51216</v>
      </c>
      <c r="P70" s="460">
        <v>-40710</v>
      </c>
      <c r="Q70" s="384">
        <f t="shared" si="18"/>
        <v>-1.5942080631448936E-2</v>
      </c>
      <c r="R70" s="456">
        <v>-58421</v>
      </c>
      <c r="S70" s="407">
        <f t="shared" si="19"/>
        <v>-2.0473539752050823E-2</v>
      </c>
      <c r="T70" s="384">
        <f t="shared" si="20"/>
        <v>0.43505281257676248</v>
      </c>
      <c r="U70" s="460">
        <f t="shared" si="25"/>
        <v>-113611</v>
      </c>
      <c r="V70" s="384">
        <f t="shared" si="21"/>
        <v>-1.5779226659422257E-2</v>
      </c>
      <c r="W70" s="456">
        <f t="shared" si="22"/>
        <v>-147900</v>
      </c>
      <c r="X70" s="407">
        <f t="shared" si="23"/>
        <v>-1.8084509315539839E-2</v>
      </c>
      <c r="Y70" s="384">
        <f t="shared" si="24"/>
        <v>0.30181056411791113</v>
      </c>
    </row>
    <row r="71" spans="1:25" ht="15.75" thickBot="1" x14ac:dyDescent="0.3">
      <c r="A71" s="392" t="s">
        <v>197</v>
      </c>
      <c r="B71" s="460">
        <v>3810</v>
      </c>
      <c r="C71" s="384">
        <f t="shared" si="12"/>
        <v>1.6965439485034344E-3</v>
      </c>
      <c r="D71" s="456">
        <v>-13838</v>
      </c>
      <c r="E71" s="407">
        <f t="shared" si="13"/>
        <v>-5.2035604416596189E-3</v>
      </c>
      <c r="F71" s="384" t="s">
        <v>131</v>
      </c>
      <c r="G71" s="460">
        <v>4664</v>
      </c>
      <c r="H71" s="384">
        <f t="shared" si="15"/>
        <v>1.0037842061958709E-3</v>
      </c>
      <c r="I71" s="456">
        <v>-311</v>
      </c>
      <c r="J71" s="407">
        <f t="shared" si="16"/>
        <v>-5.8406146955875375E-5</v>
      </c>
      <c r="K71" s="384">
        <f t="shared" si="17"/>
        <v>-1.0666809605488852</v>
      </c>
      <c r="L71" s="460">
        <v>3810</v>
      </c>
      <c r="M71" s="456">
        <v>-13838</v>
      </c>
      <c r="N71" s="460">
        <v>854</v>
      </c>
      <c r="O71" s="456">
        <v>13527</v>
      </c>
      <c r="P71" s="460">
        <v>-1361</v>
      </c>
      <c r="Q71" s="384">
        <f t="shared" si="18"/>
        <v>-5.3296909210027023E-4</v>
      </c>
      <c r="R71" s="456">
        <v>2025</v>
      </c>
      <c r="S71" s="407">
        <f t="shared" si="19"/>
        <v>7.0965779425040507E-4</v>
      </c>
      <c r="T71" s="384">
        <f t="shared" si="20"/>
        <v>-2.4878765613519471</v>
      </c>
      <c r="U71" s="460">
        <f t="shared" si="25"/>
        <v>3303</v>
      </c>
      <c r="V71" s="384">
        <f t="shared" si="21"/>
        <v>4.5874770626146871E-4</v>
      </c>
      <c r="W71" s="456">
        <f t="shared" si="22"/>
        <v>1714</v>
      </c>
      <c r="X71" s="407">
        <f t="shared" si="23"/>
        <v>2.0957977665203031E-4</v>
      </c>
      <c r="Y71" s="384">
        <f t="shared" si="24"/>
        <v>-0.48107780805328487</v>
      </c>
    </row>
    <row r="72" spans="1:25" ht="15.75" thickBot="1" x14ac:dyDescent="0.3">
      <c r="A72" s="392" t="s">
        <v>144</v>
      </c>
      <c r="B72" s="460">
        <v>-2136</v>
      </c>
      <c r="C72" s="384">
        <f t="shared" si="12"/>
        <v>-9.5113330026334278E-4</v>
      </c>
      <c r="D72" s="456">
        <v>1430</v>
      </c>
      <c r="E72" s="407">
        <f t="shared" si="13"/>
        <v>5.3772882147515939E-4</v>
      </c>
      <c r="F72" s="384">
        <f t="shared" si="14"/>
        <v>-1.6694756554307115</v>
      </c>
      <c r="G72" s="460">
        <v>1174</v>
      </c>
      <c r="H72" s="384">
        <f t="shared" si="15"/>
        <v>2.5266780833489548E-4</v>
      </c>
      <c r="I72" s="456">
        <v>-8501</v>
      </c>
      <c r="J72" s="407">
        <f t="shared" si="16"/>
        <v>-1.5964972838324648E-3</v>
      </c>
      <c r="K72" s="384" t="s">
        <v>131</v>
      </c>
      <c r="L72" s="460">
        <v>-2136</v>
      </c>
      <c r="M72" s="456">
        <v>1430</v>
      </c>
      <c r="N72" s="460">
        <v>3310</v>
      </c>
      <c r="O72" s="456">
        <v>-9931</v>
      </c>
      <c r="P72" s="460">
        <v>-2746</v>
      </c>
      <c r="Q72" s="384">
        <f t="shared" si="18"/>
        <v>-1.0753366105123747E-3</v>
      </c>
      <c r="R72" s="456">
        <v>-2853</v>
      </c>
      <c r="S72" s="407">
        <f t="shared" si="19"/>
        <v>-9.9982898123279307E-4</v>
      </c>
      <c r="T72" s="384">
        <f t="shared" si="20"/>
        <v>3.8965768390386013E-2</v>
      </c>
      <c r="U72" s="460">
        <f t="shared" si="25"/>
        <v>-1572</v>
      </c>
      <c r="V72" s="384">
        <f t="shared" si="21"/>
        <v>-2.1833224167212498E-4</v>
      </c>
      <c r="W72" s="456">
        <f t="shared" si="22"/>
        <v>-11354</v>
      </c>
      <c r="X72" s="407">
        <f t="shared" si="23"/>
        <v>-1.3883131762585485E-3</v>
      </c>
      <c r="Y72" s="384" t="s">
        <v>131</v>
      </c>
    </row>
    <row r="73" spans="1:25" ht="16.5" customHeight="1" thickBot="1" x14ac:dyDescent="0.3">
      <c r="A73" s="391" t="s">
        <v>198</v>
      </c>
      <c r="B73" s="458">
        <f>SUM(B67:B72)</f>
        <v>230163</v>
      </c>
      <c r="C73" s="387">
        <f t="shared" si="12"/>
        <v>0.10248862068750551</v>
      </c>
      <c r="D73" s="458">
        <f>SUM(D67:D72)</f>
        <v>256641</v>
      </c>
      <c r="E73" s="387">
        <f t="shared" si="13"/>
        <v>9.6505777952591867E-2</v>
      </c>
      <c r="F73" s="387">
        <f t="shared" si="14"/>
        <v>0.11504021063333376</v>
      </c>
      <c r="G73" s="458">
        <f>SUM(G67:G72)</f>
        <v>465324</v>
      </c>
      <c r="H73" s="387">
        <f t="shared" si="15"/>
        <v>0.10014684433187981</v>
      </c>
      <c r="I73" s="458">
        <f>SUM(I67:I72)</f>
        <v>536844</v>
      </c>
      <c r="J73" s="387">
        <f t="shared" si="16"/>
        <v>0.10081990211054649</v>
      </c>
      <c r="K73" s="387">
        <f t="shared" si="17"/>
        <v>0.15369935786677669</v>
      </c>
      <c r="L73" s="458">
        <f>SUM(L67:L72)</f>
        <v>230163</v>
      </c>
      <c r="M73" s="458">
        <f>SUM(M67:M72)</f>
        <v>256641</v>
      </c>
      <c r="N73" s="458">
        <f>SUM(N67:N72)</f>
        <v>235161</v>
      </c>
      <c r="O73" s="458">
        <f>SUM(O67:O72)</f>
        <v>280203</v>
      </c>
      <c r="P73" s="458">
        <f>SUM(P67:P72)</f>
        <v>243750</v>
      </c>
      <c r="Q73" s="387">
        <f t="shared" si="18"/>
        <v>9.5452767229567137E-2</v>
      </c>
      <c r="R73" s="458">
        <f>SUM(R67:R72)</f>
        <v>263075</v>
      </c>
      <c r="S73" s="387">
        <f t="shared" si="19"/>
        <v>9.219418480119769E-2</v>
      </c>
      <c r="T73" s="387">
        <f t="shared" si="20"/>
        <v>7.9282051282051277E-2</v>
      </c>
      <c r="U73" s="458">
        <f t="shared" si="25"/>
        <v>709074</v>
      </c>
      <c r="V73" s="387">
        <f t="shared" si="21"/>
        <v>9.8482007589962048E-2</v>
      </c>
      <c r="W73" s="458">
        <f t="shared" si="22"/>
        <v>799919</v>
      </c>
      <c r="X73" s="387">
        <f t="shared" si="23"/>
        <v>9.781029484230773E-2</v>
      </c>
      <c r="Y73" s="387">
        <f t="shared" si="24"/>
        <v>0.12811779870648196</v>
      </c>
    </row>
    <row r="74" spans="1:25" ht="15.75" thickBot="1" x14ac:dyDescent="0.3">
      <c r="A74" s="392" t="s">
        <v>51</v>
      </c>
      <c r="B74" s="460">
        <v>3427</v>
      </c>
      <c r="C74" s="384">
        <f t="shared" si="12"/>
        <v>1.5259989794019081E-3</v>
      </c>
      <c r="D74" s="456">
        <v>4300</v>
      </c>
      <c r="E74" s="407">
        <f t="shared" si="13"/>
        <v>1.6169468058343953E-3</v>
      </c>
      <c r="F74" s="384">
        <f t="shared" si="14"/>
        <v>0.25474175663845927</v>
      </c>
      <c r="G74" s="460">
        <v>7114</v>
      </c>
      <c r="H74" s="384">
        <f t="shared" si="15"/>
        <v>1.5310722218862406E-3</v>
      </c>
      <c r="I74" s="456">
        <v>9702</v>
      </c>
      <c r="J74" s="407">
        <f t="shared" si="16"/>
        <v>1.8220464236845752E-3</v>
      </c>
      <c r="K74" s="384">
        <f t="shared" si="17"/>
        <v>0.36378971043013775</v>
      </c>
      <c r="L74" s="460">
        <v>3427</v>
      </c>
      <c r="M74" s="456">
        <v>4300</v>
      </c>
      <c r="N74" s="460">
        <v>3687</v>
      </c>
      <c r="O74" s="456">
        <v>5402</v>
      </c>
      <c r="P74" s="460">
        <v>8737</v>
      </c>
      <c r="Q74" s="384">
        <f t="shared" si="18"/>
        <v>3.4214187786040127E-3</v>
      </c>
      <c r="R74" s="456">
        <v>5643</v>
      </c>
      <c r="S74" s="407">
        <f t="shared" si="19"/>
        <v>1.9775797199777954E-3</v>
      </c>
      <c r="T74" s="384">
        <f t="shared" si="20"/>
        <v>-0.35412613025065814</v>
      </c>
      <c r="U74" s="460">
        <f t="shared" si="25"/>
        <v>15851</v>
      </c>
      <c r="V74" s="384">
        <f t="shared" si="21"/>
        <v>2.201516770193927E-3</v>
      </c>
      <c r="W74" s="456">
        <f t="shared" si="22"/>
        <v>15345</v>
      </c>
      <c r="X74" s="407">
        <f t="shared" si="23"/>
        <v>1.8763136947056039E-3</v>
      </c>
      <c r="Y74" s="384">
        <f t="shared" si="24"/>
        <v>-3.1922276197085354E-2</v>
      </c>
    </row>
    <row r="75" spans="1:25" ht="15.75" thickBot="1" x14ac:dyDescent="0.3">
      <c r="A75" s="392" t="s">
        <v>11</v>
      </c>
      <c r="B75" s="460">
        <v>-72588</v>
      </c>
      <c r="C75" s="384">
        <f t="shared" si="12"/>
        <v>-3.2322501872432366E-2</v>
      </c>
      <c r="D75" s="456">
        <v>-77029</v>
      </c>
      <c r="E75" s="407">
        <f t="shared" si="13"/>
        <v>-2.8965533838748288E-2</v>
      </c>
      <c r="F75" s="384">
        <f t="shared" si="14"/>
        <v>6.1180911445417978E-2</v>
      </c>
      <c r="G75" s="460">
        <v>-147477</v>
      </c>
      <c r="H75" s="384">
        <f t="shared" si="15"/>
        <v>-3.1739940689783114E-2</v>
      </c>
      <c r="I75" s="456">
        <v>-155031</v>
      </c>
      <c r="J75" s="407">
        <f t="shared" si="16"/>
        <v>-2.9114994754714841E-2</v>
      </c>
      <c r="K75" s="384">
        <f t="shared" si="17"/>
        <v>5.1221546410626741E-2</v>
      </c>
      <c r="L75" s="460">
        <v>-72588</v>
      </c>
      <c r="M75" s="456">
        <v>-77029</v>
      </c>
      <c r="N75" s="460">
        <v>-74889</v>
      </c>
      <c r="O75" s="456">
        <v>-78002</v>
      </c>
      <c r="P75" s="460">
        <v>-76301</v>
      </c>
      <c r="Q75" s="384">
        <f t="shared" si="18"/>
        <v>-2.9879555250802881E-2</v>
      </c>
      <c r="R75" s="456">
        <v>-65093</v>
      </c>
      <c r="S75" s="407">
        <f t="shared" si="19"/>
        <v>-2.2811730765995863E-2</v>
      </c>
      <c r="T75" s="384">
        <f t="shared" si="20"/>
        <v>-0.1468919149159251</v>
      </c>
      <c r="U75" s="460">
        <f t="shared" si="25"/>
        <v>-223778</v>
      </c>
      <c r="V75" s="384">
        <f t="shared" si="21"/>
        <v>-3.108012237716589E-2</v>
      </c>
      <c r="W75" s="456">
        <f t="shared" si="22"/>
        <v>-220124</v>
      </c>
      <c r="X75" s="407">
        <f t="shared" si="23"/>
        <v>-2.6915716893670668E-2</v>
      </c>
      <c r="Y75" s="384">
        <f t="shared" si="24"/>
        <v>-1.6328682891079551E-2</v>
      </c>
    </row>
    <row r="76" spans="1:25" ht="15.75" thickBot="1" x14ac:dyDescent="0.3">
      <c r="A76" s="392" t="s">
        <v>272</v>
      </c>
      <c r="B76" s="460">
        <v>61493</v>
      </c>
      <c r="C76" s="384">
        <f t="shared" si="12"/>
        <v>2.7382041213995196E-2</v>
      </c>
      <c r="D76" s="456">
        <v>65582</v>
      </c>
      <c r="E76" s="407">
        <f t="shared" si="13"/>
        <v>2.4661071027960772E-2</v>
      </c>
      <c r="F76" s="384">
        <f t="shared" si="14"/>
        <v>6.649537345714146E-2</v>
      </c>
      <c r="G76" s="460">
        <v>61503</v>
      </c>
      <c r="H76" s="384">
        <f t="shared" si="15"/>
        <v>1.3236650950614205E-2</v>
      </c>
      <c r="I76" s="456">
        <v>68694</v>
      </c>
      <c r="J76" s="407">
        <f t="shared" si="16"/>
        <v>1.290080983597075E-2</v>
      </c>
      <c r="K76" s="384">
        <f t="shared" si="17"/>
        <v>0.11692112579874152</v>
      </c>
      <c r="L76" s="460">
        <v>61493</v>
      </c>
      <c r="M76" s="456">
        <v>65582</v>
      </c>
      <c r="N76" s="460">
        <v>10</v>
      </c>
      <c r="O76" s="456">
        <v>3112</v>
      </c>
      <c r="P76" s="460">
        <v>13</v>
      </c>
      <c r="Q76" s="384">
        <f t="shared" si="18"/>
        <v>5.0908142522435805E-6</v>
      </c>
      <c r="R76" s="456">
        <v>575</v>
      </c>
      <c r="S76" s="407">
        <f t="shared" si="19"/>
        <v>2.0150776873776934E-4</v>
      </c>
      <c r="T76" s="384">
        <f t="shared" si="20"/>
        <v>43.230769230769234</v>
      </c>
      <c r="U76" s="460">
        <f t="shared" si="25"/>
        <v>61516</v>
      </c>
      <c r="V76" s="384">
        <f t="shared" si="21"/>
        <v>8.5438461696580401E-3</v>
      </c>
      <c r="W76" s="456">
        <f t="shared" si="22"/>
        <v>69269</v>
      </c>
      <c r="X76" s="407">
        <f t="shared" si="23"/>
        <v>8.4698842175667966E-3</v>
      </c>
      <c r="Y76" s="384">
        <f t="shared" si="24"/>
        <v>0.12603225177189675</v>
      </c>
    </row>
    <row r="77" spans="1:25" ht="15.75" thickBot="1" x14ac:dyDescent="0.3">
      <c r="A77" s="392" t="s">
        <v>200</v>
      </c>
      <c r="B77" s="460">
        <v>702</v>
      </c>
      <c r="C77" s="384">
        <f t="shared" si="12"/>
        <v>3.1259156216519973E-4</v>
      </c>
      <c r="D77" s="456">
        <v>16393</v>
      </c>
      <c r="E77" s="407">
        <f t="shared" si="13"/>
        <v>6.164327671637963E-3</v>
      </c>
      <c r="F77" s="384" t="s">
        <v>131</v>
      </c>
      <c r="G77" s="460">
        <v>-735</v>
      </c>
      <c r="H77" s="384">
        <f t="shared" si="15"/>
        <v>-1.5818640470711089E-4</v>
      </c>
      <c r="I77" s="456">
        <v>-121</v>
      </c>
      <c r="J77" s="407">
        <f t="shared" si="16"/>
        <v>-2.272393498926341E-5</v>
      </c>
      <c r="K77" s="384">
        <f t="shared" si="17"/>
        <v>-0.8353741496598639</v>
      </c>
      <c r="L77" s="460">
        <v>702</v>
      </c>
      <c r="M77" s="456">
        <v>16393</v>
      </c>
      <c r="N77" s="460">
        <v>-1437</v>
      </c>
      <c r="O77" s="456">
        <v>-16514</v>
      </c>
      <c r="P77" s="460">
        <v>7478</v>
      </c>
      <c r="Q77" s="384">
        <f t="shared" si="18"/>
        <v>2.9283929983290381E-3</v>
      </c>
      <c r="R77" s="456">
        <v>6074</v>
      </c>
      <c r="S77" s="407">
        <f t="shared" si="19"/>
        <v>2.1286229344577583E-3</v>
      </c>
      <c r="T77" s="384">
        <f t="shared" si="20"/>
        <v>-0.18775073549077292</v>
      </c>
      <c r="U77" s="460">
        <f t="shared" si="25"/>
        <v>6743</v>
      </c>
      <c r="V77" s="384">
        <f t="shared" si="21"/>
        <v>9.3652309516230195E-4</v>
      </c>
      <c r="W77" s="456">
        <f t="shared" si="22"/>
        <v>5953</v>
      </c>
      <c r="X77" s="407">
        <f t="shared" si="23"/>
        <v>7.2790455683170155E-4</v>
      </c>
      <c r="Y77" s="384">
        <f t="shared" si="24"/>
        <v>-0.11715853477680557</v>
      </c>
    </row>
    <row r="78" spans="1:25" ht="15.75" thickBot="1" x14ac:dyDescent="0.3">
      <c r="A78" s="392" t="s">
        <v>275</v>
      </c>
      <c r="B78" s="460">
        <v>-377</v>
      </c>
      <c r="C78" s="384">
        <f t="shared" si="12"/>
        <v>-1.6787324634797763E-4</v>
      </c>
      <c r="D78" s="456">
        <v>-6316</v>
      </c>
      <c r="E78" s="407">
        <f t="shared" si="13"/>
        <v>-2.3750316338721025E-3</v>
      </c>
      <c r="F78" s="384" t="s">
        <v>131</v>
      </c>
      <c r="G78" s="460">
        <v>-900</v>
      </c>
      <c r="H78" s="384">
        <f t="shared" si="15"/>
        <v>-1.9369763841687047E-4</v>
      </c>
      <c r="I78" s="456">
        <v>-5768</v>
      </c>
      <c r="J78" s="407">
        <f t="shared" si="16"/>
        <v>-1.0832368348600938E-3</v>
      </c>
      <c r="K78" s="384">
        <f t="shared" si="17"/>
        <v>5.4088888888888889</v>
      </c>
      <c r="L78" s="460">
        <v>-377</v>
      </c>
      <c r="M78" s="456">
        <v>-6316</v>
      </c>
      <c r="N78" s="460">
        <v>-523</v>
      </c>
      <c r="O78" s="456">
        <v>548</v>
      </c>
      <c r="P78" s="460">
        <v>-770</v>
      </c>
      <c r="Q78" s="384">
        <f t="shared" si="18"/>
        <v>-3.0153284417135052E-4</v>
      </c>
      <c r="R78" s="456">
        <v>-255</v>
      </c>
      <c r="S78" s="407">
        <f t="shared" si="19"/>
        <v>-8.9364314831532501E-5</v>
      </c>
      <c r="T78" s="384">
        <f t="shared" si="20"/>
        <v>-0.66883116883116878</v>
      </c>
      <c r="U78" s="460">
        <f t="shared" si="25"/>
        <v>-1670</v>
      </c>
      <c r="V78" s="384">
        <f t="shared" si="21"/>
        <v>-2.3194328472802081E-4</v>
      </c>
      <c r="W78" s="456">
        <f t="shared" si="22"/>
        <v>-6023</v>
      </c>
      <c r="X78" s="407">
        <f t="shared" si="23"/>
        <v>-7.3646382425623024E-4</v>
      </c>
      <c r="Y78" s="384" t="s">
        <v>131</v>
      </c>
    </row>
    <row r="79" spans="1:25" ht="15.75" thickBot="1" x14ac:dyDescent="0.3">
      <c r="A79" s="392" t="s">
        <v>308</v>
      </c>
      <c r="B79" s="460">
        <v>0</v>
      </c>
      <c r="C79" s="384">
        <f>+B79/$B$65</f>
        <v>0</v>
      </c>
      <c r="D79" s="456">
        <v>0</v>
      </c>
      <c r="E79" s="407">
        <f>+D79/$D$65</f>
        <v>0</v>
      </c>
      <c r="F79" s="384" t="s">
        <v>131</v>
      </c>
      <c r="G79" s="460">
        <v>0</v>
      </c>
      <c r="H79" s="384">
        <f t="shared" si="15"/>
        <v>0</v>
      </c>
      <c r="I79" s="456">
        <v>0</v>
      </c>
      <c r="J79" s="407">
        <f t="shared" si="16"/>
        <v>0</v>
      </c>
      <c r="K79" s="384">
        <v>0</v>
      </c>
      <c r="L79" s="460">
        <v>0</v>
      </c>
      <c r="M79" s="456">
        <v>0</v>
      </c>
      <c r="N79" s="460">
        <v>0</v>
      </c>
      <c r="O79" s="456">
        <v>0</v>
      </c>
      <c r="P79" s="460">
        <v>89</v>
      </c>
      <c r="Q79" s="384">
        <f t="shared" si="18"/>
        <v>3.4852497573052203E-5</v>
      </c>
      <c r="R79" s="456">
        <v>581</v>
      </c>
      <c r="S79" s="407">
        <f t="shared" si="19"/>
        <v>2.036104584985113E-4</v>
      </c>
      <c r="T79" s="384">
        <f t="shared" si="20"/>
        <v>5.5280898876404496</v>
      </c>
      <c r="U79" s="460">
        <f t="shared" si="25"/>
        <v>89</v>
      </c>
      <c r="V79" s="384">
        <f t="shared" si="21"/>
        <v>1.2361049305864581E-5</v>
      </c>
      <c r="W79" s="456">
        <f t="shared" si="22"/>
        <v>581</v>
      </c>
      <c r="X79" s="407">
        <f t="shared" si="23"/>
        <v>7.1041919623587879E-5</v>
      </c>
      <c r="Y79" s="384" t="s">
        <v>131</v>
      </c>
    </row>
    <row r="80" spans="1:25" ht="15.75" thickBot="1" x14ac:dyDescent="0.3">
      <c r="A80" s="393" t="s">
        <v>204</v>
      </c>
      <c r="B80" s="461">
        <f>SUM(B73:B79)</f>
        <v>222820</v>
      </c>
      <c r="C80" s="386">
        <f t="shared" si="12"/>
        <v>9.9218877324287469E-2</v>
      </c>
      <c r="D80" s="457">
        <f>SUM(D73:D79)</f>
        <v>259571</v>
      </c>
      <c r="E80" s="408">
        <f t="shared" si="13"/>
        <v>9.7607557985404617E-2</v>
      </c>
      <c r="F80" s="386">
        <f t="shared" si="14"/>
        <v>0.16493582263710618</v>
      </c>
      <c r="G80" s="461">
        <f>SUM(G73:G79)</f>
        <v>384829</v>
      </c>
      <c r="H80" s="386">
        <f t="shared" si="15"/>
        <v>8.2822742771473154E-2</v>
      </c>
      <c r="I80" s="457">
        <f>SUM(I73:I79)</f>
        <v>454320</v>
      </c>
      <c r="J80" s="408">
        <f t="shared" si="16"/>
        <v>8.5321802845637618E-2</v>
      </c>
      <c r="K80" s="386">
        <f t="shared" si="17"/>
        <v>0.18057630791858201</v>
      </c>
      <c r="L80" s="461">
        <f>SUM(L73:L79)</f>
        <v>222820</v>
      </c>
      <c r="M80" s="457">
        <f>SUM(M73:M79)</f>
        <v>259571</v>
      </c>
      <c r="N80" s="461">
        <f>SUM(N73:N79)</f>
        <v>162009</v>
      </c>
      <c r="O80" s="457">
        <f>SUM(O73:O79)</f>
        <v>194749</v>
      </c>
      <c r="P80" s="461">
        <f>SUM(P73:P79)</f>
        <v>182996</v>
      </c>
      <c r="Q80" s="386">
        <f t="shared" si="18"/>
        <v>7.166143422335125E-2</v>
      </c>
      <c r="R80" s="457">
        <f>SUM(R73:R79)</f>
        <v>210600</v>
      </c>
      <c r="S80" s="408">
        <f t="shared" si="19"/>
        <v>7.3804410602042139E-2</v>
      </c>
      <c r="T80" s="386">
        <f t="shared" si="20"/>
        <v>0.15084482720933792</v>
      </c>
      <c r="U80" s="461">
        <f t="shared" si="25"/>
        <v>567825</v>
      </c>
      <c r="V80" s="386">
        <f t="shared" si="21"/>
        <v>7.8864189012388272E-2</v>
      </c>
      <c r="W80" s="457">
        <f t="shared" si="22"/>
        <v>664920</v>
      </c>
      <c r="X80" s="408">
        <f t="shared" si="23"/>
        <v>8.1303258513108517E-2</v>
      </c>
      <c r="Y80" s="386">
        <f t="shared" si="24"/>
        <v>0.17099458459912825</v>
      </c>
    </row>
    <row r="81" spans="1:25" ht="15.75" thickBot="1" x14ac:dyDescent="0.3">
      <c r="A81" s="392" t="s">
        <v>205</v>
      </c>
      <c r="B81" s="460">
        <v>-43888</v>
      </c>
      <c r="C81" s="384">
        <f t="shared" si="12"/>
        <v>-1.9542761367957674E-2</v>
      </c>
      <c r="D81" s="456">
        <v>-76490</v>
      </c>
      <c r="E81" s="407">
        <f t="shared" si="13"/>
        <v>-2.8762851436807652E-2</v>
      </c>
      <c r="F81" s="384">
        <f t="shared" si="14"/>
        <v>0.74284542471746262</v>
      </c>
      <c r="G81" s="460">
        <v>-93443</v>
      </c>
      <c r="H81" s="384">
        <f t="shared" si="15"/>
        <v>-2.0110764918430696E-2</v>
      </c>
      <c r="I81" s="456">
        <v>-143102</v>
      </c>
      <c r="J81" s="407">
        <f t="shared" si="16"/>
        <v>-2.6874715246558451E-2</v>
      </c>
      <c r="K81" s="384">
        <f t="shared" si="17"/>
        <v>0.53143627666063809</v>
      </c>
      <c r="L81" s="460">
        <v>-43888</v>
      </c>
      <c r="M81" s="456">
        <v>-76490</v>
      </c>
      <c r="N81" s="460">
        <v>-49555</v>
      </c>
      <c r="O81" s="456">
        <v>-66612</v>
      </c>
      <c r="P81" s="460">
        <v>-50026</v>
      </c>
      <c r="Q81" s="384">
        <f t="shared" si="18"/>
        <v>-1.9590236444825951E-2</v>
      </c>
      <c r="R81" s="456">
        <v>-74342</v>
      </c>
      <c r="S81" s="407">
        <f t="shared" si="19"/>
        <v>-2.6053027032179564E-2</v>
      </c>
      <c r="T81" s="384">
        <f t="shared" si="20"/>
        <v>0.48606724503258308</v>
      </c>
      <c r="U81" s="460">
        <f t="shared" si="25"/>
        <v>-143469</v>
      </c>
      <c r="V81" s="384">
        <f t="shared" si="21"/>
        <v>-1.9926150369248153E-2</v>
      </c>
      <c r="W81" s="456">
        <f t="shared" si="22"/>
        <v>-217444</v>
      </c>
      <c r="X81" s="407">
        <f t="shared" si="23"/>
        <v>-2.658801922656014E-2</v>
      </c>
      <c r="Y81" s="384">
        <f t="shared" si="24"/>
        <v>0.51561661404205783</v>
      </c>
    </row>
    <row r="82" spans="1:25" ht="15.75" thickBot="1" x14ac:dyDescent="0.3">
      <c r="A82" s="394" t="s">
        <v>206</v>
      </c>
      <c r="B82" s="462">
        <v>-2661</v>
      </c>
      <c r="C82" s="385">
        <f t="shared" si="12"/>
        <v>-1.1849090411988554E-3</v>
      </c>
      <c r="D82" s="459">
        <v>8406</v>
      </c>
      <c r="E82" s="409">
        <f t="shared" si="13"/>
        <v>3.1609429883357968E-3</v>
      </c>
      <c r="F82" s="385" t="s">
        <v>131</v>
      </c>
      <c r="G82" s="462">
        <v>-7075</v>
      </c>
      <c r="H82" s="385">
        <f t="shared" si="15"/>
        <v>-1.5226786575548428E-3</v>
      </c>
      <c r="I82" s="459">
        <v>20339</v>
      </c>
      <c r="J82" s="409">
        <f t="shared" si="16"/>
        <v>3.8196868904680041E-3</v>
      </c>
      <c r="K82" s="384" t="s">
        <v>131</v>
      </c>
      <c r="L82" s="462">
        <v>-2661</v>
      </c>
      <c r="M82" s="459">
        <v>8406</v>
      </c>
      <c r="N82" s="462">
        <v>-4414</v>
      </c>
      <c r="O82" s="459">
        <v>11933</v>
      </c>
      <c r="P82" s="462">
        <v>13497</v>
      </c>
      <c r="Q82" s="385">
        <f t="shared" si="18"/>
        <v>5.2854399971178157E-3</v>
      </c>
      <c r="R82" s="459">
        <v>6148</v>
      </c>
      <c r="S82" s="409">
        <f t="shared" si="19"/>
        <v>2.1545561081735757E-3</v>
      </c>
      <c r="T82" s="385">
        <f t="shared" si="20"/>
        <v>-0.54449136845224866</v>
      </c>
      <c r="U82" s="462">
        <f t="shared" si="25"/>
        <v>6422</v>
      </c>
      <c r="V82" s="385">
        <f t="shared" si="21"/>
        <v>8.9193998474452075E-4</v>
      </c>
      <c r="W82" s="459">
        <f t="shared" si="22"/>
        <v>26487</v>
      </c>
      <c r="X82" s="409">
        <f t="shared" si="23"/>
        <v>3.2387045181927229E-3</v>
      </c>
      <c r="Y82" s="385" t="s">
        <v>131</v>
      </c>
    </row>
    <row r="83" spans="1:25" ht="15.75" thickBot="1" x14ac:dyDescent="0.3">
      <c r="A83" s="393" t="s">
        <v>207</v>
      </c>
      <c r="B83" s="461">
        <f>SUM(B80:B82)</f>
        <v>176271</v>
      </c>
      <c r="C83" s="386">
        <f t="shared" si="12"/>
        <v>7.8491206915130951E-2</v>
      </c>
      <c r="D83" s="457">
        <f>SUM(D80:D82)</f>
        <v>191487</v>
      </c>
      <c r="E83" s="408">
        <f t="shared" si="13"/>
        <v>7.2005649536932753E-2</v>
      </c>
      <c r="F83" s="386">
        <f t="shared" si="14"/>
        <v>8.6321629763262256E-2</v>
      </c>
      <c r="G83" s="461">
        <f>SUM(G80:G82)</f>
        <v>284311</v>
      </c>
      <c r="H83" s="386">
        <f t="shared" si="15"/>
        <v>6.1189299195487622E-2</v>
      </c>
      <c r="I83" s="457">
        <f>SUM(I80:I82)</f>
        <v>331557</v>
      </c>
      <c r="J83" s="408">
        <f t="shared" si="16"/>
        <v>6.2266774489547178E-2</v>
      </c>
      <c r="K83" s="386">
        <f t="shared" si="17"/>
        <v>0.16617717921571801</v>
      </c>
      <c r="L83" s="461">
        <f>SUM(L80:L82)</f>
        <v>176271</v>
      </c>
      <c r="M83" s="457">
        <f>SUM(M80:M82)</f>
        <v>191487</v>
      </c>
      <c r="N83" s="461">
        <f>SUM(N80:N82)</f>
        <v>108040</v>
      </c>
      <c r="O83" s="457">
        <f>SUM(O80:O82)</f>
        <v>140070</v>
      </c>
      <c r="P83" s="461">
        <f>SUM(P80:P82)</f>
        <v>146467</v>
      </c>
      <c r="Q83" s="386">
        <f t="shared" si="18"/>
        <v>5.7356637775643114E-2</v>
      </c>
      <c r="R83" s="457">
        <f>SUM(R80:R82)</f>
        <v>142406</v>
      </c>
      <c r="S83" s="408">
        <f t="shared" si="19"/>
        <v>4.9905939678036144E-2</v>
      </c>
      <c r="T83" s="386">
        <f t="shared" si="20"/>
        <v>-2.7726382051929788E-2</v>
      </c>
      <c r="U83" s="461">
        <f t="shared" si="25"/>
        <v>430778</v>
      </c>
      <c r="V83" s="386">
        <f t="shared" si="21"/>
        <v>5.9829978627884639E-2</v>
      </c>
      <c r="W83" s="457">
        <f t="shared" si="22"/>
        <v>473963</v>
      </c>
      <c r="X83" s="408">
        <f t="shared" si="23"/>
        <v>5.7953943804741101E-2</v>
      </c>
      <c r="Y83" s="386">
        <f t="shared" si="24"/>
        <v>0.10024885207693986</v>
      </c>
    </row>
    <row r="84" spans="1:25" ht="15.75" thickBot="1" x14ac:dyDescent="0.3">
      <c r="A84" s="392" t="s">
        <v>208</v>
      </c>
      <c r="B84" s="460">
        <v>-842</v>
      </c>
      <c r="C84" s="384">
        <f t="shared" si="12"/>
        <v>-3.7493175974800312E-4</v>
      </c>
      <c r="D84" s="456">
        <v>-95</v>
      </c>
      <c r="E84" s="407">
        <f t="shared" si="13"/>
        <v>-3.5723243384713388E-5</v>
      </c>
      <c r="F84" s="384">
        <f t="shared" si="14"/>
        <v>-0.88717339667458428</v>
      </c>
      <c r="G84" s="460">
        <v>-856</v>
      </c>
      <c r="H84" s="384">
        <f t="shared" si="15"/>
        <v>-1.8422797609426791E-4</v>
      </c>
      <c r="I84" s="456">
        <v>-264</v>
      </c>
      <c r="J84" s="407">
        <f t="shared" si="16"/>
        <v>-4.9579494522029257E-5</v>
      </c>
      <c r="K84" s="384">
        <f t="shared" si="17"/>
        <v>-0.69158878504672894</v>
      </c>
      <c r="L84" s="460">
        <v>-842</v>
      </c>
      <c r="M84" s="456">
        <v>-95</v>
      </c>
      <c r="N84" s="460">
        <v>-14</v>
      </c>
      <c r="O84" s="456">
        <v>-169</v>
      </c>
      <c r="P84" s="460">
        <v>-13694</v>
      </c>
      <c r="Q84" s="384">
        <f t="shared" si="18"/>
        <v>-5.3625854130941227E-3</v>
      </c>
      <c r="R84" s="456">
        <v>-115</v>
      </c>
      <c r="S84" s="407">
        <f t="shared" si="19"/>
        <v>-4.0301553747553873E-5</v>
      </c>
      <c r="T84" s="386">
        <f t="shared" si="20"/>
        <v>-0.99160216153059733</v>
      </c>
      <c r="U84" s="460">
        <f t="shared" si="25"/>
        <v>-14550</v>
      </c>
      <c r="V84" s="384">
        <f t="shared" si="21"/>
        <v>-2.020823229217187E-3</v>
      </c>
      <c r="W84" s="456">
        <f t="shared" si="22"/>
        <v>-379</v>
      </c>
      <c r="X84" s="407">
        <f t="shared" si="23"/>
        <v>-4.6342319341376603E-5</v>
      </c>
      <c r="Y84" s="386">
        <f t="shared" si="24"/>
        <v>-0.97395189003436422</v>
      </c>
    </row>
    <row r="85" spans="1:25" ht="15.75" thickBot="1" x14ac:dyDescent="0.3">
      <c r="A85" s="391" t="s">
        <v>209</v>
      </c>
      <c r="B85" s="458">
        <f>SUM(B83:B84)</f>
        <v>175429</v>
      </c>
      <c r="C85" s="387">
        <f t="shared" si="12"/>
        <v>7.8116275155382942E-2</v>
      </c>
      <c r="D85" s="395">
        <f>SUM(D83:D84)</f>
        <v>191392</v>
      </c>
      <c r="E85" s="387">
        <f t="shared" si="13"/>
        <v>7.196992629354805E-2</v>
      </c>
      <c r="F85" s="387">
        <f t="shared" si="14"/>
        <v>9.0994077376032476E-2</v>
      </c>
      <c r="G85" s="458">
        <f>SUM(G83:G84)</f>
        <v>283455</v>
      </c>
      <c r="H85" s="387">
        <f t="shared" si="15"/>
        <v>6.1005071219393352E-2</v>
      </c>
      <c r="I85" s="395">
        <f>SUM(I83:I84)</f>
        <v>331293</v>
      </c>
      <c r="J85" s="387">
        <f t="shared" si="16"/>
        <v>6.2217194995025149E-2</v>
      </c>
      <c r="K85" s="387">
        <f t="shared" si="17"/>
        <v>0.16876752923744509</v>
      </c>
      <c r="L85" s="458">
        <f>SUM(L83:L84)</f>
        <v>175429</v>
      </c>
      <c r="M85" s="395">
        <f>SUM(M83:M84)</f>
        <v>191392</v>
      </c>
      <c r="N85" s="458">
        <f>SUM(N83:N84)</f>
        <v>108026</v>
      </c>
      <c r="O85" s="395">
        <f>SUM(O83:O84)</f>
        <v>139901</v>
      </c>
      <c r="P85" s="458">
        <f>SUM(P83:P84)</f>
        <v>132773</v>
      </c>
      <c r="Q85" s="387">
        <f t="shared" si="18"/>
        <v>5.1994052362548997E-2</v>
      </c>
      <c r="R85" s="395">
        <f>SUM(R83:R84)</f>
        <v>142291</v>
      </c>
      <c r="S85" s="387">
        <f t="shared" si="19"/>
        <v>4.986563812428859E-2</v>
      </c>
      <c r="T85" s="387">
        <f t="shared" si="20"/>
        <v>7.1686261514012639E-2</v>
      </c>
      <c r="U85" s="458">
        <f t="shared" si="25"/>
        <v>416228</v>
      </c>
      <c r="V85" s="387">
        <f t="shared" si="21"/>
        <v>5.7809155398667454E-2</v>
      </c>
      <c r="W85" s="395">
        <f t="shared" si="22"/>
        <v>473584</v>
      </c>
      <c r="X85" s="387">
        <f t="shared" si="23"/>
        <v>5.7907601485399723E-2</v>
      </c>
      <c r="Y85" s="387">
        <f t="shared" si="24"/>
        <v>0.13779947528758277</v>
      </c>
    </row>
    <row r="86" spans="1:25" x14ac:dyDescent="0.25">
      <c r="A86" s="289"/>
      <c r="B86" s="291"/>
      <c r="C86" s="292"/>
      <c r="D86" s="294"/>
      <c r="E86" s="292"/>
      <c r="F86" s="292"/>
      <c r="G86" s="291"/>
      <c r="H86" s="294"/>
      <c r="I86" s="292"/>
      <c r="J86" s="292"/>
      <c r="K86" s="291"/>
      <c r="L86" s="292"/>
      <c r="M86" s="294"/>
      <c r="N86" s="292"/>
      <c r="O86" s="294"/>
      <c r="P86" s="292"/>
      <c r="Q86" s="294"/>
      <c r="R86" s="292"/>
      <c r="S86" s="292"/>
      <c r="U86" s="292"/>
      <c r="V86" s="294"/>
      <c r="W86" s="292"/>
      <c r="X86" s="292"/>
    </row>
    <row r="87" spans="1:25" x14ac:dyDescent="0.25">
      <c r="A87" s="295" t="s">
        <v>210</v>
      </c>
      <c r="B87" s="297"/>
      <c r="C87" s="298"/>
      <c r="D87" s="300"/>
      <c r="E87" s="298"/>
      <c r="F87" s="298"/>
      <c r="G87" s="297"/>
      <c r="H87" s="300"/>
      <c r="I87" s="298"/>
      <c r="J87" s="298"/>
      <c r="K87" s="297"/>
      <c r="L87" s="298"/>
      <c r="M87" s="300"/>
      <c r="N87" s="298"/>
      <c r="O87" s="300"/>
      <c r="P87" s="298"/>
      <c r="Q87" s="300"/>
      <c r="R87" s="298"/>
      <c r="S87" s="298"/>
      <c r="U87" s="298"/>
      <c r="V87" s="300"/>
      <c r="W87" s="298"/>
      <c r="X87" s="298"/>
    </row>
    <row r="88" spans="1:25" ht="15.75" thickBot="1" x14ac:dyDescent="0.3">
      <c r="A88" s="301" t="s">
        <v>211</v>
      </c>
      <c r="B88" s="274">
        <v>174437</v>
      </c>
      <c r="C88" s="384">
        <f>+B88/$B$65</f>
        <v>7.7674550326796224E-2</v>
      </c>
      <c r="D88" s="373">
        <v>190294</v>
      </c>
      <c r="E88" s="366">
        <f>+D88/$D$65</f>
        <v>7.1557040806848937E-2</v>
      </c>
      <c r="F88" s="384">
        <f>(D88-B88)/B88</f>
        <v>9.0903879337525875E-2</v>
      </c>
      <c r="G88" s="274">
        <v>280920</v>
      </c>
      <c r="H88" s="384">
        <f t="shared" si="15"/>
        <v>6.0459489537852497E-2</v>
      </c>
      <c r="I88" s="373">
        <v>328773</v>
      </c>
      <c r="J88" s="366">
        <f t="shared" si="16"/>
        <v>6.1743936183678502E-2</v>
      </c>
      <c r="K88" s="384">
        <f t="shared" si="17"/>
        <v>0.17034387014096539</v>
      </c>
      <c r="L88" s="274">
        <v>174437</v>
      </c>
      <c r="M88" s="373">
        <v>190294</v>
      </c>
      <c r="N88" s="274">
        <v>106483</v>
      </c>
      <c r="O88" s="373">
        <v>138479</v>
      </c>
      <c r="P88" s="274">
        <v>131453</v>
      </c>
      <c r="Q88" s="384">
        <f t="shared" si="18"/>
        <v>5.147713891539811E-2</v>
      </c>
      <c r="R88" s="373">
        <v>140694</v>
      </c>
      <c r="S88" s="366">
        <f t="shared" si="19"/>
        <v>4.9305972199637775E-2</v>
      </c>
      <c r="T88" s="384">
        <f t="shared" si="20"/>
        <v>7.029889009760143E-2</v>
      </c>
      <c r="U88" s="373">
        <f t="shared" si="25"/>
        <v>412373</v>
      </c>
      <c r="V88" s="384">
        <f t="shared" si="21"/>
        <v>5.7273741409070732E-2</v>
      </c>
      <c r="W88" s="373">
        <f t="shared" si="22"/>
        <v>469467</v>
      </c>
      <c r="X88" s="366">
        <f t="shared" si="23"/>
        <v>5.7404194285588517E-2</v>
      </c>
      <c r="Y88" s="384">
        <f t="shared" si="24"/>
        <v>0.13845232350323614</v>
      </c>
    </row>
    <row r="89" spans="1:25" ht="15.75" thickBot="1" x14ac:dyDescent="0.3">
      <c r="A89" s="303" t="s">
        <v>188</v>
      </c>
      <c r="B89" s="304">
        <v>992</v>
      </c>
      <c r="C89" s="385">
        <f>+B89/$B$65</f>
        <v>4.4172482858672099E-4</v>
      </c>
      <c r="D89" s="470">
        <v>1098</v>
      </c>
      <c r="E89" s="368">
        <f>+D89/$D$65</f>
        <v>4.1288548669910841E-4</v>
      </c>
      <c r="F89" s="385">
        <f>(D89-B89)/B89</f>
        <v>0.10685483870967742</v>
      </c>
      <c r="G89" s="304">
        <v>2535</v>
      </c>
      <c r="H89" s="385">
        <f t="shared" si="15"/>
        <v>5.4558168154085181E-4</v>
      </c>
      <c r="I89" s="470">
        <v>2520</v>
      </c>
      <c r="J89" s="368">
        <f t="shared" si="16"/>
        <v>4.7325881134664292E-4</v>
      </c>
      <c r="K89" s="385">
        <f t="shared" si="17"/>
        <v>-5.9171597633136093E-3</v>
      </c>
      <c r="L89" s="304">
        <v>992</v>
      </c>
      <c r="M89" s="470">
        <v>1098</v>
      </c>
      <c r="N89" s="304">
        <v>1543</v>
      </c>
      <c r="O89" s="470">
        <v>1422</v>
      </c>
      <c r="P89" s="304">
        <v>1320</v>
      </c>
      <c r="Q89" s="385">
        <f t="shared" si="18"/>
        <v>5.1691344715088666E-4</v>
      </c>
      <c r="R89" s="470">
        <v>1597</v>
      </c>
      <c r="S89" s="368">
        <f t="shared" si="19"/>
        <v>5.5966592465081337E-4</v>
      </c>
      <c r="T89" s="385">
        <f t="shared" si="20"/>
        <v>0.20984848484848484</v>
      </c>
      <c r="U89" s="470">
        <f t="shared" si="25"/>
        <v>3855</v>
      </c>
      <c r="V89" s="385">
        <f t="shared" si="21"/>
        <v>5.3541398959671869E-4</v>
      </c>
      <c r="W89" s="470">
        <f t="shared" si="22"/>
        <v>4117</v>
      </c>
      <c r="X89" s="368">
        <f t="shared" si="23"/>
        <v>5.0340719981120706E-4</v>
      </c>
      <c r="Y89" s="385">
        <f t="shared" si="24"/>
        <v>6.7963683527885857E-2</v>
      </c>
    </row>
    <row r="90" spans="1:25" ht="15.75" thickBot="1" x14ac:dyDescent="0.3">
      <c r="A90" s="306" t="s">
        <v>212</v>
      </c>
      <c r="B90" s="278">
        <f>SUM(B88:B89)</f>
        <v>175429</v>
      </c>
      <c r="C90" s="386">
        <f>+B90/$B$65</f>
        <v>7.8116275155382942E-2</v>
      </c>
      <c r="D90" s="375">
        <f>SUM(D88:D89)</f>
        <v>191392</v>
      </c>
      <c r="E90" s="367">
        <f>+D90/$D$65</f>
        <v>7.196992629354805E-2</v>
      </c>
      <c r="F90" s="386">
        <f>(D90-B90)/B90</f>
        <v>9.0994077376032476E-2</v>
      </c>
      <c r="G90" s="278">
        <f>SUM(G88:G89)</f>
        <v>283455</v>
      </c>
      <c r="H90" s="386">
        <f t="shared" si="15"/>
        <v>6.1005071219393352E-2</v>
      </c>
      <c r="I90" s="375">
        <f>SUM(I88:I89)</f>
        <v>331293</v>
      </c>
      <c r="J90" s="367">
        <f t="shared" si="16"/>
        <v>6.2217194995025149E-2</v>
      </c>
      <c r="K90" s="386">
        <f t="shared" si="17"/>
        <v>0.16876752923744509</v>
      </c>
      <c r="L90" s="278">
        <f>SUM(L88:L89)</f>
        <v>175429</v>
      </c>
      <c r="M90" s="375">
        <f>SUM(M88:M89)</f>
        <v>191392</v>
      </c>
      <c r="N90" s="278">
        <f>SUM(N88:N89)</f>
        <v>108026</v>
      </c>
      <c r="O90" s="375">
        <f>SUM(O88:O89)</f>
        <v>139901</v>
      </c>
      <c r="P90" s="278">
        <f>SUM(P88:P89)</f>
        <v>132773</v>
      </c>
      <c r="Q90" s="386">
        <f t="shared" si="18"/>
        <v>5.1994052362548997E-2</v>
      </c>
      <c r="R90" s="375">
        <f>SUM(R88:R89)</f>
        <v>142291</v>
      </c>
      <c r="S90" s="367">
        <f t="shared" si="19"/>
        <v>4.986563812428859E-2</v>
      </c>
      <c r="T90" s="386">
        <f t="shared" si="20"/>
        <v>7.1686261514012639E-2</v>
      </c>
      <c r="U90" s="375">
        <f t="shared" si="25"/>
        <v>416228</v>
      </c>
      <c r="V90" s="386">
        <f t="shared" si="21"/>
        <v>5.7809155398667454E-2</v>
      </c>
      <c r="W90" s="375">
        <f t="shared" si="22"/>
        <v>473584</v>
      </c>
      <c r="X90" s="367">
        <f t="shared" si="23"/>
        <v>5.7907601485399723E-2</v>
      </c>
      <c r="Y90" s="386">
        <f t="shared" si="24"/>
        <v>0.13779947528758277</v>
      </c>
    </row>
    <row r="91" spans="1:25" ht="15.75" thickBot="1" x14ac:dyDescent="0.3">
      <c r="A91" s="369" t="s">
        <v>213</v>
      </c>
      <c r="B91" s="370">
        <v>320118</v>
      </c>
      <c r="C91" s="387">
        <f>+B91/$B$65</f>
        <v>0.14254442407008464</v>
      </c>
      <c r="D91" s="372">
        <v>376134</v>
      </c>
      <c r="E91" s="371">
        <f>+D91/$D$65</f>
        <v>0.14143922555016616</v>
      </c>
      <c r="F91" s="387">
        <f>(D91-B91)/B91</f>
        <v>0.17498547410642326</v>
      </c>
      <c r="G91" s="370">
        <v>647994</v>
      </c>
      <c r="H91" s="387">
        <f t="shared" si="15"/>
        <v>0.13946100834255729</v>
      </c>
      <c r="I91" s="372">
        <v>746322</v>
      </c>
      <c r="J91" s="371">
        <f t="shared" si="16"/>
        <v>0.14016010420708302</v>
      </c>
      <c r="K91" s="387">
        <f t="shared" si="17"/>
        <v>0.1517421457606089</v>
      </c>
      <c r="L91" s="370">
        <v>320118</v>
      </c>
      <c r="M91" s="372">
        <v>376134</v>
      </c>
      <c r="N91" s="370">
        <v>327876</v>
      </c>
      <c r="O91" s="372">
        <v>370188</v>
      </c>
      <c r="P91" s="372">
        <v>344458</v>
      </c>
      <c r="Q91" s="387">
        <f t="shared" si="18"/>
        <v>0.13489013043840917</v>
      </c>
      <c r="R91" s="372">
        <v>370531</v>
      </c>
      <c r="S91" s="387">
        <f t="shared" si="19"/>
        <v>0.12985195662291202</v>
      </c>
      <c r="T91" s="387">
        <f t="shared" si="20"/>
        <v>7.5692827572592311E-2</v>
      </c>
      <c r="U91" s="372">
        <f t="shared" si="25"/>
        <v>992452</v>
      </c>
      <c r="V91" s="387">
        <f t="shared" si="21"/>
        <v>0.13783986635622378</v>
      </c>
      <c r="W91" s="372">
        <f t="shared" si="22"/>
        <v>1116853</v>
      </c>
      <c r="X91" s="387">
        <f t="shared" si="23"/>
        <v>0.13656347858410153</v>
      </c>
      <c r="Y91" s="387">
        <f t="shared" si="24"/>
        <v>0.1253471200622297</v>
      </c>
    </row>
  </sheetData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D49:G49 G55 Q80:Q85 Q90 C67:Q67 C73 C80 C83 C85 C90 H80 H83 H90 Q73 G40 D40 D55 G17 D17 G29 D29" formula="1"/>
  </ignoredError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4"/>
  <sheetViews>
    <sheetView topLeftCell="A22" zoomScale="86" zoomScaleNormal="86" workbookViewId="0">
      <selection activeCell="G32" sqref="G32"/>
    </sheetView>
  </sheetViews>
  <sheetFormatPr baseColWidth="10" defaultColWidth="11.42578125" defaultRowHeight="15" x14ac:dyDescent="0.3"/>
  <cols>
    <col min="1" max="1" width="43.7109375" style="5" customWidth="1"/>
    <col min="2" max="3" width="11.7109375" style="2" bestFit="1" customWidth="1"/>
    <col min="4" max="4" width="13.28515625" style="3" bestFit="1" customWidth="1"/>
    <col min="5" max="5" width="11.42578125" style="5"/>
    <col min="6" max="6" width="11.5703125" style="11" bestFit="1" customWidth="1"/>
    <col min="7" max="7" width="11.5703125" style="5" bestFit="1" customWidth="1"/>
    <col min="8" max="16384" width="11.42578125" style="5"/>
  </cols>
  <sheetData>
    <row r="1" spans="1:4" x14ac:dyDescent="0.3">
      <c r="A1" s="24" t="s">
        <v>69</v>
      </c>
    </row>
    <row r="2" spans="1:4" x14ac:dyDescent="0.3">
      <c r="A2" s="24" t="s">
        <v>67</v>
      </c>
    </row>
    <row r="3" spans="1:4" x14ac:dyDescent="0.3">
      <c r="A3" s="24" t="s">
        <v>44</v>
      </c>
    </row>
    <row r="4" spans="1:4" x14ac:dyDescent="0.3">
      <c r="A4" s="24" t="s">
        <v>45</v>
      </c>
    </row>
    <row r="5" spans="1:4" ht="12" customHeight="1" x14ac:dyDescent="0.3"/>
    <row r="6" spans="1:4" x14ac:dyDescent="0.3">
      <c r="A6" s="6" t="s">
        <v>20</v>
      </c>
      <c r="B6" s="6">
        <v>2006</v>
      </c>
      <c r="C6" s="6">
        <v>2007</v>
      </c>
      <c r="D6" s="7" t="s">
        <v>46</v>
      </c>
    </row>
    <row r="7" spans="1:4" x14ac:dyDescent="0.3">
      <c r="A7" s="18" t="s">
        <v>21</v>
      </c>
      <c r="B7" s="14">
        <v>915</v>
      </c>
      <c r="C7" s="14">
        <v>1835</v>
      </c>
      <c r="D7" s="17">
        <f t="shared" ref="D7:D13" si="0">IF(B7&lt;&gt;0,(C7-B7)/B7,0)</f>
        <v>1.0054644808743169</v>
      </c>
    </row>
    <row r="8" spans="1:4" x14ac:dyDescent="0.3">
      <c r="A8" s="18" t="s">
        <v>22</v>
      </c>
      <c r="B8" s="14">
        <v>2658218</v>
      </c>
      <c r="C8" s="14">
        <v>2904738</v>
      </c>
      <c r="D8" s="17">
        <f t="shared" si="0"/>
        <v>9.2738819765722749E-2</v>
      </c>
    </row>
    <row r="9" spans="1:4" x14ac:dyDescent="0.3">
      <c r="A9" s="18" t="s">
        <v>23</v>
      </c>
      <c r="B9" s="14">
        <f>20208+899</f>
        <v>21107</v>
      </c>
      <c r="C9" s="14">
        <f>9715+472</f>
        <v>10187</v>
      </c>
      <c r="D9" s="17">
        <f t="shared" si="0"/>
        <v>-0.51736390770834317</v>
      </c>
    </row>
    <row r="10" spans="1:4" x14ac:dyDescent="0.3">
      <c r="A10" s="18" t="s">
        <v>47</v>
      </c>
      <c r="B10" s="14">
        <f>941</f>
        <v>941</v>
      </c>
      <c r="C10" s="14">
        <f>54</f>
        <v>54</v>
      </c>
      <c r="D10" s="17">
        <f t="shared" si="0"/>
        <v>-0.94261424017003193</v>
      </c>
    </row>
    <row r="11" spans="1:4" x14ac:dyDescent="0.3">
      <c r="A11" s="18" t="s">
        <v>25</v>
      </c>
      <c r="B11" s="14">
        <f>154</f>
        <v>154</v>
      </c>
      <c r="C11" s="14">
        <f>155</f>
        <v>155</v>
      </c>
      <c r="D11" s="17">
        <f t="shared" si="0"/>
        <v>6.4935064935064939E-3</v>
      </c>
    </row>
    <row r="12" spans="1:4" x14ac:dyDescent="0.3">
      <c r="A12" s="18" t="s">
        <v>26</v>
      </c>
      <c r="B12" s="14">
        <v>1347305</v>
      </c>
      <c r="C12" s="14">
        <v>1324771</v>
      </c>
      <c r="D12" s="17">
        <f t="shared" si="0"/>
        <v>-1.6725240387291666E-2</v>
      </c>
    </row>
    <row r="13" spans="1:4" ht="15.75" thickBot="1" x14ac:dyDescent="0.35">
      <c r="A13" s="26" t="s">
        <v>27</v>
      </c>
      <c r="B13" s="27">
        <f>SUM(B7:B12)</f>
        <v>4028640</v>
      </c>
      <c r="C13" s="27">
        <f>SUM(C7:C12)</f>
        <v>4241740</v>
      </c>
      <c r="D13" s="46">
        <f t="shared" si="0"/>
        <v>5.2896262758648081E-2</v>
      </c>
    </row>
    <row r="15" spans="1:4" x14ac:dyDescent="0.3">
      <c r="A15" s="6" t="s">
        <v>48</v>
      </c>
      <c r="B15" s="6">
        <v>2006</v>
      </c>
      <c r="C15" s="6">
        <v>2007</v>
      </c>
      <c r="D15" s="7" t="s">
        <v>46</v>
      </c>
    </row>
    <row r="16" spans="1:4" x14ac:dyDescent="0.3">
      <c r="A16" s="18" t="s">
        <v>28</v>
      </c>
      <c r="B16" s="14">
        <v>0</v>
      </c>
      <c r="C16" s="14">
        <v>7000</v>
      </c>
      <c r="D16" s="52" t="str">
        <f>IF(B16&lt;&gt;0,(C16-B16)/B16,"N.A.")</f>
        <v>N.A.</v>
      </c>
    </row>
    <row r="17" spans="1:7" x14ac:dyDescent="0.3">
      <c r="A17" s="18" t="s">
        <v>29</v>
      </c>
      <c r="B17" s="14">
        <f>37190+22937</f>
        <v>60127</v>
      </c>
      <c r="C17" s="14">
        <f>28798+33773</f>
        <v>62571</v>
      </c>
      <c r="D17" s="17">
        <f t="shared" ref="D17:D23" si="1">IF(B17&lt;&gt;0,(C17-B17)/B17,0)</f>
        <v>4.0647296555623928E-2</v>
      </c>
    </row>
    <row r="18" spans="1:7" x14ac:dyDescent="0.3">
      <c r="A18" s="18" t="s">
        <v>30</v>
      </c>
      <c r="B18" s="14">
        <v>98</v>
      </c>
      <c r="C18" s="14">
        <v>645</v>
      </c>
      <c r="D18" s="17">
        <f t="shared" si="1"/>
        <v>5.5816326530612246</v>
      </c>
    </row>
    <row r="19" spans="1:7" x14ac:dyDescent="0.3">
      <c r="A19" s="18" t="s">
        <v>31</v>
      </c>
      <c r="B19" s="14">
        <v>501</v>
      </c>
      <c r="C19" s="14">
        <v>686</v>
      </c>
      <c r="D19" s="17">
        <f t="shared" si="1"/>
        <v>0.36926147704590817</v>
      </c>
    </row>
    <row r="20" spans="1:7" x14ac:dyDescent="0.3">
      <c r="A20" s="18" t="s">
        <v>24</v>
      </c>
      <c r="B20" s="14">
        <v>2509</v>
      </c>
      <c r="C20" s="14">
        <v>2679</v>
      </c>
      <c r="D20" s="17">
        <f t="shared" si="1"/>
        <v>6.775607811877242E-2</v>
      </c>
    </row>
    <row r="21" spans="1:7" s="9" customFormat="1" x14ac:dyDescent="0.3">
      <c r="A21" s="29" t="s">
        <v>33</v>
      </c>
      <c r="B21" s="30">
        <f>SUM(B16:B20)</f>
        <v>63235</v>
      </c>
      <c r="C21" s="30">
        <f>SUM(C16:C20)</f>
        <v>73581</v>
      </c>
      <c r="D21" s="42">
        <f t="shared" si="1"/>
        <v>0.16361192377638967</v>
      </c>
      <c r="F21" s="12"/>
    </row>
    <row r="22" spans="1:7" s="9" customFormat="1" x14ac:dyDescent="0.3">
      <c r="A22" s="31" t="s">
        <v>34</v>
      </c>
      <c r="B22" s="32">
        <v>3965405</v>
      </c>
      <c r="C22" s="32">
        <v>4168159</v>
      </c>
      <c r="D22" s="47">
        <f t="shared" si="1"/>
        <v>5.1130716786809922E-2</v>
      </c>
      <c r="F22" s="12"/>
      <c r="G22" s="12"/>
    </row>
    <row r="23" spans="1:7" s="9" customFormat="1" ht="15.75" thickBot="1" x14ac:dyDescent="0.35">
      <c r="A23" s="26" t="s">
        <v>35</v>
      </c>
      <c r="B23" s="27">
        <f>+B21+B22</f>
        <v>4028640</v>
      </c>
      <c r="C23" s="27">
        <f>+C21+C22</f>
        <v>4241740</v>
      </c>
      <c r="D23" s="45">
        <f t="shared" si="1"/>
        <v>5.2896262758648081E-2</v>
      </c>
      <c r="F23" s="12"/>
      <c r="G23" s="12"/>
    </row>
    <row r="24" spans="1:7" x14ac:dyDescent="0.3">
      <c r="A24" s="18" t="s">
        <v>54</v>
      </c>
      <c r="B24" s="14">
        <v>435123458</v>
      </c>
      <c r="C24" s="14">
        <v>435123458</v>
      </c>
      <c r="D24" s="17"/>
      <c r="G24" s="11"/>
    </row>
    <row r="25" spans="1:7" x14ac:dyDescent="0.3">
      <c r="A25" s="18" t="s">
        <v>71</v>
      </c>
      <c r="B25" s="33">
        <f>+B22/+(B24/1000000)</f>
        <v>9113.2871075868297</v>
      </c>
      <c r="C25" s="33">
        <f>+C22/+(C24/1000000)</f>
        <v>9579.2560096817397</v>
      </c>
      <c r="D25" s="17"/>
      <c r="G25" s="11"/>
    </row>
    <row r="26" spans="1:7" x14ac:dyDescent="0.3">
      <c r="F26" s="13"/>
      <c r="G26" s="13"/>
    </row>
    <row r="27" spans="1:7" x14ac:dyDescent="0.3">
      <c r="A27" s="6" t="s">
        <v>70</v>
      </c>
      <c r="B27" s="6">
        <v>2006</v>
      </c>
      <c r="C27" s="6">
        <v>2007</v>
      </c>
      <c r="D27" s="7" t="s">
        <v>46</v>
      </c>
      <c r="G27" s="13"/>
    </row>
    <row r="28" spans="1:7" x14ac:dyDescent="0.3">
      <c r="A28" s="19" t="s">
        <v>68</v>
      </c>
      <c r="B28" s="14"/>
      <c r="C28" s="17"/>
      <c r="D28" s="34"/>
    </row>
    <row r="29" spans="1:7" x14ac:dyDescent="0.3">
      <c r="A29" s="19" t="s">
        <v>44</v>
      </c>
      <c r="B29" s="14"/>
      <c r="C29" s="17"/>
      <c r="D29" s="34"/>
    </row>
    <row r="30" spans="1:7" x14ac:dyDescent="0.3">
      <c r="A30" s="19" t="s">
        <v>45</v>
      </c>
      <c r="B30" s="14"/>
      <c r="C30" s="17"/>
      <c r="D30" s="34"/>
    </row>
    <row r="31" spans="1:7" s="9" customFormat="1" x14ac:dyDescent="0.3">
      <c r="A31" s="19" t="s">
        <v>72</v>
      </c>
      <c r="B31" s="30">
        <v>163042</v>
      </c>
      <c r="C31" s="30">
        <v>231987</v>
      </c>
      <c r="D31" s="17">
        <f t="shared" ref="D31:D42" si="2">IF(C31&lt;&gt;0,(C31-B31)/B31,0)</f>
        <v>0.42286650065627263</v>
      </c>
      <c r="F31" s="12"/>
    </row>
    <row r="32" spans="1:7" s="9" customFormat="1" x14ac:dyDescent="0.3">
      <c r="A32" s="19" t="s">
        <v>5</v>
      </c>
      <c r="B32" s="14">
        <v>56828</v>
      </c>
      <c r="C32" s="14">
        <v>2685</v>
      </c>
      <c r="D32" s="17">
        <f t="shared" si="2"/>
        <v>-0.9527521644259872</v>
      </c>
      <c r="F32" s="12"/>
    </row>
    <row r="33" spans="1:6" s="9" customFormat="1" x14ac:dyDescent="0.3">
      <c r="A33" s="19" t="s">
        <v>57</v>
      </c>
      <c r="B33" s="14">
        <v>16684</v>
      </c>
      <c r="C33" s="14">
        <v>11678</v>
      </c>
      <c r="D33" s="17">
        <f t="shared" si="2"/>
        <v>-0.30004795013186286</v>
      </c>
      <c r="F33" s="12"/>
    </row>
    <row r="34" spans="1:6" s="9" customFormat="1" x14ac:dyDescent="0.3">
      <c r="A34" s="19" t="s">
        <v>56</v>
      </c>
      <c r="B34" s="14">
        <f>2360+5087</f>
        <v>7447</v>
      </c>
      <c r="C34" s="14">
        <f>478+5041</f>
        <v>5519</v>
      </c>
      <c r="D34" s="17">
        <f t="shared" si="2"/>
        <v>-0.25889619981200485</v>
      </c>
      <c r="F34" s="12"/>
    </row>
    <row r="35" spans="1:6" s="9" customFormat="1" x14ac:dyDescent="0.3">
      <c r="A35" s="35" t="s">
        <v>4</v>
      </c>
      <c r="B35" s="14">
        <f>SUM(B31:B34)</f>
        <v>244001</v>
      </c>
      <c r="C35" s="30">
        <f>SUM(C31:C34)</f>
        <v>251869</v>
      </c>
      <c r="D35" s="17">
        <f t="shared" si="2"/>
        <v>3.2245769484551295E-2</v>
      </c>
      <c r="F35" s="12"/>
    </row>
    <row r="36" spans="1:6" x14ac:dyDescent="0.3">
      <c r="A36" s="19" t="s">
        <v>58</v>
      </c>
      <c r="B36" s="14">
        <v>-41421</v>
      </c>
      <c r="C36" s="14">
        <v>-7188</v>
      </c>
      <c r="D36" s="17">
        <f t="shared" si="2"/>
        <v>-0.82646483667704784</v>
      </c>
    </row>
    <row r="37" spans="1:6" s="9" customFormat="1" x14ac:dyDescent="0.3">
      <c r="A37" s="35" t="s">
        <v>42</v>
      </c>
      <c r="B37" s="30">
        <f>SUM(B35:B36)</f>
        <v>202580</v>
      </c>
      <c r="C37" s="30">
        <f>SUM(C35:C36)</f>
        <v>244681</v>
      </c>
      <c r="D37" s="17">
        <f t="shared" si="2"/>
        <v>0.20782406950340607</v>
      </c>
      <c r="F37" s="12"/>
    </row>
    <row r="38" spans="1:6" x14ac:dyDescent="0.3">
      <c r="A38" s="19" t="s">
        <v>10</v>
      </c>
      <c r="B38" s="14">
        <v>8391</v>
      </c>
      <c r="C38" s="14">
        <v>80</v>
      </c>
      <c r="D38" s="17">
        <f t="shared" si="2"/>
        <v>-0.99046597544988679</v>
      </c>
    </row>
    <row r="39" spans="1:6" s="9" customFormat="1" x14ac:dyDescent="0.3">
      <c r="A39" s="19" t="s">
        <v>13</v>
      </c>
      <c r="B39" s="14">
        <v>-60</v>
      </c>
      <c r="C39" s="14">
        <v>-279</v>
      </c>
      <c r="D39" s="17">
        <f t="shared" si="2"/>
        <v>3.65</v>
      </c>
      <c r="F39" s="12"/>
    </row>
    <row r="40" spans="1:6" s="9" customFormat="1" x14ac:dyDescent="0.3">
      <c r="A40" s="35" t="s">
        <v>43</v>
      </c>
      <c r="B40" s="30">
        <f>SUM(B37:B39)</f>
        <v>210911</v>
      </c>
      <c r="C40" s="30">
        <f>SUM(C37:C39)</f>
        <v>244482</v>
      </c>
      <c r="D40" s="17">
        <f t="shared" si="2"/>
        <v>0.15917140405194607</v>
      </c>
      <c r="F40" s="12"/>
    </row>
    <row r="41" spans="1:6" x14ac:dyDescent="0.3">
      <c r="A41" s="19" t="s">
        <v>15</v>
      </c>
      <c r="B41" s="14">
        <v>-214</v>
      </c>
      <c r="C41" s="14">
        <v>-190</v>
      </c>
      <c r="D41" s="17">
        <f t="shared" si="2"/>
        <v>-0.11214953271028037</v>
      </c>
    </row>
    <row r="42" spans="1:6" ht="15.75" thickBot="1" x14ac:dyDescent="0.35">
      <c r="A42" s="36" t="s">
        <v>17</v>
      </c>
      <c r="B42" s="37">
        <f>SUM(B40:B41)</f>
        <v>210697</v>
      </c>
      <c r="C42" s="37">
        <f>SUM(C40:C41)</f>
        <v>244292</v>
      </c>
      <c r="D42" s="28">
        <f t="shared" si="2"/>
        <v>0.15944697836229277</v>
      </c>
    </row>
    <row r="43" spans="1:6" x14ac:dyDescent="0.3">
      <c r="A43" s="19"/>
      <c r="B43" s="19"/>
      <c r="C43" s="17"/>
      <c r="D43" s="19"/>
    </row>
    <row r="44" spans="1:6" x14ac:dyDescent="0.3">
      <c r="A44" s="19" t="s">
        <v>75</v>
      </c>
      <c r="B44" s="53">
        <f>+B42/(B24/1000000)</f>
        <v>484.22349134759816</v>
      </c>
      <c r="C44" s="53">
        <f>+C42/(C24/1000000)</f>
        <v>561.43146389501248</v>
      </c>
      <c r="D44" s="19"/>
    </row>
  </sheetData>
  <phoneticPr fontId="0" type="noConversion"/>
  <pageMargins left="0.70866141732283472" right="0.43307086614173229" top="0.47244094488188981" bottom="0.39370078740157483" header="0.31496062992125984" footer="0.18"/>
  <pageSetup orientation="portrait" r:id="rId1"/>
  <headerFooter>
    <oddFooter>&amp;L&amp;A</oddFooter>
  </headerFooter>
  <customProperties>
    <customPr name="_pios_id" r:id="rId2"/>
  </customPropertie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A97"/>
  <sheetViews>
    <sheetView tabSelected="1" zoomScaleNormal="100" workbookViewId="0">
      <pane xSplit="1" ySplit="7" topLeftCell="B91" activePane="bottomRight" state="frozen"/>
      <selection pane="topRight" activeCell="B1" sqref="B1"/>
      <selection pane="bottomLeft" activeCell="A8" sqref="A8"/>
      <selection pane="bottomRight" activeCell="F98" sqref="F98"/>
    </sheetView>
  </sheetViews>
  <sheetFormatPr baseColWidth="10" defaultColWidth="11.42578125" defaultRowHeight="15" x14ac:dyDescent="0.25"/>
  <cols>
    <col min="1" max="1" width="50.85546875" style="229" bestFit="1" customWidth="1"/>
    <col min="2" max="6" width="11.42578125" style="229" customWidth="1"/>
    <col min="7" max="8" width="11.42578125" style="229"/>
    <col min="9" max="9" width="13.140625" style="229" customWidth="1"/>
    <col min="10" max="22" width="11.42578125" style="229"/>
    <col min="23" max="23" width="17.7109375" style="229" customWidth="1"/>
    <col min="24" max="24" width="11.42578125" style="229"/>
    <col min="25" max="25" width="9" style="229" bestFit="1" customWidth="1"/>
    <col min="26" max="16384" width="11.42578125" style="229"/>
  </cols>
  <sheetData>
    <row r="1" spans="1:13" ht="18.75" x14ac:dyDescent="0.3">
      <c r="A1" s="228" t="s">
        <v>157</v>
      </c>
      <c r="B1" s="362"/>
      <c r="C1" s="362"/>
      <c r="D1" s="362"/>
      <c r="E1" s="362"/>
    </row>
    <row r="2" spans="1:13" x14ac:dyDescent="0.25">
      <c r="A2" s="332" t="s">
        <v>339</v>
      </c>
      <c r="B2" s="362"/>
      <c r="C2" s="362"/>
      <c r="D2" s="362"/>
      <c r="E2" s="362"/>
    </row>
    <row r="3" spans="1:13" x14ac:dyDescent="0.25">
      <c r="A3" s="332" t="s">
        <v>88</v>
      </c>
      <c r="B3" s="362"/>
      <c r="C3" s="362"/>
      <c r="D3" s="362"/>
      <c r="E3" s="362"/>
    </row>
    <row r="4" spans="1:13" x14ac:dyDescent="0.25">
      <c r="A4" s="231" t="s">
        <v>159</v>
      </c>
      <c r="B4" s="362"/>
      <c r="C4" s="362"/>
      <c r="D4" s="362"/>
      <c r="E4" s="362"/>
    </row>
    <row r="5" spans="1:13" x14ac:dyDescent="0.25">
      <c r="A5" s="231"/>
      <c r="B5" s="362"/>
      <c r="C5" s="362"/>
      <c r="D5" s="362"/>
      <c r="E5" s="362"/>
    </row>
    <row r="6" spans="1:13" ht="20.25" customHeight="1" x14ac:dyDescent="0.25">
      <c r="A6" s="479" t="s">
        <v>331</v>
      </c>
      <c r="B6" s="362"/>
      <c r="C6" s="362"/>
      <c r="D6" s="362"/>
      <c r="E6" s="362"/>
    </row>
    <row r="7" spans="1:13" ht="15.75" thickBot="1" x14ac:dyDescent="0.3"/>
    <row r="8" spans="1:13" ht="23.25" thickBot="1" x14ac:dyDescent="0.3">
      <c r="A8" s="337"/>
      <c r="B8" s="338" t="s">
        <v>341</v>
      </c>
      <c r="C8" s="410" t="s">
        <v>325</v>
      </c>
      <c r="D8" s="420" t="s">
        <v>140</v>
      </c>
      <c r="E8" s="338" t="s">
        <v>342</v>
      </c>
      <c r="F8" s="410" t="s">
        <v>328</v>
      </c>
      <c r="G8" s="420" t="s">
        <v>140</v>
      </c>
      <c r="H8" s="338" t="s">
        <v>341</v>
      </c>
      <c r="I8" s="410" t="s">
        <v>333</v>
      </c>
      <c r="J8" s="420" t="s">
        <v>140</v>
      </c>
      <c r="K8" s="338" t="s">
        <v>341</v>
      </c>
      <c r="L8" s="410" t="s">
        <v>336</v>
      </c>
      <c r="M8" s="420" t="s">
        <v>140</v>
      </c>
    </row>
    <row r="9" spans="1:13" ht="15.75" thickTop="1" x14ac:dyDescent="0.25">
      <c r="A9" s="376" t="s">
        <v>20</v>
      </c>
      <c r="B9" s="377"/>
      <c r="C9" s="411"/>
      <c r="D9" s="411"/>
      <c r="E9" s="377"/>
      <c r="F9" s="411"/>
      <c r="G9" s="411"/>
      <c r="H9" s="377"/>
      <c r="I9" s="411"/>
      <c r="J9" s="411"/>
      <c r="K9" s="377"/>
      <c r="L9" s="411"/>
      <c r="M9" s="411"/>
    </row>
    <row r="10" spans="1:13" x14ac:dyDescent="0.25">
      <c r="A10" s="378" t="s">
        <v>160</v>
      </c>
      <c r="B10" s="379"/>
      <c r="C10" s="412"/>
      <c r="D10" s="421"/>
      <c r="E10" s="379"/>
      <c r="F10" s="412"/>
      <c r="G10" s="421"/>
      <c r="H10" s="379"/>
      <c r="I10" s="412"/>
      <c r="J10" s="421"/>
      <c r="K10" s="379"/>
      <c r="L10" s="412"/>
      <c r="M10" s="421"/>
    </row>
    <row r="11" spans="1:13" ht="15.75" thickBot="1" x14ac:dyDescent="0.3">
      <c r="A11" s="240" t="s">
        <v>161</v>
      </c>
      <c r="B11" s="242">
        <v>497947</v>
      </c>
      <c r="C11" s="413">
        <v>578829</v>
      </c>
      <c r="D11" s="422">
        <f t="shared" ref="D11:D16" si="0">(C11-B11)/B11</f>
        <v>0.16243094144557554</v>
      </c>
      <c r="E11" s="242">
        <v>497947</v>
      </c>
      <c r="F11" s="413">
        <v>743445</v>
      </c>
      <c r="G11" s="422">
        <f t="shared" ref="G11:G17" si="1">(F11-E11)/E11</f>
        <v>0.49302034152229052</v>
      </c>
      <c r="H11" s="242">
        <v>497947</v>
      </c>
      <c r="I11" s="413">
        <v>887040</v>
      </c>
      <c r="J11" s="422">
        <f>(I11-H11)/H11</f>
        <v>0.78139440542869021</v>
      </c>
      <c r="K11" s="242">
        <v>497947</v>
      </c>
      <c r="L11" s="413">
        <v>933564</v>
      </c>
      <c r="M11" s="422">
        <f>(L11-K11)/K11</f>
        <v>0.87482603570259487</v>
      </c>
    </row>
    <row r="12" spans="1:13" ht="15.75" thickBot="1" x14ac:dyDescent="0.3">
      <c r="A12" s="240" t="s">
        <v>298</v>
      </c>
      <c r="B12" s="242">
        <v>1166248</v>
      </c>
      <c r="C12" s="413">
        <v>1355381</v>
      </c>
      <c r="D12" s="422">
        <f t="shared" si="0"/>
        <v>0.1621721966511411</v>
      </c>
      <c r="E12" s="242">
        <v>1166248</v>
      </c>
      <c r="F12" s="413">
        <v>1207640</v>
      </c>
      <c r="G12" s="422">
        <f t="shared" si="1"/>
        <v>3.5491593554715636E-2</v>
      </c>
      <c r="H12" s="242">
        <v>1166248</v>
      </c>
      <c r="I12" s="413">
        <v>1283933</v>
      </c>
      <c r="J12" s="422">
        <f t="shared" ref="J12:J17" si="2">(I12-H12)/H12</f>
        <v>0.10090906908307667</v>
      </c>
      <c r="K12" s="242">
        <v>1166248</v>
      </c>
      <c r="L12" s="413">
        <v>1191711</v>
      </c>
      <c r="M12" s="422">
        <f t="shared" ref="M12:M17" si="3">(L12-K12)/K12</f>
        <v>2.1833263594021168E-2</v>
      </c>
    </row>
    <row r="13" spans="1:13" ht="15.75" thickBot="1" x14ac:dyDescent="0.3">
      <c r="A13" s="240" t="s">
        <v>36</v>
      </c>
      <c r="B13" s="242">
        <v>1248128</v>
      </c>
      <c r="C13" s="413">
        <v>1321073</v>
      </c>
      <c r="D13" s="422">
        <f t="shared" si="0"/>
        <v>5.8443525023074559E-2</v>
      </c>
      <c r="E13" s="242">
        <v>1248128</v>
      </c>
      <c r="F13" s="413">
        <v>1472682</v>
      </c>
      <c r="G13" s="422">
        <f t="shared" si="1"/>
        <v>0.17991263716541894</v>
      </c>
      <c r="H13" s="242">
        <v>1248128</v>
      </c>
      <c r="I13" s="413">
        <v>1450968</v>
      </c>
      <c r="J13" s="422">
        <f t="shared" si="2"/>
        <v>0.16251538303763716</v>
      </c>
      <c r="K13" s="242">
        <v>1248128</v>
      </c>
      <c r="L13" s="413">
        <v>1379984</v>
      </c>
      <c r="M13" s="422">
        <f t="shared" si="3"/>
        <v>0.10564301097323352</v>
      </c>
    </row>
    <row r="14" spans="1:13" ht="15.75" thickBot="1" x14ac:dyDescent="0.3">
      <c r="A14" s="240" t="s">
        <v>163</v>
      </c>
      <c r="B14" s="242">
        <v>96632</v>
      </c>
      <c r="C14" s="413">
        <v>96842</v>
      </c>
      <c r="D14" s="422">
        <f t="shared" si="0"/>
        <v>2.1731931451279079E-3</v>
      </c>
      <c r="E14" s="242">
        <v>96632</v>
      </c>
      <c r="F14" s="413">
        <v>100702</v>
      </c>
      <c r="G14" s="422">
        <f t="shared" si="1"/>
        <v>4.2118552860336118E-2</v>
      </c>
      <c r="H14" s="242">
        <v>96632</v>
      </c>
      <c r="I14" s="413">
        <v>111524</v>
      </c>
      <c r="J14" s="422">
        <f t="shared" si="2"/>
        <v>0.15411043960592763</v>
      </c>
      <c r="K14" s="242">
        <v>96632</v>
      </c>
      <c r="L14" s="413">
        <v>127614</v>
      </c>
      <c r="M14" s="422">
        <f t="shared" si="3"/>
        <v>0.32061842867787066</v>
      </c>
    </row>
    <row r="15" spans="1:13" ht="15.75" thickBot="1" x14ac:dyDescent="0.3">
      <c r="A15" s="240" t="s">
        <v>283</v>
      </c>
      <c r="B15" s="242">
        <v>251397</v>
      </c>
      <c r="C15" s="413">
        <v>356174</v>
      </c>
      <c r="D15" s="422">
        <f t="shared" si="0"/>
        <v>0.41677903873156802</v>
      </c>
      <c r="E15" s="242">
        <v>251397</v>
      </c>
      <c r="F15" s="413">
        <v>338726</v>
      </c>
      <c r="G15" s="422">
        <f t="shared" si="1"/>
        <v>0.34737486923073863</v>
      </c>
      <c r="H15" s="242">
        <v>251397</v>
      </c>
      <c r="I15" s="413">
        <v>396133</v>
      </c>
      <c r="J15" s="422">
        <f t="shared" si="2"/>
        <v>0.57572683842687067</v>
      </c>
      <c r="K15" s="242">
        <v>251397</v>
      </c>
      <c r="L15" s="413">
        <v>228087</v>
      </c>
      <c r="M15" s="422">
        <f t="shared" si="3"/>
        <v>-9.272187018938173E-2</v>
      </c>
    </row>
    <row r="16" spans="1:13" ht="15.75" thickBot="1" x14ac:dyDescent="0.3">
      <c r="A16" s="245" t="s">
        <v>165</v>
      </c>
      <c r="B16" s="247">
        <v>2610</v>
      </c>
      <c r="C16" s="414">
        <v>2610</v>
      </c>
      <c r="D16" s="422">
        <f t="shared" si="0"/>
        <v>0</v>
      </c>
      <c r="E16" s="247">
        <v>2610</v>
      </c>
      <c r="F16" s="414">
        <v>2610</v>
      </c>
      <c r="G16" s="422">
        <f t="shared" si="1"/>
        <v>0</v>
      </c>
      <c r="H16" s="247">
        <v>2610</v>
      </c>
      <c r="I16" s="414">
        <v>2610</v>
      </c>
      <c r="J16" s="422">
        <f t="shared" si="2"/>
        <v>0</v>
      </c>
      <c r="K16" s="247">
        <v>2610</v>
      </c>
      <c r="L16" s="414">
        <v>177</v>
      </c>
      <c r="M16" s="422">
        <f t="shared" si="3"/>
        <v>-0.93218390804597706</v>
      </c>
    </row>
    <row r="17" spans="1:13" ht="15.75" thickBot="1" x14ac:dyDescent="0.3">
      <c r="A17" s="249" t="s">
        <v>166</v>
      </c>
      <c r="B17" s="250">
        <f>SUM(B11:B16)</f>
        <v>3262962</v>
      </c>
      <c r="C17" s="415">
        <f>SUM(C11:C16)</f>
        <v>3710909</v>
      </c>
      <c r="D17" s="424">
        <f>(C17-B17)/B17</f>
        <v>0.13728232201294407</v>
      </c>
      <c r="E17" s="250">
        <f>SUM(E11:E16)</f>
        <v>3262962</v>
      </c>
      <c r="F17" s="415">
        <f>SUM(F11:F16)</f>
        <v>3865805</v>
      </c>
      <c r="G17" s="424">
        <f t="shared" si="1"/>
        <v>0.18475330083525338</v>
      </c>
      <c r="H17" s="250">
        <f>SUM(H11:H16)</f>
        <v>3262962</v>
      </c>
      <c r="I17" s="415">
        <f>SUM(I11:I16)</f>
        <v>4132208</v>
      </c>
      <c r="J17" s="424">
        <f t="shared" si="2"/>
        <v>0.26639783117302623</v>
      </c>
      <c r="K17" s="250">
        <f>SUM(K11:K16)</f>
        <v>3262962</v>
      </c>
      <c r="L17" s="415">
        <f>SUM(L11:L16)</f>
        <v>3861137</v>
      </c>
      <c r="M17" s="424">
        <f t="shared" si="3"/>
        <v>0.18332269882395197</v>
      </c>
    </row>
    <row r="18" spans="1:13" x14ac:dyDescent="0.25">
      <c r="A18" s="378" t="s">
        <v>167</v>
      </c>
      <c r="B18" s="474"/>
      <c r="C18" s="475"/>
      <c r="D18" s="421"/>
      <c r="E18" s="474"/>
      <c r="F18" s="475"/>
      <c r="G18" s="421"/>
      <c r="H18" s="474"/>
      <c r="I18" s="475"/>
      <c r="J18" s="421"/>
      <c r="K18" s="474"/>
      <c r="L18" s="475"/>
      <c r="M18" s="421"/>
    </row>
    <row r="19" spans="1:13" ht="15.75" thickBot="1" x14ac:dyDescent="0.3">
      <c r="A19" s="240" t="s">
        <v>298</v>
      </c>
      <c r="B19" s="242">
        <v>25409</v>
      </c>
      <c r="C19" s="413">
        <v>24602</v>
      </c>
      <c r="D19" s="422">
        <f t="shared" ref="D19:D30" si="4">(C19-B19)/B19</f>
        <v>-3.1760399858317918E-2</v>
      </c>
      <c r="E19" s="242">
        <v>25409</v>
      </c>
      <c r="F19" s="413">
        <v>25422</v>
      </c>
      <c r="G19" s="422">
        <f t="shared" ref="G19:G30" si="5">(F19-E19)/E19</f>
        <v>5.116297374945885E-4</v>
      </c>
      <c r="H19" s="242">
        <v>25409</v>
      </c>
      <c r="I19" s="413">
        <v>24681</v>
      </c>
      <c r="J19" s="422">
        <f t="shared" ref="J19:J30" si="6">(I19-H19)/H19</f>
        <v>-2.8651265299696957E-2</v>
      </c>
      <c r="K19" s="242">
        <v>25409</v>
      </c>
      <c r="L19" s="413">
        <v>26548</v>
      </c>
      <c r="M19" s="422">
        <f t="shared" ref="M19:M30" si="7">(L19-K19)/K19</f>
        <v>4.4826636231256642E-2</v>
      </c>
    </row>
    <row r="20" spans="1:13" ht="15.75" thickBot="1" x14ac:dyDescent="0.3">
      <c r="A20" s="240" t="s">
        <v>169</v>
      </c>
      <c r="B20" s="242">
        <v>193360</v>
      </c>
      <c r="C20" s="413">
        <v>195447</v>
      </c>
      <c r="D20" s="422">
        <f t="shared" si="4"/>
        <v>1.079333884981382E-2</v>
      </c>
      <c r="E20" s="242">
        <v>193360</v>
      </c>
      <c r="F20" s="413">
        <v>195349</v>
      </c>
      <c r="G20" s="422">
        <f t="shared" si="5"/>
        <v>1.0286512205213073E-2</v>
      </c>
      <c r="H20" s="242">
        <v>193360</v>
      </c>
      <c r="I20" s="413">
        <v>200462</v>
      </c>
      <c r="J20" s="422">
        <f t="shared" si="6"/>
        <v>3.6729416632188663E-2</v>
      </c>
      <c r="K20" s="242">
        <v>193360</v>
      </c>
      <c r="L20" s="413">
        <v>196498</v>
      </c>
      <c r="M20" s="422">
        <f t="shared" si="7"/>
        <v>1.6228796028134051E-2</v>
      </c>
    </row>
    <row r="21" spans="1:13" ht="15.75" thickBot="1" x14ac:dyDescent="0.3">
      <c r="A21" s="240" t="s">
        <v>170</v>
      </c>
      <c r="B21" s="242">
        <v>3511768</v>
      </c>
      <c r="C21" s="413">
        <v>2224803</v>
      </c>
      <c r="D21" s="422">
        <f t="shared" si="4"/>
        <v>-0.36647210180171358</v>
      </c>
      <c r="E21" s="242">
        <v>3511768</v>
      </c>
      <c r="F21" s="413">
        <v>1946129</v>
      </c>
      <c r="G21" s="422">
        <f t="shared" si="5"/>
        <v>-0.44582643272562422</v>
      </c>
      <c r="H21" s="242">
        <v>3511768</v>
      </c>
      <c r="I21" s="413">
        <v>2203143</v>
      </c>
      <c r="J21" s="422">
        <f t="shared" si="6"/>
        <v>-0.37263993521212108</v>
      </c>
      <c r="K21" s="242">
        <v>3511768</v>
      </c>
      <c r="L21" s="413">
        <v>2678991</v>
      </c>
      <c r="M21" s="422">
        <f t="shared" si="7"/>
        <v>-0.23713895678757821</v>
      </c>
    </row>
    <row r="22" spans="1:13" ht="15.75" thickBot="1" x14ac:dyDescent="0.3">
      <c r="A22" s="240" t="s">
        <v>171</v>
      </c>
      <c r="B22" s="242">
        <v>3417424</v>
      </c>
      <c r="C22" s="413">
        <v>3536783</v>
      </c>
      <c r="D22" s="422">
        <f t="shared" si="4"/>
        <v>3.492659968444068E-2</v>
      </c>
      <c r="E22" s="242">
        <v>3417424</v>
      </c>
      <c r="F22" s="413">
        <v>3441132</v>
      </c>
      <c r="G22" s="422">
        <f t="shared" si="5"/>
        <v>6.9373890977531619E-3</v>
      </c>
      <c r="H22" s="242">
        <v>3417424</v>
      </c>
      <c r="I22" s="413">
        <v>3468841</v>
      </c>
      <c r="J22" s="422">
        <f t="shared" si="6"/>
        <v>1.5045543075720192E-2</v>
      </c>
      <c r="K22" s="242">
        <v>3417424</v>
      </c>
      <c r="L22" s="413">
        <v>3434206</v>
      </c>
      <c r="M22" s="422">
        <f t="shared" si="7"/>
        <v>4.9107163758433251E-3</v>
      </c>
    </row>
    <row r="23" spans="1:13" ht="15.75" thickBot="1" x14ac:dyDescent="0.3">
      <c r="A23" s="240" t="s">
        <v>295</v>
      </c>
      <c r="B23" s="242">
        <v>878552</v>
      </c>
      <c r="C23" s="413">
        <v>896574</v>
      </c>
      <c r="D23" s="422">
        <f t="shared" si="4"/>
        <v>2.0513299155883773E-2</v>
      </c>
      <c r="E23" s="242">
        <v>878552</v>
      </c>
      <c r="F23" s="413">
        <v>855072</v>
      </c>
      <c r="G23" s="422">
        <f t="shared" si="5"/>
        <v>-2.6725794261466596E-2</v>
      </c>
      <c r="H23" s="242">
        <v>878552</v>
      </c>
      <c r="I23" s="413">
        <v>824623</v>
      </c>
      <c r="J23" s="422">
        <f t="shared" si="6"/>
        <v>-6.1383959059907664E-2</v>
      </c>
      <c r="K23" s="242">
        <v>878552</v>
      </c>
      <c r="L23" s="413">
        <v>829563</v>
      </c>
      <c r="M23" s="422">
        <f t="shared" si="7"/>
        <v>-5.5761070488713246E-2</v>
      </c>
    </row>
    <row r="24" spans="1:13" ht="15.75" thickBot="1" x14ac:dyDescent="0.3">
      <c r="A24" s="240" t="s">
        <v>141</v>
      </c>
      <c r="B24" s="242">
        <v>79489</v>
      </c>
      <c r="C24" s="413">
        <v>79401</v>
      </c>
      <c r="D24" s="422">
        <f t="shared" si="4"/>
        <v>-1.1070714186868624E-3</v>
      </c>
      <c r="E24" s="242">
        <v>79489</v>
      </c>
      <c r="F24" s="413">
        <v>79313</v>
      </c>
      <c r="G24" s="422">
        <f t="shared" si="5"/>
        <v>-2.2141428373737247E-3</v>
      </c>
      <c r="H24" s="242">
        <v>79489</v>
      </c>
      <c r="I24" s="413">
        <v>10629</v>
      </c>
      <c r="J24" s="422">
        <f t="shared" si="6"/>
        <v>-0.86628338512246983</v>
      </c>
      <c r="K24" s="242">
        <v>79489</v>
      </c>
      <c r="L24" s="413">
        <v>9056</v>
      </c>
      <c r="M24" s="422">
        <f t="shared" si="7"/>
        <v>-0.8860722867314974</v>
      </c>
    </row>
    <row r="25" spans="1:13" ht="15.75" thickBot="1" x14ac:dyDescent="0.3">
      <c r="A25" s="240" t="s">
        <v>247</v>
      </c>
      <c r="B25" s="242">
        <v>2266852</v>
      </c>
      <c r="C25" s="413">
        <v>2478655</v>
      </c>
      <c r="D25" s="422">
        <f t="shared" si="4"/>
        <v>9.3434860326126273E-2</v>
      </c>
      <c r="E25" s="242">
        <v>2266852</v>
      </c>
      <c r="F25" s="413">
        <v>2401036</v>
      </c>
      <c r="G25" s="422">
        <f t="shared" si="5"/>
        <v>5.9193983550756731E-2</v>
      </c>
      <c r="H25" s="242">
        <v>2266852</v>
      </c>
      <c r="I25" s="413">
        <v>2484957</v>
      </c>
      <c r="J25" s="422">
        <f t="shared" si="6"/>
        <v>9.6214927132428588E-2</v>
      </c>
      <c r="K25" s="242">
        <v>2266852</v>
      </c>
      <c r="L25" s="413">
        <v>2369706</v>
      </c>
      <c r="M25" s="422">
        <f t="shared" si="7"/>
        <v>4.5373054791402349E-2</v>
      </c>
    </row>
    <row r="26" spans="1:13" ht="15.75" thickBot="1" x14ac:dyDescent="0.3">
      <c r="A26" s="240" t="s">
        <v>173</v>
      </c>
      <c r="B26" s="242">
        <v>1274709</v>
      </c>
      <c r="C26" s="413">
        <v>1343011</v>
      </c>
      <c r="D26" s="422">
        <f t="shared" si="4"/>
        <v>5.3582425479070127E-2</v>
      </c>
      <c r="E26" s="242">
        <v>1274709</v>
      </c>
      <c r="F26" s="413">
        <v>1304821</v>
      </c>
      <c r="G26" s="422">
        <f t="shared" si="5"/>
        <v>2.3622646423615116E-2</v>
      </c>
      <c r="H26" s="242">
        <v>1274709</v>
      </c>
      <c r="I26" s="413">
        <v>1334645</v>
      </c>
      <c r="J26" s="422">
        <f t="shared" si="6"/>
        <v>4.7019358928194595E-2</v>
      </c>
      <c r="K26" s="242">
        <v>1274709</v>
      </c>
      <c r="L26" s="413">
        <v>1303838</v>
      </c>
      <c r="M26" s="422">
        <f t="shared" si="7"/>
        <v>2.2851490026351111E-2</v>
      </c>
    </row>
    <row r="27" spans="1:13" ht="15.75" thickBot="1" x14ac:dyDescent="0.3">
      <c r="A27" s="240" t="s">
        <v>274</v>
      </c>
      <c r="B27" s="242">
        <v>668578</v>
      </c>
      <c r="C27" s="413">
        <v>686449</v>
      </c>
      <c r="D27" s="422">
        <f t="shared" si="4"/>
        <v>2.6729865475681222E-2</v>
      </c>
      <c r="E27" s="242">
        <v>668578</v>
      </c>
      <c r="F27" s="413">
        <v>661679</v>
      </c>
      <c r="G27" s="422">
        <f t="shared" si="5"/>
        <v>-1.0318915668777615E-2</v>
      </c>
      <c r="H27" s="242">
        <v>668578</v>
      </c>
      <c r="I27" s="413">
        <v>712543</v>
      </c>
      <c r="J27" s="422">
        <f t="shared" si="6"/>
        <v>6.5758969035774439E-2</v>
      </c>
      <c r="K27" s="242">
        <v>668578</v>
      </c>
      <c r="L27" s="413">
        <v>740891</v>
      </c>
      <c r="M27" s="422">
        <f t="shared" si="7"/>
        <v>0.10815940698018781</v>
      </c>
    </row>
    <row r="28" spans="1:13" ht="15.75" thickBot="1" x14ac:dyDescent="0.3">
      <c r="A28" s="245" t="s">
        <v>283</v>
      </c>
      <c r="B28" s="247">
        <v>80436</v>
      </c>
      <c r="C28" s="414">
        <v>80867</v>
      </c>
      <c r="D28" s="423">
        <f t="shared" si="4"/>
        <v>5.3582972798249537E-3</v>
      </c>
      <c r="E28" s="247">
        <v>80436</v>
      </c>
      <c r="F28" s="414">
        <v>84235</v>
      </c>
      <c r="G28" s="423">
        <f t="shared" si="5"/>
        <v>4.7230095976925755E-2</v>
      </c>
      <c r="H28" s="247">
        <v>80436</v>
      </c>
      <c r="I28" s="414">
        <v>86253</v>
      </c>
      <c r="J28" s="423">
        <f t="shared" si="6"/>
        <v>7.2318364911233779E-2</v>
      </c>
      <c r="K28" s="247">
        <v>80436</v>
      </c>
      <c r="L28" s="414">
        <v>87447</v>
      </c>
      <c r="M28" s="423">
        <f t="shared" si="7"/>
        <v>8.7162464568103837E-2</v>
      </c>
    </row>
    <row r="29" spans="1:13" ht="15.75" thickBot="1" x14ac:dyDescent="0.3">
      <c r="A29" s="249" t="s">
        <v>175</v>
      </c>
      <c r="B29" s="250">
        <f>SUM(B19:B28)</f>
        <v>12396577</v>
      </c>
      <c r="C29" s="415">
        <f>SUM(C19:C28)</f>
        <v>11546592</v>
      </c>
      <c r="D29" s="424">
        <f t="shared" si="4"/>
        <v>-6.8566104982044643E-2</v>
      </c>
      <c r="E29" s="250">
        <f>SUM(E19:E28)</f>
        <v>12396577</v>
      </c>
      <c r="F29" s="415">
        <f>SUM(F19:F28)</f>
        <v>10994188</v>
      </c>
      <c r="G29" s="424">
        <f t="shared" si="5"/>
        <v>-0.11312711565458755</v>
      </c>
      <c r="H29" s="250">
        <f>SUM(H19:H28)</f>
        <v>12396577</v>
      </c>
      <c r="I29" s="415">
        <f>SUM(I19:I28)</f>
        <v>11350777</v>
      </c>
      <c r="J29" s="424">
        <f t="shared" si="6"/>
        <v>-8.4361997670808639E-2</v>
      </c>
      <c r="K29" s="250">
        <f>SUM(K19:K28)</f>
        <v>12396577</v>
      </c>
      <c r="L29" s="415">
        <f>SUM(L19:L28)</f>
        <v>11676744</v>
      </c>
      <c r="M29" s="424">
        <f t="shared" si="7"/>
        <v>-5.806707771024211E-2</v>
      </c>
    </row>
    <row r="30" spans="1:13" ht="15.75" thickBot="1" x14ac:dyDescent="0.3">
      <c r="A30" s="382" t="s">
        <v>176</v>
      </c>
      <c r="B30" s="383">
        <f>+B17+B29</f>
        <v>15659539</v>
      </c>
      <c r="C30" s="416">
        <f>+C17+C29</f>
        <v>15257501</v>
      </c>
      <c r="D30" s="425">
        <f t="shared" si="4"/>
        <v>-2.5673680432099565E-2</v>
      </c>
      <c r="E30" s="383">
        <f>+E17+E29</f>
        <v>15659539</v>
      </c>
      <c r="F30" s="416">
        <f>+F17+F29</f>
        <v>14859993</v>
      </c>
      <c r="G30" s="425">
        <f t="shared" si="5"/>
        <v>-5.1058080317690067E-2</v>
      </c>
      <c r="H30" s="383">
        <f>+H17+H29</f>
        <v>15659539</v>
      </c>
      <c r="I30" s="416">
        <f>+I17+I29</f>
        <v>15482985</v>
      </c>
      <c r="J30" s="425">
        <f t="shared" si="6"/>
        <v>-1.1274533688379971E-2</v>
      </c>
      <c r="K30" s="383">
        <f>+K17+K29</f>
        <v>15659539</v>
      </c>
      <c r="L30" s="416">
        <f>+L17+L29</f>
        <v>15537881</v>
      </c>
      <c r="M30" s="425">
        <f t="shared" si="7"/>
        <v>-7.7689387918763123E-3</v>
      </c>
    </row>
    <row r="31" spans="1:13" x14ac:dyDescent="0.25">
      <c r="A31" s="376" t="s">
        <v>142</v>
      </c>
      <c r="B31" s="476"/>
      <c r="C31" s="477"/>
      <c r="D31" s="411"/>
      <c r="E31" s="476"/>
      <c r="F31" s="477"/>
      <c r="G31" s="411"/>
      <c r="H31" s="476"/>
      <c r="I31" s="477"/>
      <c r="J31" s="411"/>
      <c r="K31" s="476"/>
      <c r="L31" s="477"/>
      <c r="M31" s="411"/>
    </row>
    <row r="32" spans="1:13" x14ac:dyDescent="0.25">
      <c r="A32" s="378" t="s">
        <v>177</v>
      </c>
      <c r="B32" s="474"/>
      <c r="C32" s="475"/>
      <c r="D32" s="421"/>
      <c r="E32" s="474"/>
      <c r="F32" s="475"/>
      <c r="G32" s="421"/>
      <c r="H32" s="474"/>
      <c r="I32" s="475"/>
      <c r="J32" s="421"/>
      <c r="K32" s="474"/>
      <c r="L32" s="475"/>
      <c r="M32" s="421"/>
    </row>
    <row r="33" spans="1:13" ht="15.75" thickBot="1" x14ac:dyDescent="0.3">
      <c r="A33" s="240" t="s">
        <v>28</v>
      </c>
      <c r="B33" s="242">
        <v>527196</v>
      </c>
      <c r="C33" s="413">
        <v>464550</v>
      </c>
      <c r="D33" s="422">
        <f t="shared" ref="D33:D40" si="8">(C33-B33)/B33</f>
        <v>-0.11882867093073544</v>
      </c>
      <c r="E33" s="242">
        <v>527196</v>
      </c>
      <c r="F33" s="413">
        <v>515558</v>
      </c>
      <c r="G33" s="422">
        <f t="shared" ref="G33:G40" si="9">(F33-E33)/E33</f>
        <v>-2.2075281299554626E-2</v>
      </c>
      <c r="H33" s="242">
        <v>527196</v>
      </c>
      <c r="I33" s="413">
        <v>643104</v>
      </c>
      <c r="J33" s="422">
        <f t="shared" ref="J33:J40" si="10">(I33-H33)/H33</f>
        <v>0.21985751029977466</v>
      </c>
      <c r="K33" s="242">
        <v>527196</v>
      </c>
      <c r="L33" s="413">
        <v>486736</v>
      </c>
      <c r="M33" s="422">
        <f t="shared" ref="M33:M40" si="11">(L33-K33)/K33</f>
        <v>-7.674565057398007E-2</v>
      </c>
    </row>
    <row r="34" spans="1:13" ht="15.75" thickBot="1" x14ac:dyDescent="0.3">
      <c r="A34" s="240" t="s">
        <v>296</v>
      </c>
      <c r="B34" s="242">
        <v>147242</v>
      </c>
      <c r="C34" s="413">
        <v>145747</v>
      </c>
      <c r="D34" s="422">
        <f t="shared" si="8"/>
        <v>-1.0153352983523723E-2</v>
      </c>
      <c r="E34" s="242">
        <v>147242</v>
      </c>
      <c r="F34" s="413">
        <v>135442</v>
      </c>
      <c r="G34" s="422">
        <f t="shared" si="9"/>
        <v>-8.0140177395036746E-2</v>
      </c>
      <c r="H34" s="242">
        <v>147242</v>
      </c>
      <c r="I34" s="413">
        <v>129569</v>
      </c>
      <c r="J34" s="422">
        <f t="shared" si="10"/>
        <v>-0.12002689450021053</v>
      </c>
      <c r="K34" s="242">
        <v>147242</v>
      </c>
      <c r="L34" s="413">
        <v>126727</v>
      </c>
      <c r="M34" s="422">
        <f t="shared" si="11"/>
        <v>-0.13932845247959141</v>
      </c>
    </row>
    <row r="35" spans="1:13" ht="15.75" thickBot="1" x14ac:dyDescent="0.3">
      <c r="A35" s="240" t="s">
        <v>178</v>
      </c>
      <c r="B35" s="242">
        <v>1235133</v>
      </c>
      <c r="C35" s="413">
        <v>1341476</v>
      </c>
      <c r="D35" s="422">
        <f t="shared" si="8"/>
        <v>8.6098420170135526E-2</v>
      </c>
      <c r="E35" s="242">
        <v>1235133</v>
      </c>
      <c r="F35" s="413">
        <v>1268591</v>
      </c>
      <c r="G35" s="422">
        <f t="shared" si="9"/>
        <v>2.7088580743936077E-2</v>
      </c>
      <c r="H35" s="242">
        <v>1235133</v>
      </c>
      <c r="I35" s="413">
        <v>1251503</v>
      </c>
      <c r="J35" s="422">
        <f t="shared" si="10"/>
        <v>1.3253633414377236E-2</v>
      </c>
      <c r="K35" s="242">
        <v>1235133</v>
      </c>
      <c r="L35" s="413">
        <v>1283494</v>
      </c>
      <c r="M35" s="422">
        <f t="shared" si="11"/>
        <v>3.9154487816291848E-2</v>
      </c>
    </row>
    <row r="36" spans="1:13" ht="15.75" thickBot="1" x14ac:dyDescent="0.3">
      <c r="A36" s="240" t="s">
        <v>257</v>
      </c>
      <c r="B36" s="242">
        <v>214542</v>
      </c>
      <c r="C36" s="413">
        <v>235930</v>
      </c>
      <c r="D36" s="422">
        <f t="shared" si="8"/>
        <v>9.9691435709558032E-2</v>
      </c>
      <c r="E36" s="242">
        <v>214542</v>
      </c>
      <c r="F36" s="413">
        <v>331466</v>
      </c>
      <c r="G36" s="422">
        <f t="shared" si="9"/>
        <v>0.54499352108211907</v>
      </c>
      <c r="H36" s="242">
        <v>214542</v>
      </c>
      <c r="I36" s="413">
        <v>377326</v>
      </c>
      <c r="J36" s="422">
        <f t="shared" si="10"/>
        <v>0.75875120023119014</v>
      </c>
      <c r="K36" s="242">
        <v>214542</v>
      </c>
      <c r="L36" s="413">
        <v>240011</v>
      </c>
      <c r="M36" s="422">
        <f t="shared" si="11"/>
        <v>0.11871335216414501</v>
      </c>
    </row>
    <row r="37" spans="1:13" ht="15.75" thickBot="1" x14ac:dyDescent="0.3">
      <c r="A37" s="240" t="s">
        <v>179</v>
      </c>
      <c r="B37" s="242">
        <v>191864</v>
      </c>
      <c r="C37" s="413">
        <v>160008</v>
      </c>
      <c r="D37" s="422">
        <f t="shared" si="8"/>
        <v>-0.1660342742776133</v>
      </c>
      <c r="E37" s="242">
        <v>191864</v>
      </c>
      <c r="F37" s="413">
        <v>185454</v>
      </c>
      <c r="G37" s="422">
        <f t="shared" si="9"/>
        <v>-3.3409081432681481E-2</v>
      </c>
      <c r="H37" s="242">
        <v>191864</v>
      </c>
      <c r="I37" s="413">
        <v>248565</v>
      </c>
      <c r="J37" s="422">
        <f t="shared" si="10"/>
        <v>0.29552703998665719</v>
      </c>
      <c r="K37" s="242">
        <v>191864</v>
      </c>
      <c r="L37" s="413">
        <v>217033</v>
      </c>
      <c r="M37" s="422">
        <f t="shared" si="11"/>
        <v>0.13118146186882376</v>
      </c>
    </row>
    <row r="38" spans="1:13" ht="15.75" thickBot="1" x14ac:dyDescent="0.3">
      <c r="A38" s="240" t="s">
        <v>326</v>
      </c>
      <c r="B38" s="242">
        <v>1948</v>
      </c>
      <c r="C38" s="413">
        <v>2033</v>
      </c>
      <c r="D38" s="422">
        <f t="shared" si="8"/>
        <v>4.3634496919917866E-2</v>
      </c>
      <c r="E38" s="242">
        <v>1948</v>
      </c>
      <c r="F38" s="413">
        <v>3475</v>
      </c>
      <c r="G38" s="422">
        <f t="shared" si="9"/>
        <v>0.78388090349075978</v>
      </c>
      <c r="H38" s="242">
        <v>1948</v>
      </c>
      <c r="I38" s="413">
        <v>3473</v>
      </c>
      <c r="J38" s="422">
        <f t="shared" si="10"/>
        <v>0.78285420944558526</v>
      </c>
      <c r="K38" s="242">
        <v>1948</v>
      </c>
      <c r="L38" s="413">
        <v>3450</v>
      </c>
      <c r="M38" s="422">
        <f t="shared" si="11"/>
        <v>0.77104722792607805</v>
      </c>
    </row>
    <row r="39" spans="1:13" ht="15.75" thickBot="1" x14ac:dyDescent="0.3">
      <c r="A39" s="245" t="s">
        <v>319</v>
      </c>
      <c r="B39" s="247">
        <v>29912</v>
      </c>
      <c r="C39" s="414">
        <v>74454</v>
      </c>
      <c r="D39" s="423">
        <f t="shared" si="8"/>
        <v>1.4891013640010697</v>
      </c>
      <c r="E39" s="247">
        <v>29912</v>
      </c>
      <c r="F39" s="414">
        <v>69469</v>
      </c>
      <c r="G39" s="423">
        <f t="shared" si="9"/>
        <v>1.322445841133993</v>
      </c>
      <c r="H39" s="247">
        <v>29912</v>
      </c>
      <c r="I39" s="414">
        <v>58153</v>
      </c>
      <c r="J39" s="423">
        <f t="shared" si="10"/>
        <v>0.94413613265579033</v>
      </c>
      <c r="K39" s="247">
        <v>29912</v>
      </c>
      <c r="L39" s="414">
        <v>83209</v>
      </c>
      <c r="M39" s="423">
        <f t="shared" si="11"/>
        <v>1.7817932602300079</v>
      </c>
    </row>
    <row r="40" spans="1:13" ht="15.75" thickBot="1" x14ac:dyDescent="0.3">
      <c r="A40" s="249" t="s">
        <v>181</v>
      </c>
      <c r="B40" s="250">
        <f>SUM(B33:B39)</f>
        <v>2347837</v>
      </c>
      <c r="C40" s="415">
        <f>SUM(C33:C39)</f>
        <v>2424198</v>
      </c>
      <c r="D40" s="424">
        <f t="shared" si="8"/>
        <v>3.2523978453359415E-2</v>
      </c>
      <c r="E40" s="250">
        <f>SUM(E33:E39)</f>
        <v>2347837</v>
      </c>
      <c r="F40" s="415">
        <f>SUM(F33:F39)</f>
        <v>2509455</v>
      </c>
      <c r="G40" s="424">
        <f t="shared" si="9"/>
        <v>6.8836976331832236E-2</v>
      </c>
      <c r="H40" s="250">
        <f>SUM(H33:H39)</f>
        <v>2347837</v>
      </c>
      <c r="I40" s="415">
        <f>SUM(I33:I39)</f>
        <v>2711693</v>
      </c>
      <c r="J40" s="424">
        <f t="shared" si="10"/>
        <v>0.15497498335702181</v>
      </c>
      <c r="K40" s="250">
        <f>SUM(K33:K39)</f>
        <v>2347837</v>
      </c>
      <c r="L40" s="415">
        <f>SUM(L33:L39)</f>
        <v>2440660</v>
      </c>
      <c r="M40" s="424">
        <f t="shared" si="11"/>
        <v>3.9535538455182366E-2</v>
      </c>
    </row>
    <row r="41" spans="1:13" x14ac:dyDescent="0.25">
      <c r="A41" s="378" t="s">
        <v>182</v>
      </c>
      <c r="B41" s="474"/>
      <c r="C41" s="475"/>
      <c r="D41" s="421"/>
      <c r="E41" s="474"/>
      <c r="F41" s="475"/>
      <c r="G41" s="421"/>
      <c r="H41" s="474"/>
      <c r="I41" s="475"/>
      <c r="J41" s="421"/>
      <c r="K41" s="474"/>
      <c r="L41" s="475"/>
      <c r="M41" s="421"/>
    </row>
    <row r="42" spans="1:13" ht="15.75" thickBot="1" x14ac:dyDescent="0.3">
      <c r="A42" s="240" t="s">
        <v>28</v>
      </c>
      <c r="B42" s="242">
        <v>2680014</v>
      </c>
      <c r="C42" s="413">
        <v>3074884</v>
      </c>
      <c r="D42" s="422">
        <f t="shared" ref="D42:D50" si="12">(C42-B42)/B42</f>
        <v>0.14733878255859859</v>
      </c>
      <c r="E42" s="242">
        <v>2680014</v>
      </c>
      <c r="F42" s="413">
        <v>3024078</v>
      </c>
      <c r="G42" s="422">
        <f t="shared" ref="G42:G48" si="13">(F42-E42)/E42</f>
        <v>0.12838141890303559</v>
      </c>
      <c r="H42" s="242">
        <v>2680014</v>
      </c>
      <c r="I42" s="413">
        <v>2860554</v>
      </c>
      <c r="J42" s="422">
        <f t="shared" ref="J42:J48" si="14">(I42-H42)/H42</f>
        <v>6.7365319733404372E-2</v>
      </c>
      <c r="K42" s="242">
        <v>2680014</v>
      </c>
      <c r="L42" s="413">
        <v>2865638</v>
      </c>
      <c r="M42" s="422">
        <f t="shared" ref="M42:M48" si="15">(L42-K42)/K42</f>
        <v>6.9262324749049822E-2</v>
      </c>
    </row>
    <row r="43" spans="1:13" ht="15.75" thickBot="1" x14ac:dyDescent="0.3">
      <c r="A43" s="240" t="s">
        <v>296</v>
      </c>
      <c r="B43" s="242">
        <v>745313</v>
      </c>
      <c r="C43" s="413">
        <v>772638</v>
      </c>
      <c r="D43" s="422">
        <f t="shared" si="12"/>
        <v>3.6662449199195507E-2</v>
      </c>
      <c r="E43" s="242">
        <v>745313</v>
      </c>
      <c r="F43" s="413">
        <v>750270</v>
      </c>
      <c r="G43" s="422">
        <f t="shared" si="13"/>
        <v>6.6508970056875436E-3</v>
      </c>
      <c r="H43" s="242">
        <v>745313</v>
      </c>
      <c r="I43" s="413">
        <v>731022</v>
      </c>
      <c r="J43" s="422">
        <f t="shared" si="14"/>
        <v>-1.9174494474133687E-2</v>
      </c>
      <c r="K43" s="242">
        <v>745313</v>
      </c>
      <c r="L43" s="413">
        <v>747296</v>
      </c>
      <c r="M43" s="422">
        <f t="shared" si="15"/>
        <v>2.6606271459105103E-3</v>
      </c>
    </row>
    <row r="44" spans="1:13" ht="15.75" thickBot="1" x14ac:dyDescent="0.3">
      <c r="A44" s="240" t="s">
        <v>178</v>
      </c>
      <c r="B44" s="478">
        <v>3032</v>
      </c>
      <c r="C44" s="413">
        <v>158</v>
      </c>
      <c r="D44" s="422">
        <f t="shared" si="12"/>
        <v>-0.94788918205804751</v>
      </c>
      <c r="E44" s="242">
        <v>3032</v>
      </c>
      <c r="F44" s="413">
        <v>158</v>
      </c>
      <c r="G44" s="422">
        <f t="shared" si="13"/>
        <v>-0.94788918205804751</v>
      </c>
      <c r="H44" s="242">
        <v>3032</v>
      </c>
      <c r="I44" s="413">
        <v>158</v>
      </c>
      <c r="J44" s="422">
        <f t="shared" si="14"/>
        <v>-0.94788918205804751</v>
      </c>
      <c r="K44" s="242">
        <v>3032</v>
      </c>
      <c r="L44" s="413">
        <v>0</v>
      </c>
      <c r="M44" s="422">
        <f t="shared" si="15"/>
        <v>-1</v>
      </c>
    </row>
    <row r="45" spans="1:13" ht="15.75" thickBot="1" x14ac:dyDescent="0.3">
      <c r="A45" s="240" t="s">
        <v>179</v>
      </c>
      <c r="B45" s="242">
        <v>189295</v>
      </c>
      <c r="C45" s="413">
        <v>190792</v>
      </c>
      <c r="D45" s="422">
        <f t="shared" si="12"/>
        <v>7.9082912913706113E-3</v>
      </c>
      <c r="E45" s="242">
        <v>189295</v>
      </c>
      <c r="F45" s="413">
        <v>187612</v>
      </c>
      <c r="G45" s="422">
        <f t="shared" si="13"/>
        <v>-8.8908845981140548E-3</v>
      </c>
      <c r="H45" s="242">
        <v>189295</v>
      </c>
      <c r="I45" s="413">
        <v>194646</v>
      </c>
      <c r="J45" s="422">
        <f t="shared" si="14"/>
        <v>2.826804722787184E-2</v>
      </c>
      <c r="K45" s="242">
        <v>189295</v>
      </c>
      <c r="L45" s="413">
        <v>196244</v>
      </c>
      <c r="M45" s="422">
        <f t="shared" si="15"/>
        <v>3.6709897250323566E-2</v>
      </c>
    </row>
    <row r="46" spans="1:13" ht="15.75" thickBot="1" x14ac:dyDescent="0.3">
      <c r="A46" s="240" t="s">
        <v>183</v>
      </c>
      <c r="B46" s="242">
        <v>998236</v>
      </c>
      <c r="C46" s="413">
        <v>1017103</v>
      </c>
      <c r="D46" s="422">
        <f t="shared" si="12"/>
        <v>1.8900340200113001E-2</v>
      </c>
      <c r="E46" s="242">
        <v>998236</v>
      </c>
      <c r="F46" s="413">
        <v>979310</v>
      </c>
      <c r="G46" s="422">
        <f t="shared" si="13"/>
        <v>-1.8959444460027487E-2</v>
      </c>
      <c r="H46" s="242">
        <v>998236</v>
      </c>
      <c r="I46" s="413">
        <v>1012651</v>
      </c>
      <c r="J46" s="422">
        <f t="shared" si="14"/>
        <v>1.4440472994362054E-2</v>
      </c>
      <c r="K46" s="242">
        <v>998236</v>
      </c>
      <c r="L46" s="413">
        <v>1020416</v>
      </c>
      <c r="M46" s="422">
        <f t="shared" si="15"/>
        <v>2.2219194659379146E-2</v>
      </c>
    </row>
    <row r="47" spans="1:13" ht="15.75" thickBot="1" x14ac:dyDescent="0.3">
      <c r="A47" s="240" t="s">
        <v>297</v>
      </c>
      <c r="B47" s="242">
        <v>13238</v>
      </c>
      <c r="C47" s="413">
        <v>13520</v>
      </c>
      <c r="D47" s="422">
        <f t="shared" si="12"/>
        <v>2.1302311527421059E-2</v>
      </c>
      <c r="E47" s="242">
        <v>13238</v>
      </c>
      <c r="F47" s="413">
        <v>13230</v>
      </c>
      <c r="G47" s="422">
        <f t="shared" si="13"/>
        <v>-6.0432089439492367E-4</v>
      </c>
      <c r="H47" s="242">
        <v>13238</v>
      </c>
      <c r="I47" s="413">
        <v>13110</v>
      </c>
      <c r="J47" s="422">
        <f t="shared" si="14"/>
        <v>-9.6691343103187787E-3</v>
      </c>
      <c r="K47" s="242">
        <v>13238</v>
      </c>
      <c r="L47" s="413">
        <v>5909</v>
      </c>
      <c r="M47" s="422">
        <f t="shared" si="15"/>
        <v>-0.55363347937754948</v>
      </c>
    </row>
    <row r="48" spans="1:13" ht="15.75" thickBot="1" x14ac:dyDescent="0.3">
      <c r="A48" s="245" t="s">
        <v>143</v>
      </c>
      <c r="B48" s="247">
        <v>487</v>
      </c>
      <c r="C48" s="414">
        <v>0</v>
      </c>
      <c r="D48" s="422">
        <f t="shared" si="12"/>
        <v>-1</v>
      </c>
      <c r="E48" s="247">
        <v>487</v>
      </c>
      <c r="F48" s="414">
        <v>0</v>
      </c>
      <c r="G48" s="422">
        <f t="shared" si="13"/>
        <v>-1</v>
      </c>
      <c r="H48" s="247">
        <v>487</v>
      </c>
      <c r="I48" s="414">
        <v>0</v>
      </c>
      <c r="J48" s="422">
        <f t="shared" si="14"/>
        <v>-1</v>
      </c>
      <c r="K48" s="247">
        <v>487</v>
      </c>
      <c r="L48" s="414">
        <v>4576</v>
      </c>
      <c r="M48" s="422">
        <f t="shared" si="15"/>
        <v>8.3963039014373724</v>
      </c>
    </row>
    <row r="49" spans="1:20" ht="15.75" thickBot="1" x14ac:dyDescent="0.3">
      <c r="A49" s="249" t="s">
        <v>185</v>
      </c>
      <c r="B49" s="250">
        <f>SUM(B42:B48)</f>
        <v>4629615</v>
      </c>
      <c r="C49" s="415">
        <f>SUM(C42:C48)</f>
        <v>5069095</v>
      </c>
      <c r="D49" s="424">
        <f>(C49-B49)/B49</f>
        <v>9.4927979972416712E-2</v>
      </c>
      <c r="E49" s="250">
        <f>SUM(E42:E48)</f>
        <v>4629615</v>
      </c>
      <c r="F49" s="415">
        <f>SUM(F42:F48)</f>
        <v>4954658</v>
      </c>
      <c r="G49" s="424">
        <f>(F49-E49)/E49</f>
        <v>7.020950986205117E-2</v>
      </c>
      <c r="H49" s="250">
        <f>SUM(H42:H48)</f>
        <v>4629615</v>
      </c>
      <c r="I49" s="415">
        <f>SUM(I42:I48)</f>
        <v>4812141</v>
      </c>
      <c r="J49" s="424">
        <f>(I49-H49)/H49</f>
        <v>3.9425740585340249E-2</v>
      </c>
      <c r="K49" s="250">
        <f>SUM(K42:K48)</f>
        <v>4629615</v>
      </c>
      <c r="L49" s="415">
        <f>SUM(L42:L48)</f>
        <v>4840079</v>
      </c>
      <c r="M49" s="424">
        <f>(L49-K49)/K49</f>
        <v>4.5460367654761788E-2</v>
      </c>
    </row>
    <row r="50" spans="1:20" ht="15.75" thickBot="1" x14ac:dyDescent="0.3">
      <c r="A50" s="382" t="s">
        <v>186</v>
      </c>
      <c r="B50" s="383">
        <f>+B40+B49</f>
        <v>6977452</v>
      </c>
      <c r="C50" s="416">
        <f>+C40+C49</f>
        <v>7493293</v>
      </c>
      <c r="D50" s="425">
        <f t="shared" si="12"/>
        <v>7.3929709584530282E-2</v>
      </c>
      <c r="E50" s="383">
        <f>+E40+E49</f>
        <v>6977452</v>
      </c>
      <c r="F50" s="416">
        <f>+F40+F49</f>
        <v>7464113</v>
      </c>
      <c r="G50" s="425">
        <f>(F50-E50)/E50</f>
        <v>6.9747667200003666E-2</v>
      </c>
      <c r="H50" s="383">
        <f>+H40+H49</f>
        <v>6977452</v>
      </c>
      <c r="I50" s="416">
        <f>+I40+I49</f>
        <v>7523834</v>
      </c>
      <c r="J50" s="425">
        <f>(I50-H50)/H50</f>
        <v>7.8306808846553153E-2</v>
      </c>
      <c r="K50" s="383">
        <f>+K40+K49</f>
        <v>6977452</v>
      </c>
      <c r="L50" s="416">
        <f>+L40+L49</f>
        <v>7280739</v>
      </c>
      <c r="M50" s="425">
        <f>(L50-K50)/K50</f>
        <v>4.3466726822341449E-2</v>
      </c>
    </row>
    <row r="51" spans="1:20" x14ac:dyDescent="0.25">
      <c r="A51" s="376" t="s">
        <v>34</v>
      </c>
      <c r="B51" s="476"/>
      <c r="C51" s="477"/>
      <c r="D51" s="411"/>
      <c r="E51" s="476"/>
      <c r="F51" s="477"/>
      <c r="G51" s="411"/>
      <c r="H51" s="476"/>
      <c r="I51" s="477"/>
      <c r="J51" s="411"/>
      <c r="K51" s="476"/>
      <c r="L51" s="477"/>
      <c r="M51" s="411"/>
    </row>
    <row r="52" spans="1:20" ht="15.75" thickBot="1" x14ac:dyDescent="0.3">
      <c r="A52" s="249" t="s">
        <v>187</v>
      </c>
      <c r="B52" s="250">
        <v>8624601</v>
      </c>
      <c r="C52" s="415">
        <v>7704735</v>
      </c>
      <c r="D52" s="424">
        <f>(C52-B52)/B52</f>
        <v>-0.10665606443706788</v>
      </c>
      <c r="E52" s="250">
        <v>8624601</v>
      </c>
      <c r="F52" s="415">
        <v>7339184</v>
      </c>
      <c r="G52" s="424">
        <f>(F52-E52)/E52</f>
        <v>-0.14904074982715143</v>
      </c>
      <c r="H52" s="250">
        <v>8624601</v>
      </c>
      <c r="I52" s="415">
        <v>7903325</v>
      </c>
      <c r="J52" s="424">
        <f>(I52-H52)/H52</f>
        <v>-8.3630071698389291E-2</v>
      </c>
      <c r="K52" s="250">
        <v>8624601</v>
      </c>
      <c r="L52" s="415">
        <v>8197848</v>
      </c>
      <c r="M52" s="424">
        <f>(L52-K52)/K52</f>
        <v>-4.94808977250078E-2</v>
      </c>
    </row>
    <row r="53" spans="1:20" ht="15.75" thickBot="1" x14ac:dyDescent="0.3">
      <c r="A53" s="259" t="s">
        <v>188</v>
      </c>
      <c r="B53" s="247">
        <v>57486</v>
      </c>
      <c r="C53" s="414">
        <v>59473</v>
      </c>
      <c r="D53" s="423">
        <f>(C53-B53)/B53</f>
        <v>3.4564937550012179E-2</v>
      </c>
      <c r="E53" s="247">
        <v>57486</v>
      </c>
      <c r="F53" s="414">
        <v>56696</v>
      </c>
      <c r="G53" s="423">
        <f>(F53-E53)/E53</f>
        <v>-1.3742476429043594E-2</v>
      </c>
      <c r="H53" s="247">
        <v>57486</v>
      </c>
      <c r="I53" s="414">
        <v>55826</v>
      </c>
      <c r="J53" s="423">
        <f>(I53-H53)/H53</f>
        <v>-2.8876596040775145E-2</v>
      </c>
      <c r="K53" s="247">
        <v>57486</v>
      </c>
      <c r="L53" s="414">
        <v>59294</v>
      </c>
      <c r="M53" s="423">
        <f>(L53-K53)/K53</f>
        <v>3.1451135928747868E-2</v>
      </c>
    </row>
    <row r="54" spans="1:20" ht="15.75" thickBot="1" x14ac:dyDescent="0.3">
      <c r="A54" s="382" t="s">
        <v>189</v>
      </c>
      <c r="B54" s="383">
        <f>SUM(B52:B53)</f>
        <v>8682087</v>
      </c>
      <c r="C54" s="416">
        <f>SUM(C52:C53)</f>
        <v>7764208</v>
      </c>
      <c r="D54" s="425">
        <f>(C54-B54)/B54</f>
        <v>-0.10572100924581843</v>
      </c>
      <c r="E54" s="383">
        <f>SUM(E52:E53)</f>
        <v>8682087</v>
      </c>
      <c r="F54" s="416">
        <f>SUM(F52:F53)</f>
        <v>7395880</v>
      </c>
      <c r="G54" s="425">
        <f>(F54-E54)/E54</f>
        <v>-0.14814491031937368</v>
      </c>
      <c r="H54" s="383">
        <f>SUM(H52:H53)</f>
        <v>8682087</v>
      </c>
      <c r="I54" s="416">
        <f>SUM(I52:I53)</f>
        <v>7959151</v>
      </c>
      <c r="J54" s="425">
        <f>(I54-H54)/H54</f>
        <v>-8.3267536941290729E-2</v>
      </c>
      <c r="K54" s="383">
        <f>SUM(K52:K53)</f>
        <v>8682087</v>
      </c>
      <c r="L54" s="416">
        <f>SUM(L52:L53)</f>
        <v>8257142</v>
      </c>
      <c r="M54" s="425">
        <f>(L54-K54)/K54</f>
        <v>-4.8945029000515658E-2</v>
      </c>
    </row>
    <row r="55" spans="1:20" ht="15.75" thickBot="1" x14ac:dyDescent="0.3">
      <c r="A55" s="380" t="s">
        <v>190</v>
      </c>
      <c r="B55" s="381">
        <f>+B50+B54</f>
        <v>15659539</v>
      </c>
      <c r="C55" s="419">
        <f>+C50+C54</f>
        <v>15257501</v>
      </c>
      <c r="D55" s="426">
        <f>(C55-B55)/B55</f>
        <v>-2.5673680432099565E-2</v>
      </c>
      <c r="E55" s="381">
        <f>+E50+E54</f>
        <v>15659539</v>
      </c>
      <c r="F55" s="419">
        <f>+F50+F54</f>
        <v>14859993</v>
      </c>
      <c r="G55" s="426">
        <f>(F55-E55)/E55</f>
        <v>-5.1058080317690067E-2</v>
      </c>
      <c r="H55" s="381">
        <f>+H50+H54</f>
        <v>15659539</v>
      </c>
      <c r="I55" s="419">
        <f>+I50+I54</f>
        <v>15482985</v>
      </c>
      <c r="J55" s="426">
        <f>(I55-H55)/H55</f>
        <v>-1.1274533688379971E-2</v>
      </c>
      <c r="K55" s="381">
        <f>+K50+K54</f>
        <v>15659539</v>
      </c>
      <c r="L55" s="419">
        <f>+L50+L54</f>
        <v>15537881</v>
      </c>
      <c r="M55" s="426">
        <f>(L55-K55)/K55</f>
        <v>-7.7689387918763123E-3</v>
      </c>
    </row>
    <row r="56" spans="1:20" s="471" customFormat="1" x14ac:dyDescent="0.25">
      <c r="B56" s="472">
        <f>B55-B30</f>
        <v>0</v>
      </c>
      <c r="C56" s="472">
        <f t="shared" ref="C56:M56" si="16">C55-C30</f>
        <v>0</v>
      </c>
      <c r="D56" s="472">
        <f t="shared" si="16"/>
        <v>0</v>
      </c>
      <c r="E56" s="472">
        <f t="shared" si="16"/>
        <v>0</v>
      </c>
      <c r="F56" s="472">
        <f t="shared" si="16"/>
        <v>0</v>
      </c>
      <c r="G56" s="472">
        <f t="shared" si="16"/>
        <v>0</v>
      </c>
      <c r="H56" s="472">
        <f t="shared" si="16"/>
        <v>0</v>
      </c>
      <c r="I56" s="472">
        <f t="shared" si="16"/>
        <v>0</v>
      </c>
      <c r="J56" s="472">
        <f t="shared" si="16"/>
        <v>0</v>
      </c>
      <c r="K56" s="472">
        <f t="shared" si="16"/>
        <v>0</v>
      </c>
      <c r="L56" s="472">
        <f t="shared" si="16"/>
        <v>0</v>
      </c>
      <c r="M56" s="472">
        <f t="shared" si="16"/>
        <v>0</v>
      </c>
    </row>
    <row r="57" spans="1:20" x14ac:dyDescent="0.25">
      <c r="B57" s="263"/>
      <c r="C57" s="263"/>
      <c r="D57" s="263"/>
      <c r="E57" s="263"/>
      <c r="F57" s="263"/>
      <c r="H57" s="263"/>
      <c r="I57" s="263"/>
      <c r="J57" s="263"/>
      <c r="M57" s="263"/>
      <c r="O57" s="263"/>
      <c r="R57" s="263"/>
      <c r="T57" s="263"/>
    </row>
    <row r="58" spans="1:20" ht="18.75" x14ac:dyDescent="0.3">
      <c r="A58" s="264" t="s">
        <v>191</v>
      </c>
      <c r="B58" s="362"/>
      <c r="C58" s="362"/>
      <c r="D58" s="362"/>
      <c r="E58" s="362"/>
    </row>
    <row r="59" spans="1:20" x14ac:dyDescent="0.25">
      <c r="A59" s="332" t="s">
        <v>219</v>
      </c>
      <c r="B59" s="362"/>
      <c r="C59" s="362"/>
      <c r="D59" s="362"/>
      <c r="E59" s="362"/>
    </row>
    <row r="60" spans="1:20" x14ac:dyDescent="0.25">
      <c r="A60" s="332" t="s">
        <v>88</v>
      </c>
      <c r="B60" s="362"/>
      <c r="C60" s="362"/>
      <c r="D60" s="362"/>
      <c r="E60" s="362"/>
    </row>
    <row r="61" spans="1:20" x14ac:dyDescent="0.25">
      <c r="A61" s="265" t="s">
        <v>159</v>
      </c>
      <c r="B61" s="362"/>
      <c r="C61" s="362"/>
      <c r="D61" s="362"/>
      <c r="E61" s="362"/>
    </row>
    <row r="62" spans="1:20" x14ac:dyDescent="0.25">
      <c r="A62" s="265"/>
      <c r="B62" s="362"/>
      <c r="C62" s="362"/>
      <c r="D62" s="362"/>
      <c r="E62" s="362"/>
    </row>
    <row r="63" spans="1:20" x14ac:dyDescent="0.25">
      <c r="A63" s="265"/>
      <c r="B63" s="362"/>
      <c r="C63" s="362"/>
      <c r="D63" s="362"/>
      <c r="E63" s="362"/>
    </row>
    <row r="64" spans="1:20" ht="15.75" thickBot="1" x14ac:dyDescent="0.3">
      <c r="B64" s="364"/>
      <c r="C64" s="364"/>
      <c r="D64" s="364"/>
      <c r="E64" s="364"/>
    </row>
    <row r="65" spans="1:27" ht="15.75" customHeight="1" thickBot="1" x14ac:dyDescent="0.3">
      <c r="A65" s="353"/>
      <c r="B65" s="388" t="s">
        <v>299</v>
      </c>
      <c r="C65" s="388" t="s">
        <v>55</v>
      </c>
      <c r="D65" s="400" t="s">
        <v>324</v>
      </c>
      <c r="E65" s="400" t="s">
        <v>55</v>
      </c>
      <c r="F65" s="388" t="s">
        <v>46</v>
      </c>
      <c r="G65" s="388" t="s">
        <v>309</v>
      </c>
      <c r="H65" s="388" t="s">
        <v>55</v>
      </c>
      <c r="I65" s="400" t="s">
        <v>330</v>
      </c>
      <c r="J65" s="400" t="s">
        <v>55</v>
      </c>
      <c r="K65" s="388" t="s">
        <v>46</v>
      </c>
      <c r="L65" s="388" t="s">
        <v>299</v>
      </c>
      <c r="M65" s="400" t="s">
        <v>324</v>
      </c>
      <c r="N65" s="388" t="s">
        <v>307</v>
      </c>
      <c r="O65" s="400" t="s">
        <v>329</v>
      </c>
      <c r="P65" s="388" t="s">
        <v>313</v>
      </c>
      <c r="Q65" s="400" t="s">
        <v>334</v>
      </c>
      <c r="R65" s="388" t="s">
        <v>320</v>
      </c>
      <c r="S65" s="388" t="s">
        <v>55</v>
      </c>
      <c r="T65" s="400" t="s">
        <v>337</v>
      </c>
      <c r="U65" s="400" t="s">
        <v>55</v>
      </c>
      <c r="V65" s="388" t="s">
        <v>46</v>
      </c>
      <c r="W65" s="388" t="s">
        <v>340</v>
      </c>
      <c r="X65" s="388" t="s">
        <v>55</v>
      </c>
      <c r="Y65" s="400" t="s">
        <v>338</v>
      </c>
      <c r="Z65" s="400" t="s">
        <v>55</v>
      </c>
      <c r="AA65" s="388" t="s">
        <v>46</v>
      </c>
    </row>
    <row r="66" spans="1:27" ht="15.75" thickTop="1" x14ac:dyDescent="0.25">
      <c r="A66" s="390" t="s">
        <v>193</v>
      </c>
      <c r="B66" s="389"/>
      <c r="C66" s="389"/>
      <c r="D66" s="401"/>
      <c r="E66" s="406"/>
      <c r="F66" s="389"/>
      <c r="G66" s="389"/>
      <c r="H66" s="389"/>
      <c r="I66" s="401"/>
      <c r="J66" s="406"/>
      <c r="K66" s="389"/>
      <c r="L66" s="389"/>
      <c r="M66" s="401"/>
      <c r="N66" s="389"/>
      <c r="O66" s="401"/>
      <c r="P66" s="389"/>
      <c r="Q66" s="401"/>
      <c r="R66" s="389"/>
      <c r="S66" s="389"/>
      <c r="T66" s="401"/>
      <c r="U66" s="406"/>
      <c r="V66" s="389"/>
      <c r="W66" s="389"/>
      <c r="X66" s="389"/>
      <c r="Y66" s="401"/>
      <c r="Z66" s="406"/>
      <c r="AA66" s="389"/>
    </row>
    <row r="67" spans="1:27" ht="15.75" thickBot="1" x14ac:dyDescent="0.3">
      <c r="A67" s="391" t="s">
        <v>292</v>
      </c>
      <c r="B67" s="458">
        <v>2245742</v>
      </c>
      <c r="C67" s="387">
        <f t="shared" ref="C67:C87" si="17">+B67/$B$67</f>
        <v>1</v>
      </c>
      <c r="D67" s="395">
        <v>2659333</v>
      </c>
      <c r="E67" s="387">
        <f t="shared" ref="E67:E87" si="18">+D67/$D$67</f>
        <v>1</v>
      </c>
      <c r="F67" s="387">
        <f>(D67-B67)/B67</f>
        <v>0.18416674756049448</v>
      </c>
      <c r="G67" s="458">
        <v>4646417</v>
      </c>
      <c r="H67" s="387">
        <f>G67/$G$67</f>
        <v>1</v>
      </c>
      <c r="I67" s="395">
        <v>5324782</v>
      </c>
      <c r="J67" s="387">
        <f>I67/$I$67</f>
        <v>1</v>
      </c>
      <c r="K67" s="387">
        <f>(I67-G67)/G67</f>
        <v>0.1459974427607337</v>
      </c>
      <c r="L67" s="458">
        <v>2245742</v>
      </c>
      <c r="M67" s="395">
        <v>2659333</v>
      </c>
      <c r="N67" s="458">
        <v>2400675</v>
      </c>
      <c r="O67" s="395">
        <v>2665449</v>
      </c>
      <c r="P67" s="458">
        <v>2553619</v>
      </c>
      <c r="Q67" s="395">
        <v>2853488</v>
      </c>
      <c r="R67" s="458">
        <v>2758815</v>
      </c>
      <c r="S67" s="387">
        <f t="shared" ref="S67:S87" si="19">R67/$R$67</f>
        <v>1</v>
      </c>
      <c r="T67" s="395">
        <v>2949271</v>
      </c>
      <c r="U67" s="387">
        <f>T67/$T$67</f>
        <v>1</v>
      </c>
      <c r="V67" s="387">
        <f>(T67-R67)/R67</f>
        <v>6.9035437316384021E-2</v>
      </c>
      <c r="W67" s="458">
        <f>L67+N67+P67+R67</f>
        <v>9958851</v>
      </c>
      <c r="X67" s="387">
        <f>W67/$W$67</f>
        <v>1</v>
      </c>
      <c r="Y67" s="395">
        <f>M67+O67+Q67+T67</f>
        <v>11127541</v>
      </c>
      <c r="Z67" s="387">
        <f t="shared" ref="Z67:Z87" si="20">Y67/$Y$67</f>
        <v>1</v>
      </c>
      <c r="AA67" s="387">
        <f>(Y67-W67)/W67</f>
        <v>0.11735189129750008</v>
      </c>
    </row>
    <row r="68" spans="1:27" ht="15.75" thickBot="1" x14ac:dyDescent="0.3">
      <c r="A68" s="392" t="s">
        <v>273</v>
      </c>
      <c r="B68" s="460">
        <v>-1253514</v>
      </c>
      <c r="C68" s="384">
        <f t="shared" si="17"/>
        <v>-0.55817364594864416</v>
      </c>
      <c r="D68" s="456">
        <v>-1526792</v>
      </c>
      <c r="E68" s="407">
        <f t="shared" si="18"/>
        <v>-0.57412591804035074</v>
      </c>
      <c r="F68" s="384">
        <f t="shared" ref="F68:F87" si="21">(D68-B68)/B68</f>
        <v>0.21800953160475273</v>
      </c>
      <c r="G68" s="460">
        <v>-2583703</v>
      </c>
      <c r="H68" s="384">
        <f t="shared" ref="H68:H93" si="22">G68/$G$67</f>
        <v>-0.55606352163398165</v>
      </c>
      <c r="I68" s="456">
        <v>-3068367</v>
      </c>
      <c r="J68" s="407">
        <f t="shared" ref="J68:J93" si="23">I68/$I$67</f>
        <v>-0.57624274571240663</v>
      </c>
      <c r="K68" s="384">
        <f t="shared" ref="K68:K93" si="24">(I68-G68)/G68</f>
        <v>0.18758502815532591</v>
      </c>
      <c r="L68" s="460">
        <v>-1253514</v>
      </c>
      <c r="M68" s="456">
        <v>-1526792</v>
      </c>
      <c r="N68" s="460">
        <v>-1330189</v>
      </c>
      <c r="O68" s="456">
        <v>-1541575</v>
      </c>
      <c r="P68" s="460">
        <v>-1426054</v>
      </c>
      <c r="Q68" s="456">
        <v>-1674132</v>
      </c>
      <c r="R68" s="460">
        <v>-1555832</v>
      </c>
      <c r="S68" s="384">
        <f t="shared" si="19"/>
        <v>-0.56394937681577051</v>
      </c>
      <c r="T68" s="456">
        <v>-1722629</v>
      </c>
      <c r="U68" s="407">
        <f t="shared" ref="U68:U93" si="25">T68/$T$67</f>
        <v>-0.58408637253070339</v>
      </c>
      <c r="V68" s="384">
        <f t="shared" ref="V68:V93" si="26">(T68-R68)/R68</f>
        <v>0.10720759053676747</v>
      </c>
      <c r="W68" s="460">
        <f t="shared" ref="W68:W93" si="27">L68+N68+P68+R68</f>
        <v>-5565589</v>
      </c>
      <c r="X68" s="384">
        <f t="shared" ref="X68:X93" si="28">W68/$W$67</f>
        <v>-0.55885854703519511</v>
      </c>
      <c r="Y68" s="456">
        <f t="shared" ref="Y68:Y93" si="29">M68+O68+Q68+T68</f>
        <v>-6465128</v>
      </c>
      <c r="Z68" s="407">
        <f t="shared" si="20"/>
        <v>-0.58100239756474503</v>
      </c>
      <c r="AA68" s="384">
        <f t="shared" ref="AA68:AA93" si="30">(Y68-W68)/W68</f>
        <v>0.16162512179753122</v>
      </c>
    </row>
    <row r="69" spans="1:27" ht="15.75" thickBot="1" x14ac:dyDescent="0.3">
      <c r="A69" s="393" t="s">
        <v>196</v>
      </c>
      <c r="B69" s="461">
        <f>SUM(B67:B68)</f>
        <v>992228</v>
      </c>
      <c r="C69" s="386">
        <f t="shared" si="17"/>
        <v>0.44182635405135584</v>
      </c>
      <c r="D69" s="457">
        <f>SUM(D67:D68)</f>
        <v>1132541</v>
      </c>
      <c r="E69" s="408">
        <f t="shared" si="18"/>
        <v>0.42587408195964926</v>
      </c>
      <c r="F69" s="386">
        <f t="shared" si="21"/>
        <v>0.14141205448747668</v>
      </c>
      <c r="G69" s="461">
        <f>SUM(G67:G68)</f>
        <v>2062714</v>
      </c>
      <c r="H69" s="386">
        <f t="shared" si="22"/>
        <v>0.44393647836601835</v>
      </c>
      <c r="I69" s="457">
        <f>SUM(I67:I68)</f>
        <v>2256415</v>
      </c>
      <c r="J69" s="408">
        <f t="shared" si="23"/>
        <v>0.42375725428759337</v>
      </c>
      <c r="K69" s="386">
        <f t="shared" si="24"/>
        <v>9.3905892915838063E-2</v>
      </c>
      <c r="L69" s="461">
        <f t="shared" ref="L69:R69" si="31">SUM(L67:L68)</f>
        <v>992228</v>
      </c>
      <c r="M69" s="457">
        <f t="shared" si="31"/>
        <v>1132541</v>
      </c>
      <c r="N69" s="461">
        <f t="shared" si="31"/>
        <v>1070486</v>
      </c>
      <c r="O69" s="457">
        <f t="shared" si="31"/>
        <v>1123874</v>
      </c>
      <c r="P69" s="461">
        <f t="shared" si="31"/>
        <v>1127565</v>
      </c>
      <c r="Q69" s="457">
        <f t="shared" si="31"/>
        <v>1179356</v>
      </c>
      <c r="R69" s="461">
        <f t="shared" si="31"/>
        <v>1202983</v>
      </c>
      <c r="S69" s="386">
        <f t="shared" si="19"/>
        <v>0.43605062318422944</v>
      </c>
      <c r="T69" s="457">
        <f>SUM(T67:T68)</f>
        <v>1226642</v>
      </c>
      <c r="U69" s="408">
        <f t="shared" si="25"/>
        <v>0.41591362746929667</v>
      </c>
      <c r="V69" s="386">
        <f t="shared" si="26"/>
        <v>1.9666944586914363E-2</v>
      </c>
      <c r="W69" s="461">
        <f t="shared" si="27"/>
        <v>4393262</v>
      </c>
      <c r="X69" s="386">
        <f t="shared" si="28"/>
        <v>0.44114145296480489</v>
      </c>
      <c r="Y69" s="457">
        <f t="shared" si="29"/>
        <v>4662413</v>
      </c>
      <c r="Z69" s="408">
        <f t="shared" si="20"/>
        <v>0.41899760243525502</v>
      </c>
      <c r="AA69" s="386">
        <f t="shared" si="30"/>
        <v>6.1264500045751881E-2</v>
      </c>
    </row>
    <row r="70" spans="1:27" ht="15.75" thickBot="1" x14ac:dyDescent="0.3">
      <c r="A70" s="392" t="s">
        <v>7</v>
      </c>
      <c r="B70" s="460">
        <v>-104388</v>
      </c>
      <c r="C70" s="384">
        <f t="shared" si="17"/>
        <v>-4.6482632466240556E-2</v>
      </c>
      <c r="D70" s="456">
        <v>-118843</v>
      </c>
      <c r="E70" s="407">
        <f t="shared" si="18"/>
        <v>-4.4689025405994662E-2</v>
      </c>
      <c r="F70" s="384">
        <f t="shared" si="21"/>
        <v>0.13847377093152469</v>
      </c>
      <c r="G70" s="460">
        <v>-213170</v>
      </c>
      <c r="H70" s="384">
        <f t="shared" si="22"/>
        <v>-4.5878361757026975E-2</v>
      </c>
      <c r="I70" s="456">
        <v>-238385</v>
      </c>
      <c r="J70" s="407">
        <f t="shared" si="23"/>
        <v>-4.4768968945583125E-2</v>
      </c>
      <c r="K70" s="384">
        <f t="shared" si="24"/>
        <v>0.11828587512314115</v>
      </c>
      <c r="L70" s="460">
        <v>-104388</v>
      </c>
      <c r="M70" s="456">
        <v>-118843</v>
      </c>
      <c r="N70" s="460">
        <v>-108782</v>
      </c>
      <c r="O70" s="456">
        <v>-119542</v>
      </c>
      <c r="P70" s="460">
        <v>-111656</v>
      </c>
      <c r="Q70" s="456">
        <v>-120091</v>
      </c>
      <c r="R70" s="460">
        <v>-142506</v>
      </c>
      <c r="S70" s="384">
        <f t="shared" si="19"/>
        <v>-5.1654786565971257E-2</v>
      </c>
      <c r="T70" s="456">
        <v>-125259</v>
      </c>
      <c r="U70" s="407">
        <f t="shared" si="25"/>
        <v>-4.2471173384880538E-2</v>
      </c>
      <c r="V70" s="384">
        <f t="shared" si="26"/>
        <v>-0.12102648309544861</v>
      </c>
      <c r="W70" s="460">
        <f t="shared" si="27"/>
        <v>-467332</v>
      </c>
      <c r="X70" s="384">
        <f t="shared" si="28"/>
        <v>-4.6926297019605975E-2</v>
      </c>
      <c r="Y70" s="456">
        <f t="shared" si="29"/>
        <v>-483735</v>
      </c>
      <c r="Z70" s="407">
        <f t="shared" si="20"/>
        <v>-4.3471868582645526E-2</v>
      </c>
      <c r="AA70" s="384">
        <f t="shared" si="30"/>
        <v>3.5099244220382943E-2</v>
      </c>
    </row>
    <row r="71" spans="1:27" ht="15.75" thickBot="1" x14ac:dyDescent="0.3">
      <c r="A71" s="392" t="s">
        <v>8</v>
      </c>
      <c r="B71" s="460">
        <v>-625569</v>
      </c>
      <c r="C71" s="384">
        <f t="shared" si="17"/>
        <v>-0.27855782186911943</v>
      </c>
      <c r="D71" s="456">
        <v>-706386</v>
      </c>
      <c r="E71" s="407">
        <f t="shared" si="18"/>
        <v>-0.2656252526479384</v>
      </c>
      <c r="F71" s="384">
        <f t="shared" si="21"/>
        <v>0.12918958580108669</v>
      </c>
      <c r="G71" s="460">
        <v>-1317157</v>
      </c>
      <c r="H71" s="384">
        <f t="shared" si="22"/>
        <v>-0.28347800036027759</v>
      </c>
      <c r="I71" s="456">
        <v>-1382895</v>
      </c>
      <c r="J71" s="407">
        <f t="shared" si="23"/>
        <v>-0.25970922377667294</v>
      </c>
      <c r="K71" s="384">
        <f t="shared" si="24"/>
        <v>4.9909008569213847E-2</v>
      </c>
      <c r="L71" s="460">
        <v>-625569</v>
      </c>
      <c r="M71" s="456">
        <v>-706386</v>
      </c>
      <c r="N71" s="460">
        <v>-691588</v>
      </c>
      <c r="O71" s="456">
        <v>-676509</v>
      </c>
      <c r="P71" s="460">
        <v>-727342</v>
      </c>
      <c r="Q71" s="456">
        <v>-736941</v>
      </c>
      <c r="R71" s="460">
        <v>-787995</v>
      </c>
      <c r="S71" s="384">
        <f t="shared" si="19"/>
        <v>-0.28562806857291989</v>
      </c>
      <c r="T71" s="456">
        <v>-842727</v>
      </c>
      <c r="U71" s="407">
        <f t="shared" si="25"/>
        <v>-0.28574078136597147</v>
      </c>
      <c r="V71" s="384">
        <f t="shared" si="26"/>
        <v>6.945729351074563E-2</v>
      </c>
      <c r="W71" s="460">
        <f t="shared" si="27"/>
        <v>-2832494</v>
      </c>
      <c r="X71" s="384">
        <f t="shared" si="28"/>
        <v>-0.28441975886575671</v>
      </c>
      <c r="Y71" s="456">
        <f t="shared" si="29"/>
        <v>-2962563</v>
      </c>
      <c r="Z71" s="407">
        <f t="shared" si="20"/>
        <v>-0.26623698802817264</v>
      </c>
      <c r="AA71" s="384">
        <f t="shared" si="30"/>
        <v>4.5920309098624747E-2</v>
      </c>
    </row>
    <row r="72" spans="1:27" ht="15.75" thickBot="1" x14ac:dyDescent="0.3">
      <c r="A72" s="392" t="s">
        <v>84</v>
      </c>
      <c r="B72" s="460">
        <v>-33782</v>
      </c>
      <c r="C72" s="384">
        <f t="shared" si="17"/>
        <v>-1.5042689676730453E-2</v>
      </c>
      <c r="D72" s="456">
        <v>-38263</v>
      </c>
      <c r="E72" s="407">
        <f t="shared" si="18"/>
        <v>-1.4388194332939877E-2</v>
      </c>
      <c r="F72" s="384">
        <f t="shared" si="21"/>
        <v>0.13264460363507194</v>
      </c>
      <c r="G72" s="460">
        <v>-72901</v>
      </c>
      <c r="H72" s="384">
        <f t="shared" si="22"/>
        <v>-1.5689723931364748E-2</v>
      </c>
      <c r="I72" s="456">
        <v>-89479</v>
      </c>
      <c r="J72" s="407">
        <f t="shared" si="23"/>
        <v>-1.6804256024002484E-2</v>
      </c>
      <c r="K72" s="384">
        <f t="shared" si="24"/>
        <v>0.22740428800702323</v>
      </c>
      <c r="L72" s="460">
        <v>-33782</v>
      </c>
      <c r="M72" s="456">
        <v>-38263</v>
      </c>
      <c r="N72" s="460">
        <v>-39119</v>
      </c>
      <c r="O72" s="456">
        <v>-51216</v>
      </c>
      <c r="P72" s="460">
        <v>-40710</v>
      </c>
      <c r="Q72" s="456">
        <v>-58421</v>
      </c>
      <c r="R72" s="460">
        <v>-49240</v>
      </c>
      <c r="S72" s="384">
        <f t="shared" si="19"/>
        <v>-1.7848242814396762E-2</v>
      </c>
      <c r="T72" s="456">
        <v>-61069</v>
      </c>
      <c r="U72" s="407">
        <f t="shared" si="25"/>
        <v>-2.0706472887706828E-2</v>
      </c>
      <c r="V72" s="384">
        <f t="shared" si="26"/>
        <v>0.2402315190901706</v>
      </c>
      <c r="W72" s="460">
        <f t="shared" si="27"/>
        <v>-162851</v>
      </c>
      <c r="X72" s="384">
        <f t="shared" si="28"/>
        <v>-1.6352388443204944E-2</v>
      </c>
      <c r="Y72" s="456">
        <f t="shared" si="29"/>
        <v>-208969</v>
      </c>
      <c r="Z72" s="407">
        <f t="shared" si="20"/>
        <v>-1.8779441028345795E-2</v>
      </c>
      <c r="AA72" s="384">
        <f t="shared" si="30"/>
        <v>0.28319138353464207</v>
      </c>
    </row>
    <row r="73" spans="1:27" ht="15.75" thickBot="1" x14ac:dyDescent="0.3">
      <c r="A73" s="392" t="s">
        <v>197</v>
      </c>
      <c r="B73" s="460">
        <v>3810</v>
      </c>
      <c r="C73" s="384">
        <f t="shared" si="17"/>
        <v>1.6965439485034344E-3</v>
      </c>
      <c r="D73" s="456">
        <v>-13838</v>
      </c>
      <c r="E73" s="407">
        <f t="shared" si="18"/>
        <v>-5.2035604416596189E-3</v>
      </c>
      <c r="F73" s="384" t="s">
        <v>131</v>
      </c>
      <c r="G73" s="460">
        <v>4664</v>
      </c>
      <c r="H73" s="384">
        <f t="shared" si="22"/>
        <v>1.0037842061958709E-3</v>
      </c>
      <c r="I73" s="456">
        <v>-311</v>
      </c>
      <c r="J73" s="407">
        <f t="shared" si="23"/>
        <v>-5.8406146955875375E-5</v>
      </c>
      <c r="K73" s="384">
        <f t="shared" si="24"/>
        <v>-1.0666809605488852</v>
      </c>
      <c r="L73" s="460">
        <v>3810</v>
      </c>
      <c r="M73" s="456">
        <v>-13838</v>
      </c>
      <c r="N73" s="460">
        <v>854</v>
      </c>
      <c r="O73" s="456">
        <v>13527</v>
      </c>
      <c r="P73" s="460">
        <v>-1361</v>
      </c>
      <c r="Q73" s="456">
        <v>2025</v>
      </c>
      <c r="R73" s="460">
        <v>20358</v>
      </c>
      <c r="S73" s="384">
        <f t="shared" si="19"/>
        <v>7.3792552237101801E-3</v>
      </c>
      <c r="T73" s="456">
        <v>9818</v>
      </c>
      <c r="U73" s="407">
        <f t="shared" si="25"/>
        <v>3.3289582408669804E-3</v>
      </c>
      <c r="V73" s="384">
        <f t="shared" si="26"/>
        <v>-0.51773258669810396</v>
      </c>
      <c r="W73" s="460">
        <f t="shared" si="27"/>
        <v>23661</v>
      </c>
      <c r="X73" s="384">
        <f t="shared" si="28"/>
        <v>2.3758764941859255E-3</v>
      </c>
      <c r="Y73" s="456">
        <f t="shared" si="29"/>
        <v>11532</v>
      </c>
      <c r="Z73" s="407">
        <f t="shared" si="20"/>
        <v>1.0363475632217396E-3</v>
      </c>
      <c r="AA73" s="384">
        <f t="shared" si="30"/>
        <v>-0.51261569671611518</v>
      </c>
    </row>
    <row r="74" spans="1:27" ht="15.75" thickBot="1" x14ac:dyDescent="0.3">
      <c r="A74" s="392" t="s">
        <v>144</v>
      </c>
      <c r="B74" s="460">
        <v>-2136</v>
      </c>
      <c r="C74" s="384">
        <f t="shared" si="17"/>
        <v>-9.5113330026334278E-4</v>
      </c>
      <c r="D74" s="456">
        <v>1430</v>
      </c>
      <c r="E74" s="407">
        <f t="shared" si="18"/>
        <v>5.3772882147515939E-4</v>
      </c>
      <c r="F74" s="384">
        <f t="shared" si="21"/>
        <v>-1.6694756554307115</v>
      </c>
      <c r="G74" s="460">
        <v>1174</v>
      </c>
      <c r="H74" s="384">
        <f t="shared" si="22"/>
        <v>2.5266780833489548E-4</v>
      </c>
      <c r="I74" s="456">
        <v>-8501</v>
      </c>
      <c r="J74" s="407">
        <f t="shared" si="23"/>
        <v>-1.5964972838324648E-3</v>
      </c>
      <c r="K74" s="384" t="s">
        <v>131</v>
      </c>
      <c r="L74" s="460">
        <v>-2136</v>
      </c>
      <c r="M74" s="456">
        <v>1430</v>
      </c>
      <c r="N74" s="460">
        <v>3310</v>
      </c>
      <c r="O74" s="456">
        <v>-9931</v>
      </c>
      <c r="P74" s="460">
        <v>-2746</v>
      </c>
      <c r="Q74" s="456">
        <v>-2853</v>
      </c>
      <c r="R74" s="460">
        <v>4077</v>
      </c>
      <c r="S74" s="384">
        <f t="shared" si="19"/>
        <v>1.477808406870341E-3</v>
      </c>
      <c r="T74" s="456">
        <v>12264</v>
      </c>
      <c r="U74" s="407">
        <f t="shared" si="25"/>
        <v>4.1583157329387497E-3</v>
      </c>
      <c r="V74" s="384">
        <f t="shared" si="26"/>
        <v>2.008094186902134</v>
      </c>
      <c r="W74" s="460">
        <f t="shared" si="27"/>
        <v>2505</v>
      </c>
      <c r="X74" s="384">
        <f t="shared" si="28"/>
        <v>2.5153504154244298E-4</v>
      </c>
      <c r="Y74" s="456">
        <f t="shared" si="29"/>
        <v>910</v>
      </c>
      <c r="Z74" s="407">
        <f t="shared" si="20"/>
        <v>8.1779074100917708E-5</v>
      </c>
      <c r="AA74" s="384">
        <f t="shared" si="30"/>
        <v>-0.63672654690618757</v>
      </c>
    </row>
    <row r="75" spans="1:27" ht="16.5" customHeight="1" thickBot="1" x14ac:dyDescent="0.3">
      <c r="A75" s="391" t="s">
        <v>198</v>
      </c>
      <c r="B75" s="458">
        <f>SUM(B69:B74)</f>
        <v>230163</v>
      </c>
      <c r="C75" s="387">
        <f t="shared" si="17"/>
        <v>0.10248862068750551</v>
      </c>
      <c r="D75" s="458">
        <f>SUM(D69:D74)</f>
        <v>256641</v>
      </c>
      <c r="E75" s="387">
        <f t="shared" si="18"/>
        <v>9.6505777952591867E-2</v>
      </c>
      <c r="F75" s="387">
        <f t="shared" si="21"/>
        <v>0.11504021063333376</v>
      </c>
      <c r="G75" s="458">
        <f>SUM(G69:G74)</f>
        <v>465324</v>
      </c>
      <c r="H75" s="387">
        <f t="shared" si="22"/>
        <v>0.10014684433187981</v>
      </c>
      <c r="I75" s="458">
        <f>SUM(I69:I74)</f>
        <v>536844</v>
      </c>
      <c r="J75" s="387">
        <f t="shared" si="23"/>
        <v>0.10081990211054649</v>
      </c>
      <c r="K75" s="387">
        <f t="shared" si="24"/>
        <v>0.15369935786677669</v>
      </c>
      <c r="L75" s="458">
        <f t="shared" ref="L75:R75" si="32">SUM(L69:L74)</f>
        <v>230163</v>
      </c>
      <c r="M75" s="458">
        <f t="shared" si="32"/>
        <v>256641</v>
      </c>
      <c r="N75" s="458">
        <f t="shared" si="32"/>
        <v>235161</v>
      </c>
      <c r="O75" s="458">
        <f t="shared" si="32"/>
        <v>280203</v>
      </c>
      <c r="P75" s="458">
        <f t="shared" si="32"/>
        <v>243750</v>
      </c>
      <c r="Q75" s="458">
        <f t="shared" si="32"/>
        <v>263075</v>
      </c>
      <c r="R75" s="458">
        <f t="shared" si="32"/>
        <v>247677</v>
      </c>
      <c r="S75" s="387">
        <f t="shared" si="19"/>
        <v>8.9776588861522066E-2</v>
      </c>
      <c r="T75" s="458">
        <f>SUM(T69:T74)</f>
        <v>219669</v>
      </c>
      <c r="U75" s="387">
        <f t="shared" si="25"/>
        <v>7.4482473804543564E-2</v>
      </c>
      <c r="V75" s="387">
        <f t="shared" si="26"/>
        <v>-0.11308276505287128</v>
      </c>
      <c r="W75" s="458">
        <f t="shared" si="27"/>
        <v>956751</v>
      </c>
      <c r="X75" s="387">
        <f t="shared" si="28"/>
        <v>9.6070420171965626E-2</v>
      </c>
      <c r="Y75" s="458">
        <f t="shared" si="29"/>
        <v>1019588</v>
      </c>
      <c r="Z75" s="387">
        <f t="shared" si="20"/>
        <v>9.1627431433413731E-2</v>
      </c>
      <c r="AA75" s="387">
        <f t="shared" si="30"/>
        <v>6.5677485573571392E-2</v>
      </c>
    </row>
    <row r="76" spans="1:27" ht="15.75" thickBot="1" x14ac:dyDescent="0.3">
      <c r="A76" s="392" t="s">
        <v>51</v>
      </c>
      <c r="B76" s="460">
        <v>3427</v>
      </c>
      <c r="C76" s="384">
        <f t="shared" si="17"/>
        <v>1.5259989794019081E-3</v>
      </c>
      <c r="D76" s="456">
        <v>4300</v>
      </c>
      <c r="E76" s="407">
        <f t="shared" si="18"/>
        <v>1.6169468058343953E-3</v>
      </c>
      <c r="F76" s="384">
        <f t="shared" si="21"/>
        <v>0.25474175663845927</v>
      </c>
      <c r="G76" s="460">
        <v>7114</v>
      </c>
      <c r="H76" s="384">
        <f t="shared" si="22"/>
        <v>1.5310722218862406E-3</v>
      </c>
      <c r="I76" s="456">
        <v>9702</v>
      </c>
      <c r="J76" s="407">
        <f t="shared" si="23"/>
        <v>1.8220464236845752E-3</v>
      </c>
      <c r="K76" s="384">
        <f t="shared" si="24"/>
        <v>0.36378971043013775</v>
      </c>
      <c r="L76" s="460">
        <v>3427</v>
      </c>
      <c r="M76" s="456">
        <v>4300</v>
      </c>
      <c r="N76" s="460">
        <v>3687</v>
      </c>
      <c r="O76" s="456">
        <v>5402</v>
      </c>
      <c r="P76" s="460">
        <v>8737</v>
      </c>
      <c r="Q76" s="456">
        <v>5643</v>
      </c>
      <c r="R76" s="460">
        <v>6443</v>
      </c>
      <c r="S76" s="384">
        <f t="shared" si="19"/>
        <v>2.335422998642533E-3</v>
      </c>
      <c r="T76" s="456">
        <v>8677</v>
      </c>
      <c r="U76" s="407">
        <f t="shared" si="25"/>
        <v>2.9420829757590946E-3</v>
      </c>
      <c r="V76" s="384">
        <f t="shared" si="26"/>
        <v>0.34673288840602207</v>
      </c>
      <c r="W76" s="460">
        <f t="shared" si="27"/>
        <v>22294</v>
      </c>
      <c r="X76" s="384">
        <f t="shared" si="28"/>
        <v>2.2386116631326245E-3</v>
      </c>
      <c r="Y76" s="456">
        <f t="shared" si="29"/>
        <v>24022</v>
      </c>
      <c r="Z76" s="407">
        <f t="shared" si="20"/>
        <v>2.1587878220354346E-3</v>
      </c>
      <c r="AA76" s="384">
        <f t="shared" si="30"/>
        <v>7.7509643850363324E-2</v>
      </c>
    </row>
    <row r="77" spans="1:27" ht="15.75" thickBot="1" x14ac:dyDescent="0.3">
      <c r="A77" s="392" t="s">
        <v>11</v>
      </c>
      <c r="B77" s="460">
        <v>-72588</v>
      </c>
      <c r="C77" s="384">
        <f t="shared" si="17"/>
        <v>-3.2322501872432366E-2</v>
      </c>
      <c r="D77" s="456">
        <v>-77029</v>
      </c>
      <c r="E77" s="407">
        <f t="shared" si="18"/>
        <v>-2.8965533838748288E-2</v>
      </c>
      <c r="F77" s="384">
        <f t="shared" si="21"/>
        <v>6.1180911445417978E-2</v>
      </c>
      <c r="G77" s="460">
        <v>-147477</v>
      </c>
      <c r="H77" s="384">
        <f t="shared" si="22"/>
        <v>-3.1739940689783114E-2</v>
      </c>
      <c r="I77" s="456">
        <v>-155031</v>
      </c>
      <c r="J77" s="407">
        <f t="shared" si="23"/>
        <v>-2.9114994754714841E-2</v>
      </c>
      <c r="K77" s="384">
        <f t="shared" si="24"/>
        <v>5.1221546410626741E-2</v>
      </c>
      <c r="L77" s="460">
        <v>-72588</v>
      </c>
      <c r="M77" s="456">
        <v>-77029</v>
      </c>
      <c r="N77" s="460">
        <v>-74889</v>
      </c>
      <c r="O77" s="456">
        <v>-78002</v>
      </c>
      <c r="P77" s="460">
        <v>-76301</v>
      </c>
      <c r="Q77" s="456">
        <v>-65093</v>
      </c>
      <c r="R77" s="460">
        <v>-78525</v>
      </c>
      <c r="S77" s="384">
        <f t="shared" si="19"/>
        <v>-2.8463307615769814E-2</v>
      </c>
      <c r="T77" s="456">
        <v>-62754</v>
      </c>
      <c r="U77" s="407">
        <f t="shared" si="25"/>
        <v>-2.1277800514093143E-2</v>
      </c>
      <c r="V77" s="384">
        <f t="shared" si="26"/>
        <v>-0.20084049665711556</v>
      </c>
      <c r="W77" s="460">
        <f t="shared" si="27"/>
        <v>-302303</v>
      </c>
      <c r="X77" s="384">
        <f t="shared" si="28"/>
        <v>-3.0355208648065925E-2</v>
      </c>
      <c r="Y77" s="456">
        <f t="shared" si="29"/>
        <v>-282878</v>
      </c>
      <c r="Z77" s="407">
        <f t="shared" si="20"/>
        <v>-2.5421429586285058E-2</v>
      </c>
      <c r="AA77" s="384">
        <f t="shared" si="30"/>
        <v>-6.4256722559815807E-2</v>
      </c>
    </row>
    <row r="78" spans="1:27" ht="15.75" thickBot="1" x14ac:dyDescent="0.3">
      <c r="A78" s="392" t="s">
        <v>272</v>
      </c>
      <c r="B78" s="460">
        <v>61493</v>
      </c>
      <c r="C78" s="384">
        <f t="shared" si="17"/>
        <v>2.7382041213995196E-2</v>
      </c>
      <c r="D78" s="456">
        <v>65582</v>
      </c>
      <c r="E78" s="407">
        <f t="shared" si="18"/>
        <v>2.4661071027960772E-2</v>
      </c>
      <c r="F78" s="384">
        <f t="shared" si="21"/>
        <v>6.649537345714146E-2</v>
      </c>
      <c r="G78" s="460">
        <v>61503</v>
      </c>
      <c r="H78" s="384">
        <f t="shared" si="22"/>
        <v>1.3236650950614205E-2</v>
      </c>
      <c r="I78" s="456">
        <v>68694</v>
      </c>
      <c r="J78" s="407">
        <f t="shared" si="23"/>
        <v>1.290080983597075E-2</v>
      </c>
      <c r="K78" s="384">
        <f t="shared" si="24"/>
        <v>0.11692112579874152</v>
      </c>
      <c r="L78" s="460">
        <v>61493</v>
      </c>
      <c r="M78" s="456">
        <v>65582</v>
      </c>
      <c r="N78" s="460">
        <v>10</v>
      </c>
      <c r="O78" s="456">
        <v>3112</v>
      </c>
      <c r="P78" s="460">
        <v>13</v>
      </c>
      <c r="Q78" s="456">
        <v>575</v>
      </c>
      <c r="R78" s="460">
        <v>0</v>
      </c>
      <c r="S78" s="384">
        <f t="shared" si="19"/>
        <v>0</v>
      </c>
      <c r="T78" s="456">
        <v>2</v>
      </c>
      <c r="U78" s="407">
        <f t="shared" si="25"/>
        <v>6.7813368117070288E-7</v>
      </c>
      <c r="V78" s="473" t="s">
        <v>131</v>
      </c>
      <c r="W78" s="460">
        <f t="shared" si="27"/>
        <v>61516</v>
      </c>
      <c r="X78" s="384">
        <f t="shared" si="28"/>
        <v>6.1770178105887922E-3</v>
      </c>
      <c r="Y78" s="456">
        <f t="shared" si="29"/>
        <v>69271</v>
      </c>
      <c r="Z78" s="407">
        <f t="shared" si="20"/>
        <v>6.2251848813677704E-3</v>
      </c>
      <c r="AA78" s="384">
        <f t="shared" si="30"/>
        <v>0.12606476363872812</v>
      </c>
    </row>
    <row r="79" spans="1:27" ht="15.75" thickBot="1" x14ac:dyDescent="0.3">
      <c r="A79" s="392" t="s">
        <v>200</v>
      </c>
      <c r="B79" s="460">
        <v>702</v>
      </c>
      <c r="C79" s="384">
        <f t="shared" si="17"/>
        <v>3.1259156216519973E-4</v>
      </c>
      <c r="D79" s="456">
        <v>16393</v>
      </c>
      <c r="E79" s="407">
        <f t="shared" si="18"/>
        <v>6.164327671637963E-3</v>
      </c>
      <c r="F79" s="384" t="s">
        <v>131</v>
      </c>
      <c r="G79" s="460">
        <v>-735</v>
      </c>
      <c r="H79" s="384">
        <f t="shared" si="22"/>
        <v>-1.5818640470711089E-4</v>
      </c>
      <c r="I79" s="456">
        <v>-121</v>
      </c>
      <c r="J79" s="407">
        <f t="shared" si="23"/>
        <v>-2.272393498926341E-5</v>
      </c>
      <c r="K79" s="384">
        <f t="shared" si="24"/>
        <v>-0.8353741496598639</v>
      </c>
      <c r="L79" s="460">
        <v>702</v>
      </c>
      <c r="M79" s="456">
        <v>16393</v>
      </c>
      <c r="N79" s="460">
        <v>-1437</v>
      </c>
      <c r="O79" s="456">
        <v>-16514</v>
      </c>
      <c r="P79" s="460">
        <v>7478</v>
      </c>
      <c r="Q79" s="456">
        <v>6074</v>
      </c>
      <c r="R79" s="460">
        <v>-11203</v>
      </c>
      <c r="S79" s="384">
        <f t="shared" si="19"/>
        <v>-4.0608014672966477E-3</v>
      </c>
      <c r="T79" s="456">
        <v>-16732</v>
      </c>
      <c r="U79" s="407">
        <f t="shared" si="25"/>
        <v>-5.6732663766741005E-3</v>
      </c>
      <c r="V79" s="384">
        <f t="shared" si="26"/>
        <v>0.49352851914665713</v>
      </c>
      <c r="W79" s="460">
        <f t="shared" si="27"/>
        <v>-4460</v>
      </c>
      <c r="X79" s="384">
        <f t="shared" si="28"/>
        <v>-4.4784282845480871E-4</v>
      </c>
      <c r="Y79" s="456">
        <f t="shared" si="29"/>
        <v>-10779</v>
      </c>
      <c r="Z79" s="407">
        <f t="shared" si="20"/>
        <v>-9.6867762608109011E-4</v>
      </c>
      <c r="AA79" s="384">
        <f t="shared" si="30"/>
        <v>1.4168161434977578</v>
      </c>
    </row>
    <row r="80" spans="1:27" ht="15.75" thickBot="1" x14ac:dyDescent="0.3">
      <c r="A80" s="392" t="s">
        <v>275</v>
      </c>
      <c r="B80" s="460">
        <v>-377</v>
      </c>
      <c r="C80" s="384">
        <f t="shared" si="17"/>
        <v>-1.6787324634797763E-4</v>
      </c>
      <c r="D80" s="456">
        <v>-6316</v>
      </c>
      <c r="E80" s="407">
        <f t="shared" si="18"/>
        <v>-2.3750316338721025E-3</v>
      </c>
      <c r="F80" s="384" t="s">
        <v>131</v>
      </c>
      <c r="G80" s="460">
        <v>-900</v>
      </c>
      <c r="H80" s="384">
        <f t="shared" si="22"/>
        <v>-1.9369763841687047E-4</v>
      </c>
      <c r="I80" s="456">
        <v>-5768</v>
      </c>
      <c r="J80" s="407">
        <f t="shared" si="23"/>
        <v>-1.0832368348600938E-3</v>
      </c>
      <c r="K80" s="384">
        <f t="shared" si="24"/>
        <v>5.4088888888888889</v>
      </c>
      <c r="L80" s="460">
        <v>-377</v>
      </c>
      <c r="M80" s="456">
        <v>-6316</v>
      </c>
      <c r="N80" s="460">
        <v>-523</v>
      </c>
      <c r="O80" s="456">
        <v>548</v>
      </c>
      <c r="P80" s="460">
        <v>-770</v>
      </c>
      <c r="Q80" s="456">
        <v>-255</v>
      </c>
      <c r="R80" s="460">
        <v>-598</v>
      </c>
      <c r="S80" s="384">
        <f t="shared" si="19"/>
        <v>-2.1675973198637821E-4</v>
      </c>
      <c r="T80" s="456">
        <v>1551</v>
      </c>
      <c r="U80" s="407">
        <f t="shared" si="25"/>
        <v>5.2589266974788012E-4</v>
      </c>
      <c r="V80" s="384">
        <f t="shared" si="26"/>
        <v>-3.5936454849498327</v>
      </c>
      <c r="W80" s="460">
        <f t="shared" si="27"/>
        <v>-2268</v>
      </c>
      <c r="X80" s="384">
        <f t="shared" si="28"/>
        <v>-2.2773711545639151E-4</v>
      </c>
      <c r="Y80" s="456">
        <f t="shared" si="29"/>
        <v>-4472</v>
      </c>
      <c r="Z80" s="407">
        <f t="shared" si="20"/>
        <v>-4.0188573558165276E-4</v>
      </c>
      <c r="AA80" s="384">
        <f t="shared" si="30"/>
        <v>0.97178130511463845</v>
      </c>
    </row>
    <row r="81" spans="1:27" ht="15.75" thickBot="1" x14ac:dyDescent="0.3">
      <c r="A81" s="392" t="s">
        <v>308</v>
      </c>
      <c r="B81" s="460">
        <v>0</v>
      </c>
      <c r="C81" s="384">
        <f>+B81/$B$67</f>
        <v>0</v>
      </c>
      <c r="D81" s="456">
        <v>0</v>
      </c>
      <c r="E81" s="407">
        <f>+D81/$D$67</f>
        <v>0</v>
      </c>
      <c r="F81" s="384" t="s">
        <v>131</v>
      </c>
      <c r="G81" s="460">
        <v>0</v>
      </c>
      <c r="H81" s="384">
        <f t="shared" si="22"/>
        <v>0</v>
      </c>
      <c r="I81" s="456">
        <v>0</v>
      </c>
      <c r="J81" s="407">
        <f t="shared" si="23"/>
        <v>0</v>
      </c>
      <c r="K81" s="384">
        <v>0</v>
      </c>
      <c r="L81" s="460">
        <v>0</v>
      </c>
      <c r="M81" s="456">
        <v>0</v>
      </c>
      <c r="N81" s="460">
        <v>0</v>
      </c>
      <c r="O81" s="456">
        <v>0</v>
      </c>
      <c r="P81" s="460">
        <v>89</v>
      </c>
      <c r="Q81" s="456">
        <v>581</v>
      </c>
      <c r="R81" s="460">
        <v>625</v>
      </c>
      <c r="S81" s="384">
        <f t="shared" si="19"/>
        <v>2.2654654262790365E-4</v>
      </c>
      <c r="T81" s="456">
        <v>0</v>
      </c>
      <c r="U81" s="407">
        <f t="shared" si="25"/>
        <v>0</v>
      </c>
      <c r="V81" s="384">
        <f t="shared" si="26"/>
        <v>-1</v>
      </c>
      <c r="W81" s="460">
        <f t="shared" si="27"/>
        <v>714</v>
      </c>
      <c r="X81" s="384">
        <f t="shared" si="28"/>
        <v>7.1695017828863993E-5</v>
      </c>
      <c r="Y81" s="456">
        <f t="shared" si="29"/>
        <v>581</v>
      </c>
      <c r="Z81" s="407">
        <f t="shared" si="20"/>
        <v>5.2212793464432078E-5</v>
      </c>
      <c r="AA81" s="384">
        <f t="shared" si="30"/>
        <v>-0.18627450980392157</v>
      </c>
    </row>
    <row r="82" spans="1:27" ht="15.75" thickBot="1" x14ac:dyDescent="0.3">
      <c r="A82" s="393" t="s">
        <v>204</v>
      </c>
      <c r="B82" s="461">
        <f>SUM(B75:B81)</f>
        <v>222820</v>
      </c>
      <c r="C82" s="386">
        <f t="shared" si="17"/>
        <v>9.9218877324287469E-2</v>
      </c>
      <c r="D82" s="457">
        <f>SUM(D75:D81)</f>
        <v>259571</v>
      </c>
      <c r="E82" s="408">
        <f t="shared" si="18"/>
        <v>9.7607557985404617E-2</v>
      </c>
      <c r="F82" s="386">
        <f t="shared" si="21"/>
        <v>0.16493582263710618</v>
      </c>
      <c r="G82" s="461">
        <f>SUM(G75:G81)</f>
        <v>384829</v>
      </c>
      <c r="H82" s="386">
        <f t="shared" si="22"/>
        <v>8.2822742771473154E-2</v>
      </c>
      <c r="I82" s="457">
        <f>SUM(I75:I81)</f>
        <v>454320</v>
      </c>
      <c r="J82" s="408">
        <f t="shared" si="23"/>
        <v>8.5321802845637618E-2</v>
      </c>
      <c r="K82" s="386">
        <f t="shared" si="24"/>
        <v>0.18057630791858201</v>
      </c>
      <c r="L82" s="461">
        <f t="shared" ref="L82:R82" si="33">SUM(L75:L81)</f>
        <v>222820</v>
      </c>
      <c r="M82" s="457">
        <f t="shared" si="33"/>
        <v>259571</v>
      </c>
      <c r="N82" s="461">
        <f t="shared" si="33"/>
        <v>162009</v>
      </c>
      <c r="O82" s="457">
        <f t="shared" si="33"/>
        <v>194749</v>
      </c>
      <c r="P82" s="461">
        <f t="shared" si="33"/>
        <v>182996</v>
      </c>
      <c r="Q82" s="457">
        <f t="shared" si="33"/>
        <v>210600</v>
      </c>
      <c r="R82" s="461">
        <f t="shared" si="33"/>
        <v>164419</v>
      </c>
      <c r="S82" s="386">
        <f t="shared" si="19"/>
        <v>5.9597689587739665E-2</v>
      </c>
      <c r="T82" s="457">
        <f>SUM(T75:T81)</f>
        <v>150413</v>
      </c>
      <c r="U82" s="408">
        <f t="shared" si="25"/>
        <v>5.1000060692964463E-2</v>
      </c>
      <c r="V82" s="386">
        <f t="shared" si="26"/>
        <v>-8.5184802243049765E-2</v>
      </c>
      <c r="W82" s="461">
        <f t="shared" si="27"/>
        <v>732244</v>
      </c>
      <c r="X82" s="386">
        <f t="shared" si="28"/>
        <v>7.3526956071538779E-2</v>
      </c>
      <c r="Y82" s="457">
        <f t="shared" si="29"/>
        <v>815333</v>
      </c>
      <c r="Z82" s="408">
        <f t="shared" si="20"/>
        <v>7.327162398233357E-2</v>
      </c>
      <c r="AA82" s="386">
        <f t="shared" si="30"/>
        <v>0.11347173892855388</v>
      </c>
    </row>
    <row r="83" spans="1:27" ht="15.75" thickBot="1" x14ac:dyDescent="0.3">
      <c r="A83" s="392" t="s">
        <v>205</v>
      </c>
      <c r="B83" s="460">
        <v>-43888</v>
      </c>
      <c r="C83" s="384">
        <f t="shared" si="17"/>
        <v>-1.9542761367957674E-2</v>
      </c>
      <c r="D83" s="456">
        <v>-76490</v>
      </c>
      <c r="E83" s="407">
        <f t="shared" si="18"/>
        <v>-2.8762851436807652E-2</v>
      </c>
      <c r="F83" s="384">
        <f t="shared" si="21"/>
        <v>0.74284542471746262</v>
      </c>
      <c r="G83" s="460">
        <v>-93443</v>
      </c>
      <c r="H83" s="384">
        <f t="shared" si="22"/>
        <v>-2.0110764918430696E-2</v>
      </c>
      <c r="I83" s="456">
        <v>-143102</v>
      </c>
      <c r="J83" s="407">
        <f t="shared" si="23"/>
        <v>-2.6874715246558451E-2</v>
      </c>
      <c r="K83" s="384">
        <f t="shared" si="24"/>
        <v>0.53143627666063809</v>
      </c>
      <c r="L83" s="460">
        <v>-43888</v>
      </c>
      <c r="M83" s="456">
        <v>-76490</v>
      </c>
      <c r="N83" s="460">
        <v>-49555</v>
      </c>
      <c r="O83" s="456">
        <v>-66612</v>
      </c>
      <c r="P83" s="460">
        <v>-50026</v>
      </c>
      <c r="Q83" s="456">
        <v>-74342</v>
      </c>
      <c r="R83" s="460">
        <v>-64408</v>
      </c>
      <c r="S83" s="384">
        <f t="shared" si="19"/>
        <v>-2.334625554812483E-2</v>
      </c>
      <c r="T83" s="456">
        <v>-43766</v>
      </c>
      <c r="U83" s="407">
        <f t="shared" si="25"/>
        <v>-1.4839599345058491E-2</v>
      </c>
      <c r="V83" s="384">
        <f t="shared" si="26"/>
        <v>-0.32048813811948829</v>
      </c>
      <c r="W83" s="460">
        <f t="shared" si="27"/>
        <v>-207877</v>
      </c>
      <c r="X83" s="384">
        <f t="shared" si="28"/>
        <v>-2.0873592746793783E-2</v>
      </c>
      <c r="Y83" s="456">
        <f t="shared" si="29"/>
        <v>-261210</v>
      </c>
      <c r="Z83" s="407">
        <f t="shared" si="20"/>
        <v>-2.3474188951539247E-2</v>
      </c>
      <c r="AA83" s="384">
        <f t="shared" si="30"/>
        <v>0.25656036983408459</v>
      </c>
    </row>
    <row r="84" spans="1:27" ht="15.75" thickBot="1" x14ac:dyDescent="0.3">
      <c r="A84" s="394" t="s">
        <v>206</v>
      </c>
      <c r="B84" s="462">
        <v>-2661</v>
      </c>
      <c r="C84" s="385">
        <f t="shared" si="17"/>
        <v>-1.1849090411988554E-3</v>
      </c>
      <c r="D84" s="459">
        <v>8406</v>
      </c>
      <c r="E84" s="409">
        <f t="shared" si="18"/>
        <v>3.1609429883357968E-3</v>
      </c>
      <c r="F84" s="385" t="s">
        <v>131</v>
      </c>
      <c r="G84" s="462">
        <v>-7075</v>
      </c>
      <c r="H84" s="385">
        <f t="shared" si="22"/>
        <v>-1.5226786575548428E-3</v>
      </c>
      <c r="I84" s="459">
        <v>20339</v>
      </c>
      <c r="J84" s="409">
        <f t="shared" si="23"/>
        <v>3.8196868904680041E-3</v>
      </c>
      <c r="K84" s="384" t="s">
        <v>131</v>
      </c>
      <c r="L84" s="462">
        <v>-2661</v>
      </c>
      <c r="M84" s="459">
        <v>8406</v>
      </c>
      <c r="N84" s="462">
        <v>-4414</v>
      </c>
      <c r="O84" s="459">
        <v>11933</v>
      </c>
      <c r="P84" s="462">
        <v>13497</v>
      </c>
      <c r="Q84" s="459">
        <v>6148</v>
      </c>
      <c r="R84" s="462">
        <v>-3766</v>
      </c>
      <c r="S84" s="385">
        <f t="shared" si="19"/>
        <v>-1.3650788472586962E-3</v>
      </c>
      <c r="T84" s="459">
        <v>3787</v>
      </c>
      <c r="U84" s="409">
        <f t="shared" si="25"/>
        <v>1.284046125296726E-3</v>
      </c>
      <c r="V84" s="385">
        <f t="shared" si="26"/>
        <v>-2.0055762081784385</v>
      </c>
      <c r="W84" s="462">
        <f t="shared" si="27"/>
        <v>2656</v>
      </c>
      <c r="X84" s="385">
        <f t="shared" si="28"/>
        <v>2.6669743326815512E-4</v>
      </c>
      <c r="Y84" s="459">
        <f t="shared" si="29"/>
        <v>30274</v>
      </c>
      <c r="Z84" s="409">
        <f t="shared" si="20"/>
        <v>2.7206370212430582E-3</v>
      </c>
      <c r="AA84" s="385" t="s">
        <v>131</v>
      </c>
    </row>
    <row r="85" spans="1:27" ht="15.75" thickBot="1" x14ac:dyDescent="0.3">
      <c r="A85" s="393" t="s">
        <v>207</v>
      </c>
      <c r="B85" s="461">
        <f>SUM(B82:B84)</f>
        <v>176271</v>
      </c>
      <c r="C85" s="386">
        <f t="shared" si="17"/>
        <v>7.8491206915130951E-2</v>
      </c>
      <c r="D85" s="457">
        <f>SUM(D82:D84)</f>
        <v>191487</v>
      </c>
      <c r="E85" s="408">
        <f t="shared" si="18"/>
        <v>7.2005649536932753E-2</v>
      </c>
      <c r="F85" s="386">
        <f t="shared" si="21"/>
        <v>8.6321629763262256E-2</v>
      </c>
      <c r="G85" s="461">
        <f>SUM(G82:G84)</f>
        <v>284311</v>
      </c>
      <c r="H85" s="386">
        <f t="shared" si="22"/>
        <v>6.1189299195487622E-2</v>
      </c>
      <c r="I85" s="457">
        <f>SUM(I82:I84)</f>
        <v>331557</v>
      </c>
      <c r="J85" s="408">
        <f t="shared" si="23"/>
        <v>6.2266774489547178E-2</v>
      </c>
      <c r="K85" s="386">
        <f t="shared" si="24"/>
        <v>0.16617717921571801</v>
      </c>
      <c r="L85" s="461">
        <f t="shared" ref="L85:R85" si="34">SUM(L82:L84)</f>
        <v>176271</v>
      </c>
      <c r="M85" s="457">
        <f t="shared" si="34"/>
        <v>191487</v>
      </c>
      <c r="N85" s="461">
        <f t="shared" si="34"/>
        <v>108040</v>
      </c>
      <c r="O85" s="457">
        <f t="shared" si="34"/>
        <v>140070</v>
      </c>
      <c r="P85" s="461">
        <f t="shared" si="34"/>
        <v>146467</v>
      </c>
      <c r="Q85" s="457">
        <f t="shared" si="34"/>
        <v>142406</v>
      </c>
      <c r="R85" s="461">
        <f t="shared" si="34"/>
        <v>96245</v>
      </c>
      <c r="S85" s="386">
        <f t="shared" si="19"/>
        <v>3.4886355192356139E-2</v>
      </c>
      <c r="T85" s="457">
        <f>SUM(T82:T84)</f>
        <v>110434</v>
      </c>
      <c r="U85" s="408">
        <f t="shared" si="25"/>
        <v>3.7444507473202701E-2</v>
      </c>
      <c r="V85" s="386">
        <f t="shared" si="26"/>
        <v>0.1474258403033924</v>
      </c>
      <c r="W85" s="461">
        <f t="shared" si="27"/>
        <v>527023</v>
      </c>
      <c r="X85" s="386">
        <f t="shared" si="28"/>
        <v>5.292006075801315E-2</v>
      </c>
      <c r="Y85" s="457">
        <f t="shared" si="29"/>
        <v>584397</v>
      </c>
      <c r="Z85" s="408">
        <f t="shared" si="20"/>
        <v>5.2518072052037373E-2</v>
      </c>
      <c r="AA85" s="386">
        <f t="shared" si="30"/>
        <v>0.10886431901454016</v>
      </c>
    </row>
    <row r="86" spans="1:27" ht="15.75" thickBot="1" x14ac:dyDescent="0.3">
      <c r="A86" s="392" t="s">
        <v>208</v>
      </c>
      <c r="B86" s="460">
        <v>-842</v>
      </c>
      <c r="C86" s="384">
        <f t="shared" si="17"/>
        <v>-3.7493175974800312E-4</v>
      </c>
      <c r="D86" s="456">
        <v>-95</v>
      </c>
      <c r="E86" s="407">
        <f t="shared" si="18"/>
        <v>-3.5723243384713388E-5</v>
      </c>
      <c r="F86" s="384">
        <f t="shared" si="21"/>
        <v>-0.88717339667458428</v>
      </c>
      <c r="G86" s="460">
        <v>-856</v>
      </c>
      <c r="H86" s="384">
        <f t="shared" si="22"/>
        <v>-1.8422797609426791E-4</v>
      </c>
      <c r="I86" s="456">
        <v>-264</v>
      </c>
      <c r="J86" s="407">
        <f t="shared" si="23"/>
        <v>-4.9579494522029257E-5</v>
      </c>
      <c r="K86" s="384">
        <f t="shared" si="24"/>
        <v>-0.69158878504672894</v>
      </c>
      <c r="L86" s="460">
        <v>-842</v>
      </c>
      <c r="M86" s="456">
        <v>-95</v>
      </c>
      <c r="N86" s="460">
        <v>-14</v>
      </c>
      <c r="O86" s="456">
        <v>-169</v>
      </c>
      <c r="P86" s="460">
        <v>-13694</v>
      </c>
      <c r="Q86" s="456">
        <v>-115</v>
      </c>
      <c r="R86" s="460">
        <v>-1902</v>
      </c>
      <c r="S86" s="384">
        <f t="shared" si="19"/>
        <v>-6.8942643852523634E-4</v>
      </c>
      <c r="T86" s="456">
        <v>-174</v>
      </c>
      <c r="U86" s="407">
        <f t="shared" si="25"/>
        <v>-5.899763026185115E-5</v>
      </c>
      <c r="V86" s="386">
        <f t="shared" si="26"/>
        <v>-0.90851735015772872</v>
      </c>
      <c r="W86" s="460">
        <f t="shared" si="27"/>
        <v>-16452</v>
      </c>
      <c r="X86" s="384">
        <f t="shared" si="28"/>
        <v>-1.651997805770967E-3</v>
      </c>
      <c r="Y86" s="456">
        <f t="shared" si="29"/>
        <v>-553</v>
      </c>
      <c r="Z86" s="407">
        <f t="shared" si="20"/>
        <v>-4.9696514261326916E-5</v>
      </c>
      <c r="AA86" s="386">
        <f t="shared" si="30"/>
        <v>-0.96638706540238273</v>
      </c>
    </row>
    <row r="87" spans="1:27" ht="15.75" thickBot="1" x14ac:dyDescent="0.3">
      <c r="A87" s="391" t="s">
        <v>209</v>
      </c>
      <c r="B87" s="458">
        <f>SUM(B85:B86)</f>
        <v>175429</v>
      </c>
      <c r="C87" s="387">
        <f t="shared" si="17"/>
        <v>7.8116275155382942E-2</v>
      </c>
      <c r="D87" s="395">
        <f>SUM(D85:D86)</f>
        <v>191392</v>
      </c>
      <c r="E87" s="387">
        <f t="shared" si="18"/>
        <v>7.196992629354805E-2</v>
      </c>
      <c r="F87" s="387">
        <f t="shared" si="21"/>
        <v>9.0994077376032476E-2</v>
      </c>
      <c r="G87" s="458">
        <f>SUM(G85:G86)</f>
        <v>283455</v>
      </c>
      <c r="H87" s="387">
        <f t="shared" si="22"/>
        <v>6.1005071219393352E-2</v>
      </c>
      <c r="I87" s="395">
        <f>SUM(I85:I86)</f>
        <v>331293</v>
      </c>
      <c r="J87" s="387">
        <f t="shared" si="23"/>
        <v>6.2217194995025149E-2</v>
      </c>
      <c r="K87" s="387">
        <f t="shared" si="24"/>
        <v>0.16876752923744509</v>
      </c>
      <c r="L87" s="458">
        <f t="shared" ref="L87:R87" si="35">SUM(L85:L86)</f>
        <v>175429</v>
      </c>
      <c r="M87" s="395">
        <f t="shared" si="35"/>
        <v>191392</v>
      </c>
      <c r="N87" s="458">
        <f t="shared" si="35"/>
        <v>108026</v>
      </c>
      <c r="O87" s="395">
        <f t="shared" si="35"/>
        <v>139901</v>
      </c>
      <c r="P87" s="458">
        <f t="shared" si="35"/>
        <v>132773</v>
      </c>
      <c r="Q87" s="395">
        <f t="shared" si="35"/>
        <v>142291</v>
      </c>
      <c r="R87" s="458">
        <f t="shared" si="35"/>
        <v>94343</v>
      </c>
      <c r="S87" s="387">
        <f t="shared" si="19"/>
        <v>3.4196928753830902E-2</v>
      </c>
      <c r="T87" s="395">
        <f>SUM(T85:T86)</f>
        <v>110260</v>
      </c>
      <c r="U87" s="387">
        <f t="shared" si="25"/>
        <v>3.7385509842940846E-2</v>
      </c>
      <c r="V87" s="387">
        <f t="shared" si="26"/>
        <v>0.16871416003307083</v>
      </c>
      <c r="W87" s="458">
        <f t="shared" si="27"/>
        <v>510571</v>
      </c>
      <c r="X87" s="387">
        <f t="shared" si="28"/>
        <v>5.1268062952242184E-2</v>
      </c>
      <c r="Y87" s="395">
        <f t="shared" si="29"/>
        <v>583844</v>
      </c>
      <c r="Z87" s="387">
        <f t="shared" si="20"/>
        <v>5.2468375537776044E-2</v>
      </c>
      <c r="AA87" s="387">
        <f t="shared" si="30"/>
        <v>0.14351187200213095</v>
      </c>
    </row>
    <row r="88" spans="1:27" x14ac:dyDescent="0.25">
      <c r="A88" s="289"/>
      <c r="B88" s="291"/>
      <c r="C88" s="292"/>
      <c r="D88" s="294"/>
      <c r="E88" s="292"/>
      <c r="F88" s="292"/>
      <c r="G88" s="291"/>
      <c r="H88" s="294"/>
      <c r="I88" s="292"/>
      <c r="J88" s="292"/>
      <c r="K88" s="291"/>
      <c r="L88" s="292"/>
      <c r="M88" s="294"/>
      <c r="N88" s="292"/>
      <c r="O88" s="294"/>
      <c r="P88" s="292"/>
      <c r="Q88" s="292"/>
      <c r="R88" s="292"/>
      <c r="S88" s="294"/>
      <c r="T88" s="292"/>
      <c r="U88" s="292"/>
      <c r="W88" s="292"/>
      <c r="X88" s="294"/>
      <c r="Y88" s="292"/>
      <c r="Z88" s="292"/>
    </row>
    <row r="89" spans="1:27" x14ac:dyDescent="0.25">
      <c r="A89" s="295" t="s">
        <v>210</v>
      </c>
      <c r="B89" s="297"/>
      <c r="C89" s="298"/>
      <c r="D89" s="300"/>
      <c r="E89" s="298"/>
      <c r="F89" s="298"/>
      <c r="G89" s="297"/>
      <c r="H89" s="300"/>
      <c r="I89" s="298"/>
      <c r="J89" s="298"/>
      <c r="K89" s="297"/>
      <c r="L89" s="298"/>
      <c r="M89" s="300"/>
      <c r="N89" s="298"/>
      <c r="O89" s="300"/>
      <c r="P89" s="298"/>
      <c r="Q89" s="298"/>
      <c r="R89" s="298"/>
      <c r="S89" s="300"/>
      <c r="T89" s="298"/>
      <c r="U89" s="298"/>
      <c r="W89" s="298"/>
      <c r="X89" s="300"/>
      <c r="Y89" s="298"/>
      <c r="Z89" s="298"/>
    </row>
    <row r="90" spans="1:27" ht="15.75" thickBot="1" x14ac:dyDescent="0.3">
      <c r="A90" s="301" t="s">
        <v>211</v>
      </c>
      <c r="B90" s="274">
        <v>174437</v>
      </c>
      <c r="C90" s="384">
        <f>+B90/$B$67</f>
        <v>7.7674550326796224E-2</v>
      </c>
      <c r="D90" s="373">
        <v>190294</v>
      </c>
      <c r="E90" s="366">
        <f>+D90/$D$67</f>
        <v>7.1557040806848937E-2</v>
      </c>
      <c r="F90" s="384">
        <f>(D90-B90)/B90</f>
        <v>9.0903879337525875E-2</v>
      </c>
      <c r="G90" s="274">
        <v>280920</v>
      </c>
      <c r="H90" s="384">
        <f t="shared" si="22"/>
        <v>6.0459489537852497E-2</v>
      </c>
      <c r="I90" s="373">
        <v>328773</v>
      </c>
      <c r="J90" s="366">
        <f t="shared" si="23"/>
        <v>6.1743936183678502E-2</v>
      </c>
      <c r="K90" s="384">
        <f t="shared" si="24"/>
        <v>0.17034387014096539</v>
      </c>
      <c r="L90" s="274">
        <v>174437</v>
      </c>
      <c r="M90" s="373">
        <v>190294</v>
      </c>
      <c r="N90" s="274">
        <v>106483</v>
      </c>
      <c r="O90" s="373">
        <v>138479</v>
      </c>
      <c r="P90" s="274">
        <v>131453</v>
      </c>
      <c r="Q90" s="373">
        <v>140694</v>
      </c>
      <c r="R90" s="274">
        <v>91145</v>
      </c>
      <c r="S90" s="384">
        <f>R90/$R$67</f>
        <v>3.3037735404512443E-2</v>
      </c>
      <c r="T90" s="373">
        <v>105974</v>
      </c>
      <c r="U90" s="366">
        <f t="shared" si="25"/>
        <v>3.5932269364192033E-2</v>
      </c>
      <c r="V90" s="384">
        <f t="shared" si="26"/>
        <v>0.16269680179933074</v>
      </c>
      <c r="W90" s="373">
        <f t="shared" si="27"/>
        <v>503518</v>
      </c>
      <c r="X90" s="384">
        <f t="shared" si="28"/>
        <v>5.0559848721504118E-2</v>
      </c>
      <c r="Y90" s="373">
        <f t="shared" si="29"/>
        <v>575441</v>
      </c>
      <c r="Z90" s="366">
        <f>Y90/$Y$67</f>
        <v>5.1713222175501311E-2</v>
      </c>
      <c r="AA90" s="384">
        <f t="shared" si="30"/>
        <v>0.14284097092854675</v>
      </c>
    </row>
    <row r="91" spans="1:27" ht="15.75" thickBot="1" x14ac:dyDescent="0.3">
      <c r="A91" s="303" t="s">
        <v>188</v>
      </c>
      <c r="B91" s="304">
        <v>992</v>
      </c>
      <c r="C91" s="385">
        <f>+B91/$B$67</f>
        <v>4.4172482858672099E-4</v>
      </c>
      <c r="D91" s="470">
        <v>1098</v>
      </c>
      <c r="E91" s="368">
        <f>+D91/$D$67</f>
        <v>4.1288548669910841E-4</v>
      </c>
      <c r="F91" s="385">
        <f>(D91-B91)/B91</f>
        <v>0.10685483870967742</v>
      </c>
      <c r="G91" s="304">
        <v>2535</v>
      </c>
      <c r="H91" s="385">
        <f t="shared" si="22"/>
        <v>5.4558168154085181E-4</v>
      </c>
      <c r="I91" s="470">
        <v>2520</v>
      </c>
      <c r="J91" s="368">
        <f t="shared" si="23"/>
        <v>4.7325881134664292E-4</v>
      </c>
      <c r="K91" s="385">
        <f t="shared" si="24"/>
        <v>-5.9171597633136093E-3</v>
      </c>
      <c r="L91" s="304">
        <v>992</v>
      </c>
      <c r="M91" s="470">
        <v>1098</v>
      </c>
      <c r="N91" s="304">
        <v>1543</v>
      </c>
      <c r="O91" s="470">
        <v>1422</v>
      </c>
      <c r="P91" s="304">
        <v>1320</v>
      </c>
      <c r="Q91" s="470">
        <v>1597</v>
      </c>
      <c r="R91" s="304">
        <v>3198</v>
      </c>
      <c r="S91" s="385">
        <f>R91/$R$67</f>
        <v>1.1591933493184574E-3</v>
      </c>
      <c r="T91" s="470">
        <v>4286</v>
      </c>
      <c r="U91" s="368">
        <f t="shared" si="25"/>
        <v>1.4532404787488162E-3</v>
      </c>
      <c r="V91" s="385">
        <f t="shared" si="26"/>
        <v>0.34021263289555975</v>
      </c>
      <c r="W91" s="470">
        <f t="shared" si="27"/>
        <v>7053</v>
      </c>
      <c r="X91" s="385">
        <f t="shared" si="28"/>
        <v>7.0821423073806405E-4</v>
      </c>
      <c r="Y91" s="470">
        <f t="shared" si="29"/>
        <v>8403</v>
      </c>
      <c r="Z91" s="368">
        <f>Y91/$Y$67</f>
        <v>7.5515336227473793E-4</v>
      </c>
      <c r="AA91" s="385">
        <f t="shared" si="30"/>
        <v>0.19140791152700978</v>
      </c>
    </row>
    <row r="92" spans="1:27" ht="15.75" thickBot="1" x14ac:dyDescent="0.3">
      <c r="A92" s="306" t="s">
        <v>212</v>
      </c>
      <c r="B92" s="278">
        <f>SUM(B90:B91)</f>
        <v>175429</v>
      </c>
      <c r="C92" s="386">
        <f>+B92/$B$67</f>
        <v>7.8116275155382942E-2</v>
      </c>
      <c r="D92" s="375">
        <f>SUM(D90:D91)</f>
        <v>191392</v>
      </c>
      <c r="E92" s="367">
        <f>+D92/$D$67</f>
        <v>7.196992629354805E-2</v>
      </c>
      <c r="F92" s="386">
        <f>(D92-B92)/B92</f>
        <v>9.0994077376032476E-2</v>
      </c>
      <c r="G92" s="278">
        <f>SUM(G90:G91)</f>
        <v>283455</v>
      </c>
      <c r="H92" s="386">
        <f t="shared" si="22"/>
        <v>6.1005071219393352E-2</v>
      </c>
      <c r="I92" s="375">
        <f>SUM(I90:I91)</f>
        <v>331293</v>
      </c>
      <c r="J92" s="367">
        <f t="shared" si="23"/>
        <v>6.2217194995025149E-2</v>
      </c>
      <c r="K92" s="386">
        <f t="shared" si="24"/>
        <v>0.16876752923744509</v>
      </c>
      <c r="L92" s="278">
        <f t="shared" ref="L92:R92" si="36">SUM(L90:L91)</f>
        <v>175429</v>
      </c>
      <c r="M92" s="375">
        <f t="shared" si="36"/>
        <v>191392</v>
      </c>
      <c r="N92" s="278">
        <f t="shared" si="36"/>
        <v>108026</v>
      </c>
      <c r="O92" s="375">
        <f t="shared" si="36"/>
        <v>139901</v>
      </c>
      <c r="P92" s="278">
        <f t="shared" si="36"/>
        <v>132773</v>
      </c>
      <c r="Q92" s="375">
        <f t="shared" si="36"/>
        <v>142291</v>
      </c>
      <c r="R92" s="278">
        <f t="shared" si="36"/>
        <v>94343</v>
      </c>
      <c r="S92" s="386">
        <f>R92/$R$67</f>
        <v>3.4196928753830902E-2</v>
      </c>
      <c r="T92" s="375">
        <f>SUM(T90:T91)</f>
        <v>110260</v>
      </c>
      <c r="U92" s="367">
        <f t="shared" si="25"/>
        <v>3.7385509842940846E-2</v>
      </c>
      <c r="V92" s="386">
        <f t="shared" si="26"/>
        <v>0.16871416003307083</v>
      </c>
      <c r="W92" s="375">
        <f t="shared" si="27"/>
        <v>510571</v>
      </c>
      <c r="X92" s="386">
        <f t="shared" si="28"/>
        <v>5.1268062952242184E-2</v>
      </c>
      <c r="Y92" s="375">
        <f t="shared" si="29"/>
        <v>583844</v>
      </c>
      <c r="Z92" s="367">
        <f>Y92/$Y$67</f>
        <v>5.2468375537776044E-2</v>
      </c>
      <c r="AA92" s="386">
        <f t="shared" si="30"/>
        <v>0.14351187200213095</v>
      </c>
    </row>
    <row r="93" spans="1:27" ht="15.75" thickBot="1" x14ac:dyDescent="0.3">
      <c r="A93" s="369" t="s">
        <v>213</v>
      </c>
      <c r="B93" s="370">
        <v>320118</v>
      </c>
      <c r="C93" s="387">
        <f>+B93/$B$67</f>
        <v>0.14254442407008464</v>
      </c>
      <c r="D93" s="372">
        <v>376134</v>
      </c>
      <c r="E93" s="371">
        <f>+D93/$D$67</f>
        <v>0.14143922555016616</v>
      </c>
      <c r="F93" s="387">
        <f>(D93-B93)/B93</f>
        <v>0.17498547410642326</v>
      </c>
      <c r="G93" s="370">
        <v>647994</v>
      </c>
      <c r="H93" s="387">
        <f t="shared" si="22"/>
        <v>0.13946100834255729</v>
      </c>
      <c r="I93" s="372">
        <v>746322</v>
      </c>
      <c r="J93" s="371">
        <f t="shared" si="23"/>
        <v>0.14016010420708302</v>
      </c>
      <c r="K93" s="387">
        <f t="shared" si="24"/>
        <v>0.1517421457606089</v>
      </c>
      <c r="L93" s="370">
        <v>320118</v>
      </c>
      <c r="M93" s="372">
        <v>376134</v>
      </c>
      <c r="N93" s="370">
        <v>327876</v>
      </c>
      <c r="O93" s="372">
        <v>370188</v>
      </c>
      <c r="P93" s="372">
        <v>344458</v>
      </c>
      <c r="Q93" s="372">
        <v>370531</v>
      </c>
      <c r="R93" s="372">
        <v>354777</v>
      </c>
      <c r="S93" s="387">
        <f>R93/$R$67</f>
        <v>0.12859760440623963</v>
      </c>
      <c r="T93" s="372">
        <v>326723</v>
      </c>
      <c r="U93" s="387">
        <f t="shared" si="25"/>
        <v>0.11078093535656777</v>
      </c>
      <c r="V93" s="387">
        <f t="shared" si="26"/>
        <v>-7.9075024592913296E-2</v>
      </c>
      <c r="W93" s="372">
        <f t="shared" si="27"/>
        <v>1347229</v>
      </c>
      <c r="X93" s="387">
        <f t="shared" si="28"/>
        <v>0.13527956186913531</v>
      </c>
      <c r="Y93" s="372">
        <f t="shared" si="29"/>
        <v>1443576</v>
      </c>
      <c r="Z93" s="387">
        <f>Y93/$Y$67</f>
        <v>0.12973000953220482</v>
      </c>
      <c r="AA93" s="387">
        <f t="shared" si="30"/>
        <v>7.1514939182574011E-2</v>
      </c>
    </row>
    <row r="95" spans="1:27" ht="67.5" customHeight="1" x14ac:dyDescent="0.25">
      <c r="A95" s="483" t="s">
        <v>343</v>
      </c>
      <c r="B95" s="483"/>
      <c r="C95" s="483"/>
      <c r="D95" s="483"/>
      <c r="E95" s="483"/>
      <c r="F95" s="483"/>
      <c r="G95" s="483"/>
      <c r="H95" s="483"/>
      <c r="I95" s="483"/>
      <c r="J95" s="483"/>
    </row>
    <row r="96" spans="1:27" x14ac:dyDescent="0.25">
      <c r="A96" s="481" t="s">
        <v>344</v>
      </c>
    </row>
    <row r="97" spans="1:1" x14ac:dyDescent="0.25">
      <c r="A97" s="480" t="s">
        <v>345</v>
      </c>
    </row>
  </sheetData>
  <mergeCells count="1">
    <mergeCell ref="A95:J95"/>
  </mergeCells>
  <hyperlinks>
    <hyperlink ref="A97" r:id="rId1" location="2020-4_x000d_" display="http://www.gruponutresa.com/inversionistas/resultados-y-publicaciones/resultados-trimestrales/ - 2020-4_x000d_"/>
  </hyperlinks>
  <pageMargins left="0.7" right="0.7" top="0.75" bottom="0.75" header="0.3" footer="0.3"/>
  <pageSetup paperSize="9" orientation="portrait" r:id="rId2"/>
  <customProperties>
    <customPr name="_pios_id" r:id="rId3"/>
  </customProperties>
  <ignoredErrors>
    <ignoredError sqref="J40 D40:H40 D49:J49 D55:J55 D17 G17:L17 D29:J29 S82 S85 S87 S69 S75" formula="1"/>
  </ignoredErrors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90</vt:i4>
      </vt:variant>
      <vt:variant>
        <vt:lpstr>Rangos con nombre</vt:lpstr>
      </vt:variant>
      <vt:variant>
        <vt:i4>35</vt:i4>
      </vt:variant>
    </vt:vector>
  </HeadingPairs>
  <TitlesOfParts>
    <vt:vector size="125" baseType="lpstr">
      <vt:lpstr>BASICO 2006-trim 04</vt:lpstr>
      <vt:lpstr>Consolidado 2006-trim 04</vt:lpstr>
      <vt:lpstr>BASICO 2007-trim 1</vt:lpstr>
      <vt:lpstr>Consolidado 2007-trim 1</vt:lpstr>
      <vt:lpstr>BASICO 2007-trim 2</vt:lpstr>
      <vt:lpstr>Consolidado 2007-trim 2</vt:lpstr>
      <vt:lpstr>BASICO 2007-trim 3</vt:lpstr>
      <vt:lpstr>Consolidado 2007-trim 3</vt:lpstr>
      <vt:lpstr>BASICO 2007-trim 4</vt:lpstr>
      <vt:lpstr>Consolidado 2007-trim 4</vt:lpstr>
      <vt:lpstr>BASICO 2008-trim 1</vt:lpstr>
      <vt:lpstr>Consolidado 2008-trim 1</vt:lpstr>
      <vt:lpstr>BASICO 2008-trim 2</vt:lpstr>
      <vt:lpstr>Consolidado 2008-trim 2</vt:lpstr>
      <vt:lpstr>BASICO 2008-trim 3</vt:lpstr>
      <vt:lpstr>Consolidado 2008-trim 3</vt:lpstr>
      <vt:lpstr>BASICO 2008-trim 4</vt:lpstr>
      <vt:lpstr>Consolidado 2008-trim 4</vt:lpstr>
      <vt:lpstr>BASICO 2009-trim 1</vt:lpstr>
      <vt:lpstr>Consolidado 2009-trim 1 </vt:lpstr>
      <vt:lpstr>BASICO 2009-trim 2</vt:lpstr>
      <vt:lpstr>Consolidado 2009-trim 2</vt:lpstr>
      <vt:lpstr>BASICO 2009-trim 3</vt:lpstr>
      <vt:lpstr>Consolidado 2009-trim 3</vt:lpstr>
      <vt:lpstr>BASICO 2009-trim 4</vt:lpstr>
      <vt:lpstr>Consolidado 2009 trim 4</vt:lpstr>
      <vt:lpstr>BASICO 2010-trim 1 </vt:lpstr>
      <vt:lpstr>Consolidado 2010-trim 1</vt:lpstr>
      <vt:lpstr>BASICO 2010-trim 2 </vt:lpstr>
      <vt:lpstr>Consolidado 2010-trim 2</vt:lpstr>
      <vt:lpstr>BASICO 2010-trim 3 </vt:lpstr>
      <vt:lpstr>Consolidado 2010-trim 3</vt:lpstr>
      <vt:lpstr>BASICO 2010-trim 4</vt:lpstr>
      <vt:lpstr>Consolidado 2010 trim 4 </vt:lpstr>
      <vt:lpstr>BASICO 2011-trim 1</vt:lpstr>
      <vt:lpstr>Consolidado 2011-trim 1</vt:lpstr>
      <vt:lpstr>BASICO 2011-trim 2</vt:lpstr>
      <vt:lpstr>Consolidado 2011-trim 2</vt:lpstr>
      <vt:lpstr>BASICO 2011-trim 3</vt:lpstr>
      <vt:lpstr>Consolidado 2011-trim 3</vt:lpstr>
      <vt:lpstr>BASICO 2011-TRIM 4</vt:lpstr>
      <vt:lpstr>Consolidado 2011-trim 4</vt:lpstr>
      <vt:lpstr>BASICO 2012-trim 1</vt:lpstr>
      <vt:lpstr>Consolidado 2012-trim 1 </vt:lpstr>
      <vt:lpstr>BASICO 2012- trim 2</vt:lpstr>
      <vt:lpstr>Consolidado 2012-trim 2</vt:lpstr>
      <vt:lpstr>BASICO 2012- trim 3</vt:lpstr>
      <vt:lpstr>Consolidado 2012-trim 3</vt:lpstr>
      <vt:lpstr>BASICO 2012-trim 4</vt:lpstr>
      <vt:lpstr>consolidado 2012-trim 4</vt:lpstr>
      <vt:lpstr>BASICO 2013-TRIM 1</vt:lpstr>
      <vt:lpstr>CONSOLIDADO 2013-TRIM 1</vt:lpstr>
      <vt:lpstr>BASICO 2013-TRIM 2</vt:lpstr>
      <vt:lpstr>CONSOLIDADO 2013-TRIM 2</vt:lpstr>
      <vt:lpstr>BASICO 2013-TRIM 3</vt:lpstr>
      <vt:lpstr>CONSOLIDADO 2013-TRIM 3</vt:lpstr>
      <vt:lpstr>BASICO 2013-TRIM 4</vt:lpstr>
      <vt:lpstr>CONSOLIDADO 2013-TRIM 4</vt:lpstr>
      <vt:lpstr>BASICO 2014-TRIM 1 </vt:lpstr>
      <vt:lpstr>CONSOLIDADO 2014-TRIM 1</vt:lpstr>
      <vt:lpstr>BASICO 2014-TRIM 2</vt:lpstr>
      <vt:lpstr>CONSOLIDADO 2014-TRIM 2</vt:lpstr>
      <vt:lpstr>BASICO 2014-TRIM 3</vt:lpstr>
      <vt:lpstr>CONSOLIDADO 2014-TRIM 3</vt:lpstr>
      <vt:lpstr>BASICO 2014-TRIM 4</vt:lpstr>
      <vt:lpstr>CONSOLIDADO 2014-TRIM 4</vt:lpstr>
      <vt:lpstr>consolidado 2015- trim 1</vt:lpstr>
      <vt:lpstr>consolidado 2015- trim 2</vt:lpstr>
      <vt:lpstr>consolidado 2015- trim 3</vt:lpstr>
      <vt:lpstr>consolidado 2015- trim 4</vt:lpstr>
      <vt:lpstr>consolidado 2016- trim 1</vt:lpstr>
      <vt:lpstr>consolidado 2016- trim 2</vt:lpstr>
      <vt:lpstr>consolidado 2016- trim 3</vt:lpstr>
      <vt:lpstr>consolidado 2016- trim 4</vt:lpstr>
      <vt:lpstr>consolidado 2017- trim 1</vt:lpstr>
      <vt:lpstr>consolidado 2017- trim 2</vt:lpstr>
      <vt:lpstr>consolidado 2017- trim 3</vt:lpstr>
      <vt:lpstr>consolidado 2017- trim 4</vt:lpstr>
      <vt:lpstr>consolidado 2018- trim 1 </vt:lpstr>
      <vt:lpstr>consolidado 2018- trim 2</vt:lpstr>
      <vt:lpstr>consolidado 2018- trim 3</vt:lpstr>
      <vt:lpstr>consolidado 2018- trim 4</vt:lpstr>
      <vt:lpstr>consolidado 2019- trim 1</vt:lpstr>
      <vt:lpstr>consolidado 2019- trim 2</vt:lpstr>
      <vt:lpstr>consolidado 2019- trim3</vt:lpstr>
      <vt:lpstr>consolidado 2019- trim4</vt:lpstr>
      <vt:lpstr>consolidado 2020- trim 1</vt:lpstr>
      <vt:lpstr>consolidado 2020- trim 2</vt:lpstr>
      <vt:lpstr>consolidado 2020- trim 3</vt:lpstr>
      <vt:lpstr>consolidado 2020- trim 4</vt:lpstr>
      <vt:lpstr>'consolidado 2015- trim 4'!_GoBack</vt:lpstr>
      <vt:lpstr>'BASICO 2007-trim 4'!Área_de_impresión</vt:lpstr>
      <vt:lpstr>'BASICO 2008-trim 1'!Área_de_impresión</vt:lpstr>
      <vt:lpstr>'BASICO 2008-trim 2'!Área_de_impresión</vt:lpstr>
      <vt:lpstr>'BASICO 2008-trim 3'!Área_de_impresión</vt:lpstr>
      <vt:lpstr>'BASICO 2008-trim 4'!Área_de_impresión</vt:lpstr>
      <vt:lpstr>'BASICO 2009-trim 1'!Área_de_impresión</vt:lpstr>
      <vt:lpstr>'BASICO 2009-trim 2'!Área_de_impresión</vt:lpstr>
      <vt:lpstr>'BASICO 2009-trim 3'!Área_de_impresión</vt:lpstr>
      <vt:lpstr>'BASICO 2009-trim 4'!Área_de_impresión</vt:lpstr>
      <vt:lpstr>'BASICO 2010-trim 1 '!Área_de_impresión</vt:lpstr>
      <vt:lpstr>'BASICO 2010-trim 2 '!Área_de_impresión</vt:lpstr>
      <vt:lpstr>'BASICO 2010-trim 3 '!Área_de_impresión</vt:lpstr>
      <vt:lpstr>'BASICO 2010-trim 4'!Área_de_impresión</vt:lpstr>
      <vt:lpstr>'BASICO 2011-trim 1'!Área_de_impresión</vt:lpstr>
      <vt:lpstr>'BASICO 2011-trim 2'!Área_de_impresión</vt:lpstr>
      <vt:lpstr>'BASICO 2011-trim 3'!Área_de_impresión</vt:lpstr>
      <vt:lpstr>'BASICO 2012- trim 3'!Área_de_impresión</vt:lpstr>
      <vt:lpstr>'Consolidado 2007-trim 3'!Área_de_impresión</vt:lpstr>
      <vt:lpstr>'Consolidado 2007-trim 4'!Área_de_impresión</vt:lpstr>
      <vt:lpstr>'Consolidado 2008-trim 1'!Área_de_impresión</vt:lpstr>
      <vt:lpstr>'Consolidado 2008-trim 2'!Área_de_impresión</vt:lpstr>
      <vt:lpstr>'Consolidado 2008-trim 3'!Área_de_impresión</vt:lpstr>
      <vt:lpstr>'Consolidado 2008-trim 4'!Área_de_impresión</vt:lpstr>
      <vt:lpstr>'Consolidado 2009-trim 1 '!Área_de_impresión</vt:lpstr>
      <vt:lpstr>'Consolidado 2009-trim 2'!Área_de_impresión</vt:lpstr>
      <vt:lpstr>'Consolidado 2009-trim 3'!Área_de_impresión</vt:lpstr>
      <vt:lpstr>'Consolidado 2010-trim 1'!Área_de_impresión</vt:lpstr>
      <vt:lpstr>'Consolidado 2010-trim 2'!Área_de_impresión</vt:lpstr>
      <vt:lpstr>'Consolidado 2010-trim 3'!Área_de_impresión</vt:lpstr>
      <vt:lpstr>'Consolidado 2011-trim 1'!Área_de_impresión</vt:lpstr>
      <vt:lpstr>'Consolidado 2011-trim 2'!Área_de_impresión</vt:lpstr>
      <vt:lpstr>'Consolidado 2011-trim 3'!Área_de_impresión</vt:lpstr>
      <vt:lpstr>'Consolidado 2012-trim 1 '!Área_de_impresión</vt:lpstr>
      <vt:lpstr>'Consolidado 2012-trim 3'!Área_de_impresión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Carmen Janette Sosa Gonzalez</dc:creator>
  <cp:lastModifiedBy>Jorge Andres Rodriguez Mejia</cp:lastModifiedBy>
  <cp:lastPrinted>2014-07-30T18:57:45Z</cp:lastPrinted>
  <dcterms:created xsi:type="dcterms:W3CDTF">2007-10-29T15:05:45Z</dcterms:created>
  <dcterms:modified xsi:type="dcterms:W3CDTF">2021-02-26T20:59:02Z</dcterms:modified>
</cp:coreProperties>
</file>