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tabRatio="756" firstSheet="16" activeTab="20"/>
  </bookViews>
  <sheets>
    <sheet name="BASICO 2013-TRIM 4" sheetId="1" r:id="rId1"/>
    <sheet name="CONSOLIDADO 2013-TRIM 4" sheetId="2" r:id="rId2"/>
    <sheet name="BASICO 2014-TRIM 1" sheetId="3" r:id="rId3"/>
    <sheet name="CONSOLIDADO 2014-TRIM 1" sheetId="4" r:id="rId4"/>
    <sheet name="BASICO 2014-TRIM 2" sheetId="5" r:id="rId5"/>
    <sheet name="CONSOLIDADO 2014-TRIM 2" sheetId="6" r:id="rId6"/>
    <sheet name="BASICO 2014-TRIM 3" sheetId="7" r:id="rId7"/>
    <sheet name="CONSOLIDADO 2014-TRIM 3" sheetId="8" r:id="rId8"/>
    <sheet name="BASICO 2014-TRIM 4" sheetId="9" r:id="rId9"/>
    <sheet name="CONSOLIDADO 2014-TRIM 4" sheetId="10" r:id="rId10"/>
    <sheet name="Consolidated 2015- 1Q" sheetId="11" r:id="rId11"/>
    <sheet name="Consolidated 2015- 2Q" sheetId="12" r:id="rId12"/>
    <sheet name="Consolidated 2015- 3Q" sheetId="13" r:id="rId13"/>
    <sheet name="Consolidated 2015- 4Q" sheetId="14" r:id="rId14"/>
    <sheet name="Consolidated 2016- 1Q" sheetId="15" r:id="rId15"/>
    <sheet name="Consolidated 2016- 2Q" sheetId="16" r:id="rId16"/>
    <sheet name="Consolidated 2016- 3Q" sheetId="17" r:id="rId17"/>
    <sheet name="Consolidated 2016- 4Q" sheetId="18" r:id="rId18"/>
    <sheet name="Consolidated 2017- 1Q" sheetId="19" r:id="rId19"/>
    <sheet name="Consolidated 2017- 2Q " sheetId="20" r:id="rId20"/>
    <sheet name="Consolidated 2017- 3Q" sheetId="21" r:id="rId21"/>
  </sheets>
  <externalReferences>
    <externalReference r:id="rId24"/>
  </externalReferences>
  <definedNames>
    <definedName name="_ac93" localSheetId="0">#REF!</definedName>
    <definedName name="_ac93" localSheetId="4">#REF!</definedName>
    <definedName name="_ac93" localSheetId="6">#REF!</definedName>
    <definedName name="_ac93" localSheetId="8">#REF!</definedName>
    <definedName name="_ac93" localSheetId="1">#REF!</definedName>
    <definedName name="_ac93" localSheetId="5">#REF!</definedName>
    <definedName name="_ac93" localSheetId="7">#REF!</definedName>
    <definedName name="_ac93" localSheetId="9">#REF!</definedName>
    <definedName name="_ac93" localSheetId="15">#REF!</definedName>
    <definedName name="_ac93" localSheetId="16">#REF!</definedName>
    <definedName name="_ac93" localSheetId="17">#REF!</definedName>
    <definedName name="_ac93" localSheetId="18">#REF!</definedName>
    <definedName name="_ac93" localSheetId="19">#REF!</definedName>
    <definedName name="_ac93" localSheetId="20">#REF!</definedName>
    <definedName name="_ac93">#REF!</definedName>
    <definedName name="_ac94" localSheetId="0">#REF!</definedName>
    <definedName name="_ac94" localSheetId="4">#REF!</definedName>
    <definedName name="_ac94" localSheetId="6">#REF!</definedName>
    <definedName name="_ac94" localSheetId="8">#REF!</definedName>
    <definedName name="_ac94" localSheetId="1">#REF!</definedName>
    <definedName name="_ac94" localSheetId="5">#REF!</definedName>
    <definedName name="_ac94" localSheetId="7">#REF!</definedName>
    <definedName name="_ac94" localSheetId="9">#REF!</definedName>
    <definedName name="_ac94" localSheetId="15">#REF!</definedName>
    <definedName name="_ac94" localSheetId="16">#REF!</definedName>
    <definedName name="_ac94" localSheetId="17">#REF!</definedName>
    <definedName name="_ac94" localSheetId="18">#REF!</definedName>
    <definedName name="_ac94" localSheetId="19">#REF!</definedName>
    <definedName name="_ac94" localSheetId="20">#REF!</definedName>
    <definedName name="_ac94">#REF!</definedName>
    <definedName name="_GoBack" localSheetId="10">'Consolidated 2015- 1Q'!#REF!</definedName>
    <definedName name="_GoBack" localSheetId="11">'Consolidated 2015- 2Q'!#REF!</definedName>
    <definedName name="_GoBack" localSheetId="12">'Consolidated 2015- 3Q'!#REF!</definedName>
    <definedName name="_GoBack" localSheetId="13">'Consolidated 2015- 4Q'!$A$1</definedName>
    <definedName name="_GoBack" localSheetId="14">'Consolidated 2016- 1Q'!#REF!</definedName>
    <definedName name="_GoBack" localSheetId="15">'Consolidated 2016- 2Q'!#REF!</definedName>
    <definedName name="_GoBack" localSheetId="16">'Consolidated 2016- 3Q'!#REF!</definedName>
    <definedName name="_GoBack" localSheetId="17">'Consolidated 2016- 4Q'!#REF!</definedName>
    <definedName name="_GoBack" localSheetId="18">'Consolidated 2017- 1Q'!#REF!</definedName>
    <definedName name="_GoBack" localSheetId="19">'Consolidated 2017- 2Q '!#REF!</definedName>
    <definedName name="_GoBack" localSheetId="20">'Consolidated 2017- 3Q'!#REF!</definedName>
    <definedName name="_pat93" localSheetId="0">#REF!</definedName>
    <definedName name="_pat93" localSheetId="4">#REF!</definedName>
    <definedName name="_pat93" localSheetId="6">#REF!</definedName>
    <definedName name="_pat93" localSheetId="8">#REF!</definedName>
    <definedName name="_pat93" localSheetId="1">#REF!</definedName>
    <definedName name="_pat93" localSheetId="5">#REF!</definedName>
    <definedName name="_pat93" localSheetId="7">#REF!</definedName>
    <definedName name="_pat93" localSheetId="9">#REF!</definedName>
    <definedName name="_pat93" localSheetId="15">#REF!</definedName>
    <definedName name="_pat93" localSheetId="16">#REF!</definedName>
    <definedName name="_pat93" localSheetId="17">#REF!</definedName>
    <definedName name="_pat93" localSheetId="18">#REF!</definedName>
    <definedName name="_pat93" localSheetId="19">#REF!</definedName>
    <definedName name="_pat93" localSheetId="20">#REF!</definedName>
    <definedName name="_pat93">#REF!</definedName>
    <definedName name="_pat94" localSheetId="0">#REF!</definedName>
    <definedName name="_pat94" localSheetId="4">#REF!</definedName>
    <definedName name="_pat94" localSheetId="6">#REF!</definedName>
    <definedName name="_pat94" localSheetId="8">#REF!</definedName>
    <definedName name="_pat94" localSheetId="1">#REF!</definedName>
    <definedName name="_pat94" localSheetId="5">#REF!</definedName>
    <definedName name="_pat94" localSheetId="7">#REF!</definedName>
    <definedName name="_pat94" localSheetId="9">#REF!</definedName>
    <definedName name="_pat94" localSheetId="15">#REF!</definedName>
    <definedName name="_pat94" localSheetId="16">#REF!</definedName>
    <definedName name="_pat94" localSheetId="17">#REF!</definedName>
    <definedName name="_pat94" localSheetId="18">#REF!</definedName>
    <definedName name="_pat94" localSheetId="19">#REF!</definedName>
    <definedName name="_pat94" localSheetId="20">#REF!</definedName>
    <definedName name="_pat94">#REF!</definedName>
    <definedName name="A" localSheetId="0">#REF!</definedName>
    <definedName name="A" localSheetId="4">#REF!</definedName>
    <definedName name="A" localSheetId="6">#REF!</definedName>
    <definedName name="A" localSheetId="8">#REF!</definedName>
    <definedName name="A" localSheetId="1">#REF!</definedName>
    <definedName name="A" localSheetId="5">#REF!</definedName>
    <definedName name="A" localSheetId="7">#REF!</definedName>
    <definedName name="A" localSheetId="9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Historicos" localSheetId="0">#REF!</definedName>
    <definedName name="Historicos" localSheetId="4">#REF!</definedName>
    <definedName name="Historicos" localSheetId="6">#REF!</definedName>
    <definedName name="Historicos" localSheetId="8">#REF!</definedName>
    <definedName name="Historicos" localSheetId="1">#REF!</definedName>
    <definedName name="Historicos" localSheetId="5">#REF!</definedName>
    <definedName name="Historicos" localSheetId="7">#REF!</definedName>
    <definedName name="Historicos" localSheetId="9">#REF!</definedName>
    <definedName name="Historicos" localSheetId="15">#REF!</definedName>
    <definedName name="Historicos" localSheetId="16">#REF!</definedName>
    <definedName name="Historicos" localSheetId="17">#REF!</definedName>
    <definedName name="Historicos" localSheetId="18">#REF!</definedName>
    <definedName name="Historicos" localSheetId="19">#REF!</definedName>
    <definedName name="Historicos" localSheetId="20">#REF!</definedName>
    <definedName name="Historicos">#REF!</definedName>
    <definedName name="ingresosoperacionales2003">'[1]pg032004'!$C$16</definedName>
    <definedName name="n" localSheetId="0">#REF!</definedName>
    <definedName name="n" localSheetId="4">#REF!</definedName>
    <definedName name="n" localSheetId="6">#REF!</definedName>
    <definedName name="n" localSheetId="8">#REF!</definedName>
    <definedName name="n" localSheetId="1">#REF!</definedName>
    <definedName name="n" localSheetId="5">#REF!</definedName>
    <definedName name="n" localSheetId="7">#REF!</definedName>
    <definedName name="n" localSheetId="9">#REF!</definedName>
    <definedName name="n" localSheetId="15">#REF!</definedName>
    <definedName name="n" localSheetId="16">#REF!</definedName>
    <definedName name="n" localSheetId="17">#REF!</definedName>
    <definedName name="n" localSheetId="18">#REF!</definedName>
    <definedName name="n" localSheetId="19">#REF!</definedName>
    <definedName name="n" localSheetId="20">#REF!</definedName>
    <definedName name="n">#REF!</definedName>
    <definedName name="P" localSheetId="0">#REF!</definedName>
    <definedName name="P" localSheetId="4">#REF!</definedName>
    <definedName name="P" localSheetId="6">#REF!</definedName>
    <definedName name="P" localSheetId="8">#REF!</definedName>
    <definedName name="P" localSheetId="1">#REF!</definedName>
    <definedName name="P" localSheetId="5">#REF!</definedName>
    <definedName name="P" localSheetId="7">#REF!</definedName>
    <definedName name="P" localSheetId="9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9">#REF!</definedName>
    <definedName name="P" localSheetId="20">#REF!</definedName>
    <definedName name="P">#REF!</definedName>
    <definedName name="PresentationNormalA4" localSheetId="0">#REF!</definedName>
    <definedName name="PresentationNormalA4" localSheetId="4">#REF!</definedName>
    <definedName name="PresentationNormalA4" localSheetId="6">#REF!</definedName>
    <definedName name="PresentationNormalA4" localSheetId="8">#REF!</definedName>
    <definedName name="PresentationNormalA4" localSheetId="1">#REF!</definedName>
    <definedName name="PresentationNormalA4" localSheetId="5">#REF!</definedName>
    <definedName name="PresentationNormalA4" localSheetId="7">#REF!</definedName>
    <definedName name="PresentationNormalA4" localSheetId="9">#REF!</definedName>
    <definedName name="PresentationNormalA4" localSheetId="15">#REF!</definedName>
    <definedName name="PresentationNormalA4" localSheetId="16">#REF!</definedName>
    <definedName name="PresentationNormalA4" localSheetId="17">#REF!</definedName>
    <definedName name="PresentationNormalA4" localSheetId="18">#REF!</definedName>
    <definedName name="PresentationNormalA4" localSheetId="19">#REF!</definedName>
    <definedName name="PresentationNormalA4" localSheetId="20">#REF!</definedName>
    <definedName name="PresentationNormalA4">#REF!</definedName>
    <definedName name="rate" localSheetId="0">#REF!</definedName>
    <definedName name="rate" localSheetId="4">#REF!</definedName>
    <definedName name="rate" localSheetId="6">#REF!</definedName>
    <definedName name="rate" localSheetId="8">#REF!</definedName>
    <definedName name="rate" localSheetId="1">#REF!</definedName>
    <definedName name="rate" localSheetId="5">#REF!</definedName>
    <definedName name="rate" localSheetId="7">#REF!</definedName>
    <definedName name="rate" localSheetId="9">#REF!</definedName>
    <definedName name="rate" localSheetId="15">#REF!</definedName>
    <definedName name="rate" localSheetId="16">#REF!</definedName>
    <definedName name="rate" localSheetId="17">#REF!</definedName>
    <definedName name="rate" localSheetId="18">#REF!</definedName>
    <definedName name="rate" localSheetId="19">#REF!</definedName>
    <definedName name="rate" localSheetId="20">#REF!</definedName>
    <definedName name="rate">#REF!</definedName>
    <definedName name="TestAdd">"Test RefersTo1"</definedName>
    <definedName name="totalactivo" localSheetId="0">#REF!</definedName>
    <definedName name="totalactivo" localSheetId="4">#REF!</definedName>
    <definedName name="totalactivo" localSheetId="6">#REF!</definedName>
    <definedName name="totalactivo" localSheetId="8">#REF!</definedName>
    <definedName name="totalactivo" localSheetId="1">#REF!</definedName>
    <definedName name="totalactivo" localSheetId="5">#REF!</definedName>
    <definedName name="totalactivo" localSheetId="7">#REF!</definedName>
    <definedName name="totalactivo" localSheetId="9">#REF!</definedName>
    <definedName name="totalactivo" localSheetId="15">#REF!</definedName>
    <definedName name="totalactivo" localSheetId="16">#REF!</definedName>
    <definedName name="totalactivo" localSheetId="17">#REF!</definedName>
    <definedName name="totalactivo" localSheetId="18">#REF!</definedName>
    <definedName name="totalactivo" localSheetId="19">#REF!</definedName>
    <definedName name="totalactivo" localSheetId="20">#REF!</definedName>
    <definedName name="totalactivo">#REF!</definedName>
    <definedName name="Totalingresoso" localSheetId="0">#REF!</definedName>
    <definedName name="Totalingresoso" localSheetId="4">#REF!</definedName>
    <definedName name="Totalingresoso" localSheetId="6">#REF!</definedName>
    <definedName name="Totalingresoso" localSheetId="8">#REF!</definedName>
    <definedName name="Totalingresoso" localSheetId="1">#REF!</definedName>
    <definedName name="Totalingresoso" localSheetId="5">#REF!</definedName>
    <definedName name="Totalingresoso" localSheetId="7">#REF!</definedName>
    <definedName name="Totalingresoso" localSheetId="9">#REF!</definedName>
    <definedName name="Totalingresoso" localSheetId="15">#REF!</definedName>
    <definedName name="Totalingresoso" localSheetId="16">#REF!</definedName>
    <definedName name="Totalingresoso" localSheetId="17">#REF!</definedName>
    <definedName name="Totalingresoso" localSheetId="18">#REF!</definedName>
    <definedName name="Totalingresoso" localSheetId="19">#REF!</definedName>
    <definedName name="Totalingresoso" localSheetId="20">#REF!</definedName>
    <definedName name="Totalingresoso">#REF!</definedName>
    <definedName name="totalingresosoperacionales">'[1]pg032004'!$B$16</definedName>
  </definedNames>
  <calcPr fullCalcOnLoad="1"/>
</workbook>
</file>

<file path=xl/sharedStrings.xml><?xml version="1.0" encoding="utf-8"?>
<sst xmlns="http://schemas.openxmlformats.org/spreadsheetml/2006/main" count="1864" uniqueCount="237">
  <si>
    <t>% Variac.</t>
  </si>
  <si>
    <t>N.C</t>
  </si>
  <si>
    <t>Número de acciones en circulación</t>
  </si>
  <si>
    <t>Valor intrínseco por acción (en pesos colombianos)</t>
  </si>
  <si>
    <t>2012-1q</t>
  </si>
  <si>
    <t>2013-1q</t>
  </si>
  <si>
    <t>2012-2q</t>
  </si>
  <si>
    <t>2013-2q</t>
  </si>
  <si>
    <t>2012-3q</t>
  </si>
  <si>
    <t>2013-3q</t>
  </si>
  <si>
    <t>2012-4q</t>
  </si>
  <si>
    <t>2013-4q</t>
  </si>
  <si>
    <t>2012 Acum</t>
  </si>
  <si>
    <t>2013 Acum</t>
  </si>
  <si>
    <t>CONSOLIDATED BALANCE SHEET</t>
  </si>
  <si>
    <t>(Values expressed in COP million)</t>
  </si>
  <si>
    <t>ASSETS</t>
  </si>
  <si>
    <t>Cash and temporary investments</t>
  </si>
  <si>
    <t>Investments</t>
  </si>
  <si>
    <t>Receivables</t>
  </si>
  <si>
    <t>Inventories</t>
  </si>
  <si>
    <t>Property, plant and equipment</t>
  </si>
  <si>
    <t>Intangibles</t>
  </si>
  <si>
    <t>Deferred assets</t>
  </si>
  <si>
    <t>Other assets</t>
  </si>
  <si>
    <t>Appreciation</t>
  </si>
  <si>
    <t>Total Assents</t>
  </si>
  <si>
    <t>LIABILITIES &amp; EQUITY</t>
  </si>
  <si>
    <t>Financial liabilities</t>
  </si>
  <si>
    <t>Suppliers</t>
  </si>
  <si>
    <t>Accounts payable</t>
  </si>
  <si>
    <t>Taxes, duties and tariffs</t>
  </si>
  <si>
    <t>Labor liabilities</t>
  </si>
  <si>
    <t>Estimaded liabilities and provisions</t>
  </si>
  <si>
    <t>Deferred liabilities</t>
  </si>
  <si>
    <t>Other liabilities</t>
  </si>
  <si>
    <t>Total liabilities</t>
  </si>
  <si>
    <t>Minority interest</t>
  </si>
  <si>
    <t>EQUITY</t>
  </si>
  <si>
    <t>TOTAL LIABILITIES AND EQUITY</t>
  </si>
  <si>
    <t>CONSOLIDATES INCOME STATEMENT</t>
  </si>
  <si>
    <t>% Ingresos</t>
  </si>
  <si>
    <t>2012-Acum</t>
  </si>
  <si>
    <t>2013-Acum</t>
  </si>
  <si>
    <t>Total operating revenues</t>
  </si>
  <si>
    <t>Cost of goods sold</t>
  </si>
  <si>
    <t>Gross income</t>
  </si>
  <si>
    <t>Administrative expenses</t>
  </si>
  <si>
    <t>Sales expenses</t>
  </si>
  <si>
    <t>Production expenses</t>
  </si>
  <si>
    <t>Total Operating expenses</t>
  </si>
  <si>
    <t>Operating income</t>
  </si>
  <si>
    <t>Financial revenues</t>
  </si>
  <si>
    <t>Financial expenses</t>
  </si>
  <si>
    <t>Foreign currency exposure</t>
  </si>
  <si>
    <t>Other revenues (expenditures), net</t>
  </si>
  <si>
    <t>Dividends (non-food)</t>
  </si>
  <si>
    <t>Non-recurring capital gains</t>
  </si>
  <si>
    <t>Non-operating, net</t>
  </si>
  <si>
    <t>Income before tax</t>
  </si>
  <si>
    <t>Income  tax</t>
  </si>
  <si>
    <t>Net Income</t>
  </si>
  <si>
    <t xml:space="preserve">CONSOLIDATED EBITDA </t>
  </si>
  <si>
    <t>* Información ilustrativa, no auditada.</t>
  </si>
  <si>
    <t>Revenues from application of equity method</t>
  </si>
  <si>
    <t>Sales of investments</t>
  </si>
  <si>
    <t>Dividends</t>
  </si>
  <si>
    <t>Financials  &amp; others</t>
  </si>
  <si>
    <t>Total Operating Revenues</t>
  </si>
  <si>
    <t>Operational Expenses</t>
  </si>
  <si>
    <t>Operating Income</t>
  </si>
  <si>
    <t>Non-operating revenues</t>
  </si>
  <si>
    <t>Non-operating expenses</t>
  </si>
  <si>
    <t>Pre-tax Earnings</t>
  </si>
  <si>
    <t>Income tax</t>
  </si>
  <si>
    <t>Net Earnings</t>
  </si>
  <si>
    <t>INDIVIDUAL BALANCE SHEET</t>
  </si>
  <si>
    <t>INDIVIDUAL INCOME STATEMENT</t>
  </si>
  <si>
    <t>Intangibles, deferred assets and other assets</t>
  </si>
  <si>
    <t>Suppliers and accounts payable</t>
  </si>
  <si>
    <t>Deferred liabilities and Other liabilities</t>
  </si>
  <si>
    <t>2014-1q</t>
  </si>
  <si>
    <t>Total Activo</t>
  </si>
  <si>
    <t>BALANCE GENERAL CONSOLIDADO</t>
  </si>
  <si>
    <t>% Varjac.</t>
  </si>
  <si>
    <t>* Information illustrative unaudited.</t>
  </si>
  <si>
    <t>2014-2q</t>
  </si>
  <si>
    <t>2014-Acum</t>
  </si>
  <si>
    <t>N/A</t>
  </si>
  <si>
    <t>2014-3q</t>
  </si>
  <si>
    <t>2014-4q</t>
  </si>
  <si>
    <t>December 2014</t>
  </si>
  <si>
    <t>% var</t>
  </si>
  <si>
    <t>LIABILITIES</t>
  </si>
  <si>
    <t>Consolidated EBITDA</t>
  </si>
  <si>
    <t>Gross profit</t>
  </si>
  <si>
    <t>Non-controlling interest</t>
  </si>
  <si>
    <t xml:space="preserve">At March 31 </t>
  </si>
  <si>
    <t>% Revenues</t>
  </si>
  <si>
    <t>% Var</t>
  </si>
  <si>
    <t xml:space="preserve">At June 30 </t>
  </si>
  <si>
    <t>2014-1Q</t>
  </si>
  <si>
    <t>2015-1Q</t>
  </si>
  <si>
    <t>2014-2Q</t>
  </si>
  <si>
    <t>2015-2Q</t>
  </si>
  <si>
    <t>2014-1H</t>
  </si>
  <si>
    <t>2015-1H</t>
  </si>
  <si>
    <t>At  December 31</t>
  </si>
  <si>
    <t>At December 31</t>
  </si>
  <si>
    <t>From January 1 to December 31 de 2014</t>
  </si>
  <si>
    <t>At September 30</t>
  </si>
  <si>
    <t>From January 1 to September 30 de 2014</t>
  </si>
  <si>
    <t>At June 30</t>
  </si>
  <si>
    <t>From January 1 to June 30 de 2014</t>
  </si>
  <si>
    <t>From January 1 to March 31 de 2014</t>
  </si>
  <si>
    <t>At December 31 de 2013</t>
  </si>
  <si>
    <t>From January 1 to December 31,  2013</t>
  </si>
  <si>
    <t>2014-3Q</t>
  </si>
  <si>
    <t>2015-3Q</t>
  </si>
  <si>
    <t xml:space="preserve">At September 30 </t>
  </si>
  <si>
    <t>From January 1st  to September 30th, 2015</t>
  </si>
  <si>
    <t>From January 1st to June 30th, 2015</t>
  </si>
  <si>
    <t>From January 1st  to March 31th, 2015</t>
  </si>
  <si>
    <t>Non-current assets held for sale</t>
  </si>
  <si>
    <t>December 2015</t>
  </si>
  <si>
    <t>2014-4Q</t>
  </si>
  <si>
    <t>2015-4Q</t>
  </si>
  <si>
    <t>2014-FY</t>
  </si>
  <si>
    <t>2015-FY</t>
  </si>
  <si>
    <t>2014-9M</t>
  </si>
  <si>
    <t>2015-9M</t>
  </si>
  <si>
    <t>(Values expressed in millions of Colombian Pesos)</t>
  </si>
  <si>
    <t>(Unaudited information)</t>
  </si>
  <si>
    <t>Current assets</t>
  </si>
  <si>
    <t xml:space="preserve">Cash and cash equivalents </t>
  </si>
  <si>
    <t xml:space="preserve">Trade and other receivables </t>
  </si>
  <si>
    <t>Biological assets</t>
  </si>
  <si>
    <t>Other current assets</t>
  </si>
  <si>
    <t>Total current assets</t>
  </si>
  <si>
    <t xml:space="preserve">Non-current assets </t>
  </si>
  <si>
    <t>Non-current, biological assets</t>
  </si>
  <si>
    <t>Investments in associated and joint ventures</t>
  </si>
  <si>
    <t>Other financial non-current assets</t>
  </si>
  <si>
    <t>Property, plant and equipment, net</t>
  </si>
  <si>
    <t>Investment properties</t>
  </si>
  <si>
    <t>Goodwill</t>
  </si>
  <si>
    <t>Other intangible assets</t>
  </si>
  <si>
    <t>Deferred tax assets</t>
  </si>
  <si>
    <t>Total non-current assets</t>
  </si>
  <si>
    <t>TOTAL ASSETS</t>
  </si>
  <si>
    <t>Current liabilities</t>
  </si>
  <si>
    <t>Financial obligations</t>
  </si>
  <si>
    <t>Trade and other payables</t>
  </si>
  <si>
    <t xml:space="preserve">Tax charges </t>
  </si>
  <si>
    <t>Employee benefits liabilities</t>
  </si>
  <si>
    <t>Current provisions</t>
  </si>
  <si>
    <t>Total current liabilities</t>
  </si>
  <si>
    <t>Non-current liabilities</t>
  </si>
  <si>
    <t>Deferred tax liabilities</t>
  </si>
  <si>
    <t>-</t>
  </si>
  <si>
    <t>Total non-current liabilities</t>
  </si>
  <si>
    <t>TOTAL LIABILITIES</t>
  </si>
  <si>
    <t>SHAREHOLDER EQUITY</t>
  </si>
  <si>
    <t>Equity attributable to the controlling interest</t>
  </si>
  <si>
    <t xml:space="preserve">TOTAL SHAREHOLDER EQUITY </t>
  </si>
  <si>
    <t xml:space="preserve">Comprehensive Income Statement </t>
  </si>
  <si>
    <t>2014-1T</t>
  </si>
  <si>
    <t>2015-1T</t>
  </si>
  <si>
    <t>Continuing operations</t>
  </si>
  <si>
    <t>Operating revenue</t>
  </si>
  <si>
    <t xml:space="preserve">Administrative expenses </t>
  </si>
  <si>
    <t xml:space="preserve">Sales expenses </t>
  </si>
  <si>
    <t xml:space="preserve">Production expenses </t>
  </si>
  <si>
    <t xml:space="preserve">Exchange differences on operating assets and liabilities </t>
  </si>
  <si>
    <t xml:space="preserve">Other operating expenses, net     </t>
  </si>
  <si>
    <t>Operating profit</t>
  </si>
  <si>
    <t xml:space="preserve">Financial income </t>
  </si>
  <si>
    <t xml:space="preserve">Financial expenses </t>
  </si>
  <si>
    <t xml:space="preserve">Exchange differences on non-operating assets and liabilities </t>
  </si>
  <si>
    <t xml:space="preserve">Loss on net monetary position </t>
  </si>
  <si>
    <t xml:space="preserve">Share of profit of associates and joint ventures </t>
  </si>
  <si>
    <t xml:space="preserve">Other income (expenses), net </t>
  </si>
  <si>
    <t xml:space="preserve">Income before tax and non-controlling interest </t>
  </si>
  <si>
    <t>Current income tax</t>
  </si>
  <si>
    <t xml:space="preserve">Deferred income tax   </t>
  </si>
  <si>
    <t>Profit after taxes from continuous operations</t>
  </si>
  <si>
    <t>Discontinued operations, after income tax</t>
  </si>
  <si>
    <t>Net profit for the year</t>
  </si>
  <si>
    <t xml:space="preserve">Profit for the period attributable to: </t>
  </si>
  <si>
    <t>Controlling interest</t>
  </si>
  <si>
    <t>At December 31st of 2015, 2014</t>
  </si>
  <si>
    <t>From January 1st to December 31st ,2015</t>
  </si>
  <si>
    <t>From January 1st  to March 31th, 2016</t>
  </si>
  <si>
    <t>2016-1Q</t>
  </si>
  <si>
    <t xml:space="preserve">Portfolio dividend </t>
  </si>
  <si>
    <t>Portfolio dividend</t>
  </si>
  <si>
    <t xml:space="preserve">Financial Position Statement </t>
  </si>
  <si>
    <t>% Revenue</t>
  </si>
  <si>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2016</t>
    </r>
  </si>
  <si>
    <r>
      <t xml:space="preserve"> </t>
    </r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</si>
  <si>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June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</si>
  <si>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September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</si>
  <si>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December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</si>
  <si>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t>From January 1st to June 30th, 2016</t>
  </si>
  <si>
    <t>2016-2Q</t>
  </si>
  <si>
    <t>2016-1H</t>
  </si>
  <si>
    <t xml:space="preserve"> June 2016</t>
  </si>
  <si>
    <t>2016-9M</t>
  </si>
  <si>
    <t>From January 1st  to September 30th, 2016</t>
  </si>
  <si>
    <t>2016-3Q</t>
  </si>
  <si>
    <t xml:space="preserve"> September 2016</t>
  </si>
  <si>
    <t>December 2016</t>
  </si>
  <si>
    <t>At December 31st of 2016, 2015</t>
  </si>
  <si>
    <t>From January 1st to December 31st ,2016</t>
  </si>
  <si>
    <t>2016-FY</t>
  </si>
  <si>
    <t>2016-4Q</t>
  </si>
  <si>
    <t>At March 31st of 2017, 2016</t>
  </si>
  <si>
    <t>From January 1st  to March 31th, 2017</t>
  </si>
  <si>
    <t>2017-1Q</t>
  </si>
  <si>
    <r>
      <rPr>
        <b/>
        <sz val="8"/>
        <color indexed="63"/>
        <rFont val="Calibri"/>
        <family val="2"/>
      </rPr>
      <t>March 2017</t>
    </r>
  </si>
  <si>
    <t>Diciembre 2016</t>
  </si>
  <si>
    <r>
      <t xml:space="preserve"> June</t>
    </r>
    <r>
      <rPr>
        <b/>
        <sz val="8"/>
        <color indexed="8"/>
        <rFont val="Calibri"/>
        <family val="2"/>
      </rPr>
      <t>2017</t>
    </r>
  </si>
  <si>
    <t>Other non -current assets</t>
  </si>
  <si>
    <t>Other current liabilities</t>
  </si>
  <si>
    <t>Other non-current liabilities</t>
  </si>
  <si>
    <t>2017-2Q</t>
  </si>
  <si>
    <t>2017-1H</t>
  </si>
  <si>
    <t>From January 1st  to June 30th, 2017</t>
  </si>
  <si>
    <t>Portfolio dividends</t>
  </si>
  <si>
    <t xml:space="preserve">Other incolme (expenses), net     </t>
  </si>
  <si>
    <t>Net profit for the period</t>
  </si>
  <si>
    <t>At June 30st of 2017, 2016</t>
  </si>
  <si>
    <t>From January 1st  to September 30th, 2017</t>
  </si>
  <si>
    <r>
      <t xml:space="preserve"> September </t>
    </r>
    <r>
      <rPr>
        <b/>
        <sz val="8"/>
        <color indexed="8"/>
        <rFont val="Calibri"/>
        <family val="2"/>
      </rPr>
      <t>2017</t>
    </r>
  </si>
  <si>
    <t>2017-9M</t>
  </si>
  <si>
    <t>2017-3Q</t>
  </si>
  <si>
    <t>At september 30th of 2017, 2016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</si>
</sst>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0.0%"/>
    <numFmt numFmtId="187" formatCode="#,##0.0"/>
    <numFmt numFmtId="188" formatCode="_ * #,##0.00_ ;_ * \-#,##0.00_ ;_ * &quot;-&quot;??_ ;_ @_ "/>
    <numFmt numFmtId="189" formatCode="_ * #,##0_ ;_ * \-#,##0_ ;_ * &quot;-&quot;??_ ;_ @_ "/>
    <numFmt numFmtId="190" formatCode="#,##0.0_);\(#,##0.0\)"/>
    <numFmt numFmtId="191" formatCode="&quot;$&quot;_(#,##0.00_);&quot;$&quot;\(#,##0.00\)"/>
    <numFmt numFmtId="192" formatCode="#,##0.0_)\x;\(#,##0.0\)\x"/>
    <numFmt numFmtId="193" formatCode="#,##0.0_)_x;\(#,##0.0\)_x"/>
    <numFmt numFmtId="194" formatCode="0.0_)\%;\(0.0\)\%"/>
    <numFmt numFmtId="195" formatCode="#,##0.0_)_%;\(#,##0.0\)_%"/>
    <numFmt numFmtId="196" formatCode="_ [$€-2]\ * #,##0.00_ ;_ [$€-2]\ * \-#,##0.00_ ;_ [$€-2]\ * &quot;-&quot;??_ "/>
    <numFmt numFmtId="197" formatCode="_-* #,##0\ _p_t_a_-;\-* #,##0\ _p_t_a_-;_-* &quot;-&quot;\ _p_t_a_-;_-@_-"/>
    <numFmt numFmtId="198" formatCode="0.000%"/>
    <numFmt numFmtId="199" formatCode="_-#,###,,\ _€_-;\-#,###,,\ _€_-;_-* &quot;-&quot;??\ _€_-;_-@_-"/>
    <numFmt numFmtId="200" formatCode="_(* #,##0_);_(* \(#,##0\);_(* &quot;-&quot;??_);_(@_)"/>
    <numFmt numFmtId="201" formatCode="#,##0_ ;\-#,##0\ "/>
    <numFmt numFmtId="202" formatCode="_ [$€-2]\ * #,##0_ ;_ [$€-2]\ * \-#,##0_ ;_ [$€-2]\ * &quot;-&quot;??_ "/>
    <numFmt numFmtId="203" formatCode="_ * #,##0.0_ ;_ * \-#,##0.0_ ;_ * &quot;-&quot;??_ ;_ @_ "/>
  </numFmts>
  <fonts count="97">
    <font>
      <sz val="10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 Narrow"/>
      <family val="2"/>
    </font>
    <font>
      <sz val="9"/>
      <name val="Arial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7"/>
      <name val="Calibri"/>
      <family val="2"/>
    </font>
    <font>
      <b/>
      <sz val="11"/>
      <color indexed="23"/>
      <name val="Calibri"/>
      <family val="2"/>
    </font>
    <font>
      <b/>
      <sz val="8"/>
      <color indexed="23"/>
      <name val="Calibri"/>
      <family val="2"/>
    </font>
    <font>
      <b/>
      <sz val="10"/>
      <color indexed="23"/>
      <name val="Trebuchet MS"/>
      <family val="2"/>
    </font>
    <font>
      <sz val="10"/>
      <color indexed="23"/>
      <name val="Trebuchet MS"/>
      <family val="2"/>
    </font>
    <font>
      <b/>
      <sz val="10"/>
      <color indexed="8"/>
      <name val="Trebuchet MS"/>
      <family val="2"/>
    </font>
    <font>
      <b/>
      <sz val="10"/>
      <color indexed="60"/>
      <name val="Trebuchet MS"/>
      <family val="2"/>
    </font>
    <font>
      <sz val="10"/>
      <color indexed="60"/>
      <name val="Trebuchet MS"/>
      <family val="2"/>
    </font>
    <font>
      <sz val="10"/>
      <color indexed="23"/>
      <name val="Lucida Sans Unicode"/>
      <family val="2"/>
    </font>
    <font>
      <sz val="10"/>
      <color indexed="8"/>
      <name val="Trebuchet MS"/>
      <family val="2"/>
    </font>
    <font>
      <sz val="10"/>
      <color indexed="17"/>
      <name val="Trebuchet MS"/>
      <family val="2"/>
    </font>
    <font>
      <b/>
      <sz val="10"/>
      <color indexed="23"/>
      <name val="Lucida Sans Unicode"/>
      <family val="2"/>
    </font>
    <font>
      <b/>
      <sz val="10"/>
      <color indexed="17"/>
      <name val="Trebuchet MS"/>
      <family val="2"/>
    </font>
    <font>
      <sz val="10"/>
      <color indexed="9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7"/>
      <name val="Calibri"/>
      <family val="2"/>
    </font>
    <font>
      <sz val="8"/>
      <color indexed="63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5"/>
      <color indexed="63"/>
      <name val="Calibri"/>
      <family val="2"/>
    </font>
    <font>
      <sz val="5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6" tint="-0.24997000396251678"/>
      <name val="Calibri"/>
      <family val="2"/>
    </font>
    <font>
      <b/>
      <sz val="11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b/>
      <sz val="10"/>
      <color theme="0" tint="-0.4999699890613556"/>
      <name val="Trebuchet MS"/>
      <family val="2"/>
    </font>
    <font>
      <sz val="10"/>
      <color theme="0" tint="-0.4999699890613556"/>
      <name val="Trebuchet MS"/>
      <family val="2"/>
    </font>
    <font>
      <b/>
      <sz val="10"/>
      <color theme="1" tint="0.04998999834060669"/>
      <name val="Trebuchet MS"/>
      <family val="2"/>
    </font>
    <font>
      <b/>
      <sz val="10"/>
      <color theme="5" tint="-0.24997000396251678"/>
      <name val="Trebuchet MS"/>
      <family val="2"/>
    </font>
    <font>
      <sz val="10"/>
      <color theme="5" tint="-0.24997000396251678"/>
      <name val="Trebuchet MS"/>
      <family val="2"/>
    </font>
    <font>
      <sz val="10"/>
      <color theme="0" tint="-0.4999699890613556"/>
      <name val="Lucida Sans Unicode"/>
      <family val="2"/>
    </font>
    <font>
      <sz val="10"/>
      <color theme="1" tint="0.04998999834060669"/>
      <name val="Trebuchet MS"/>
      <family val="2"/>
    </font>
    <font>
      <sz val="10"/>
      <color theme="6" tint="-0.4999699890613556"/>
      <name val="Trebuchet MS"/>
      <family val="2"/>
    </font>
    <font>
      <b/>
      <sz val="10"/>
      <color theme="0" tint="-0.4999699890613556"/>
      <name val="Lucida Sans Unicode"/>
      <family val="2"/>
    </font>
    <font>
      <b/>
      <sz val="10"/>
      <color theme="6" tint="-0.4999699890613556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C00000"/>
      <name val="Trebuchet MS"/>
      <family val="2"/>
    </font>
    <font>
      <sz val="10"/>
      <color rgb="FFC00000"/>
      <name val="Trebuchet MS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8"/>
      <color rgb="FF404040"/>
      <name val="Calibri"/>
      <family val="2"/>
    </font>
    <font>
      <b/>
      <sz val="8"/>
      <color rgb="FF056224"/>
      <name val="Calibri"/>
      <family val="2"/>
    </font>
    <font>
      <sz val="8"/>
      <color rgb="FF404040"/>
      <name val="Calibri"/>
      <family val="2"/>
    </font>
    <font>
      <sz val="8"/>
      <color rgb="FF056224"/>
      <name val="Calibri"/>
      <family val="2"/>
    </font>
    <font>
      <sz val="8"/>
      <color rgb="FF000000"/>
      <name val="Calibri"/>
      <family val="2"/>
    </font>
    <font>
      <sz val="5"/>
      <color rgb="FF404040"/>
      <name val="Calibri"/>
      <family val="2"/>
    </font>
    <font>
      <sz val="5"/>
      <color rgb="FF056224"/>
      <name val="Calibri"/>
      <family val="2"/>
    </font>
    <font>
      <b/>
      <sz val="8"/>
      <color theme="0"/>
      <name val="Calibri"/>
      <family val="2"/>
    </font>
    <font>
      <b/>
      <sz val="8"/>
      <color rgb="FFFFFFFF"/>
      <name val="Calibri"/>
      <family val="2"/>
    </font>
    <font>
      <b/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797"/>
        <bgColor indexed="64"/>
      </patternFill>
    </fill>
    <fill>
      <patternFill patternType="solid">
        <fgColor rgb="FFBFD3BF"/>
        <bgColor indexed="64"/>
      </patternFill>
    </fill>
    <fill>
      <patternFill patternType="solid">
        <fgColor rgb="FF056224"/>
        <bgColor indexed="64"/>
      </patternFill>
    </fill>
    <fill>
      <patternFill patternType="solid">
        <fgColor rgb="FF2DB6AB"/>
        <bgColor indexed="64"/>
      </patternFill>
    </fill>
    <fill>
      <patternFill patternType="solid">
        <fgColor rgb="FFDFE9DF"/>
        <bgColor indexed="64"/>
      </patternFill>
    </fill>
    <fill>
      <patternFill patternType="solid">
        <fgColor rgb="FFCBE8E6"/>
        <bgColor indexed="64"/>
      </patternFill>
    </fill>
    <fill>
      <patternFill patternType="solid">
        <fgColor rgb="FF006A5D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 style="medium">
        <color rgb="FF7F7F7F"/>
      </right>
      <top>
        <color indexed="63"/>
      </top>
      <bottom>
        <color indexed="63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056224"/>
      </bottom>
    </border>
    <border>
      <left>
        <color indexed="63"/>
      </left>
      <right>
        <color indexed="63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7F7F7F"/>
      </bottom>
    </border>
    <border>
      <left style="medium">
        <color rgb="FF7F7F7F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>
        <color indexed="63"/>
      </right>
      <top style="mediumDashed">
        <color theme="1" tint="0.24995000660419464"/>
      </top>
      <bottom style="thick">
        <color rgb="FF056224"/>
      </bottom>
    </border>
    <border>
      <left>
        <color indexed="63"/>
      </left>
      <right>
        <color indexed="63"/>
      </right>
      <top>
        <color indexed="63"/>
      </top>
      <bottom style="mediumDashed">
        <color rgb="FF404040"/>
      </bottom>
    </border>
    <border>
      <left style="medium">
        <color rgb="FF808080"/>
      </left>
      <right style="medium">
        <color rgb="FF808080"/>
      </right>
      <top style="mediumDashed">
        <color rgb="FF404040"/>
      </top>
      <bottom style="thick">
        <color rgb="FF056224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056224"/>
      </bottom>
    </border>
    <border>
      <left style="medium">
        <color rgb="FF808080"/>
      </left>
      <right style="medium">
        <color rgb="FF808080"/>
      </right>
      <top style="mediumDashed">
        <color theme="1" tint="0.24995000660419464"/>
      </top>
      <bottom style="thick">
        <color rgb="FF056224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7F7F7F"/>
      </bottom>
    </border>
  </borders>
  <cellStyleXfs count="79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>
      <alignment vertical="top"/>
      <protection/>
    </xf>
    <xf numFmtId="196" fontId="0" fillId="0" borderId="0" applyFont="0" applyFill="0" applyBorder="0" applyAlignment="0" applyProtection="0"/>
    <xf numFmtId="0" fontId="57" fillId="30" borderId="0" applyNumberFormat="0" applyBorder="0" applyAlignment="0" applyProtection="0"/>
    <xf numFmtId="188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5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86" fontId="2" fillId="33" borderId="0" xfId="70" applyNumberFormat="1" applyFont="1" applyFill="1" applyAlignment="1">
      <alignment/>
    </xf>
    <xf numFmtId="187" fontId="2" fillId="33" borderId="0" xfId="0" applyNumberFormat="1" applyFont="1" applyFill="1" applyAlignment="1">
      <alignment/>
    </xf>
    <xf numFmtId="0" fontId="65" fillId="33" borderId="0" xfId="65" applyFont="1" applyFill="1" applyAlignment="1">
      <alignment horizontal="left"/>
      <protection/>
    </xf>
    <xf numFmtId="0" fontId="66" fillId="33" borderId="0" xfId="65" applyFont="1" applyFill="1">
      <alignment/>
      <protection/>
    </xf>
    <xf numFmtId="0" fontId="67" fillId="33" borderId="0" xfId="65" applyFont="1" applyFill="1" applyBorder="1">
      <alignment/>
      <protection/>
    </xf>
    <xf numFmtId="3" fontId="68" fillId="33" borderId="0" xfId="0" applyNumberFormat="1" applyFont="1" applyFill="1" applyAlignment="1">
      <alignment/>
    </xf>
    <xf numFmtId="3" fontId="69" fillId="33" borderId="0" xfId="0" applyNumberFormat="1" applyFont="1" applyFill="1" applyAlignment="1">
      <alignment/>
    </xf>
    <xf numFmtId="186" fontId="69" fillId="33" borderId="0" xfId="70" applyNumberFormat="1" applyFont="1" applyFill="1" applyAlignment="1">
      <alignment/>
    </xf>
    <xf numFmtId="187" fontId="69" fillId="33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0" xfId="0" applyFont="1" applyFill="1" applyAlignment="1">
      <alignment/>
    </xf>
    <xf numFmtId="0" fontId="68" fillId="33" borderId="10" xfId="0" applyFont="1" applyFill="1" applyBorder="1" applyAlignment="1">
      <alignment horizontal="center"/>
    </xf>
    <xf numFmtId="0" fontId="70" fillId="4" borderId="10" xfId="0" applyFont="1" applyFill="1" applyBorder="1" applyAlignment="1">
      <alignment horizontal="center"/>
    </xf>
    <xf numFmtId="186" fontId="68" fillId="2" borderId="10" xfId="70" applyNumberFormat="1" applyFont="1" applyFill="1" applyBorder="1" applyAlignment="1">
      <alignment horizontal="center"/>
    </xf>
    <xf numFmtId="0" fontId="69" fillId="33" borderId="11" xfId="67" applyFont="1" applyFill="1" applyBorder="1">
      <alignment/>
      <protection/>
    </xf>
    <xf numFmtId="3" fontId="69" fillId="4" borderId="0" xfId="0" applyNumberFormat="1" applyFont="1" applyFill="1" applyAlignment="1">
      <alignment/>
    </xf>
    <xf numFmtId="186" fontId="69" fillId="2" borderId="0" xfId="70" applyNumberFormat="1" applyFont="1" applyFill="1" applyAlignment="1">
      <alignment/>
    </xf>
    <xf numFmtId="188" fontId="69" fillId="33" borderId="0" xfId="56" applyFont="1" applyFill="1" applyAlignment="1">
      <alignment/>
    </xf>
    <xf numFmtId="186" fontId="69" fillId="2" borderId="0" xfId="70" applyNumberFormat="1" applyFont="1" applyFill="1" applyAlignment="1">
      <alignment horizontal="right"/>
    </xf>
    <xf numFmtId="3" fontId="68" fillId="33" borderId="12" xfId="0" applyNumberFormat="1" applyFont="1" applyFill="1" applyBorder="1" applyAlignment="1">
      <alignment/>
    </xf>
    <xf numFmtId="3" fontId="68" fillId="4" borderId="12" xfId="0" applyNumberFormat="1" applyFont="1" applyFill="1" applyBorder="1" applyAlignment="1">
      <alignment/>
    </xf>
    <xf numFmtId="186" fontId="69" fillId="2" borderId="12" xfId="70" applyNumberFormat="1" applyFont="1" applyFill="1" applyBorder="1" applyAlignment="1">
      <alignment/>
    </xf>
    <xf numFmtId="0" fontId="68" fillId="33" borderId="0" xfId="0" applyFont="1" applyFill="1" applyAlignment="1">
      <alignment horizontal="center"/>
    </xf>
    <xf numFmtId="0" fontId="68" fillId="4" borderId="0" xfId="0" applyFont="1" applyFill="1" applyAlignment="1">
      <alignment horizontal="center"/>
    </xf>
    <xf numFmtId="186" fontId="68" fillId="2" borderId="0" xfId="70" applyNumberFormat="1" applyFont="1" applyFill="1" applyAlignment="1">
      <alignment horizontal="center"/>
    </xf>
    <xf numFmtId="3" fontId="68" fillId="4" borderId="0" xfId="0" applyNumberFormat="1" applyFont="1" applyFill="1" applyAlignment="1">
      <alignment/>
    </xf>
    <xf numFmtId="186" fontId="68" fillId="2" borderId="0" xfId="70" applyNumberFormat="1" applyFont="1" applyFill="1" applyAlignment="1">
      <alignment/>
    </xf>
    <xf numFmtId="0" fontId="68" fillId="33" borderId="0" xfId="0" applyFont="1" applyFill="1" applyAlignment="1">
      <alignment/>
    </xf>
    <xf numFmtId="3" fontId="68" fillId="33" borderId="13" xfId="0" applyNumberFormat="1" applyFont="1" applyFill="1" applyBorder="1" applyAlignment="1">
      <alignment/>
    </xf>
    <xf numFmtId="3" fontId="68" fillId="4" borderId="13" xfId="0" applyNumberFormat="1" applyFont="1" applyFill="1" applyBorder="1" applyAlignment="1">
      <alignment/>
    </xf>
    <xf numFmtId="186" fontId="68" fillId="2" borderId="13" xfId="70" applyNumberFormat="1" applyFont="1" applyFill="1" applyBorder="1" applyAlignment="1">
      <alignment/>
    </xf>
    <xf numFmtId="186" fontId="68" fillId="2" borderId="12" xfId="70" applyNumberFormat="1" applyFont="1" applyFill="1" applyBorder="1" applyAlignment="1">
      <alignment/>
    </xf>
    <xf numFmtId="4" fontId="69" fillId="33" borderId="0" xfId="0" applyNumberFormat="1" applyFont="1" applyFill="1" applyAlignment="1">
      <alignment/>
    </xf>
    <xf numFmtId="4" fontId="69" fillId="4" borderId="0" xfId="0" applyNumberFormat="1" applyFont="1" applyFill="1" applyAlignment="1">
      <alignment/>
    </xf>
    <xf numFmtId="0" fontId="69" fillId="33" borderId="0" xfId="67" applyFont="1" applyFill="1" applyBorder="1">
      <alignment/>
      <protection/>
    </xf>
    <xf numFmtId="186" fontId="69" fillId="33" borderId="0" xfId="70" applyNumberFormat="1" applyFont="1" applyFill="1" applyBorder="1" applyAlignment="1">
      <alignment/>
    </xf>
    <xf numFmtId="186" fontId="68" fillId="33" borderId="0" xfId="70" applyNumberFormat="1" applyFont="1" applyFill="1" applyBorder="1" applyAlignment="1">
      <alignment/>
    </xf>
    <xf numFmtId="0" fontId="68" fillId="2" borderId="10" xfId="0" applyFont="1" applyFill="1" applyBorder="1" applyAlignment="1">
      <alignment horizontal="center"/>
    </xf>
    <xf numFmtId="0" fontId="71" fillId="4" borderId="10" xfId="0" applyFont="1" applyFill="1" applyBorder="1" applyAlignment="1">
      <alignment horizontal="center"/>
    </xf>
    <xf numFmtId="3" fontId="71" fillId="4" borderId="0" xfId="0" applyNumberFormat="1" applyFont="1" applyFill="1" applyAlignment="1">
      <alignment/>
    </xf>
    <xf numFmtId="9" fontId="68" fillId="33" borderId="0" xfId="70" applyFont="1" applyFill="1" applyAlignment="1">
      <alignment/>
    </xf>
    <xf numFmtId="3" fontId="72" fillId="4" borderId="0" xfId="0" applyNumberFormat="1" applyFont="1" applyFill="1" applyAlignment="1">
      <alignment/>
    </xf>
    <xf numFmtId="0" fontId="68" fillId="33" borderId="12" xfId="68" applyFont="1" applyFill="1" applyBorder="1">
      <alignment/>
      <protection/>
    </xf>
    <xf numFmtId="189" fontId="68" fillId="33" borderId="12" xfId="59" applyNumberFormat="1" applyFont="1" applyFill="1" applyBorder="1" applyAlignment="1">
      <alignment/>
    </xf>
    <xf numFmtId="189" fontId="68" fillId="4" borderId="12" xfId="59" applyNumberFormat="1" applyFont="1" applyFill="1" applyBorder="1" applyAlignment="1">
      <alignment/>
    </xf>
    <xf numFmtId="189" fontId="71" fillId="4" borderId="12" xfId="59" applyNumberFormat="1" applyFont="1" applyFill="1" applyBorder="1" applyAlignment="1">
      <alignment/>
    </xf>
    <xf numFmtId="0" fontId="70" fillId="33" borderId="14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2" borderId="10" xfId="0" applyFont="1" applyFill="1" applyBorder="1" applyAlignment="1">
      <alignment horizontal="center"/>
    </xf>
    <xf numFmtId="0" fontId="73" fillId="33" borderId="0" xfId="67" applyFont="1" applyFill="1" applyBorder="1">
      <alignment/>
      <protection/>
    </xf>
    <xf numFmtId="0" fontId="74" fillId="33" borderId="15" xfId="67" applyFont="1" applyFill="1" applyBorder="1">
      <alignment/>
      <protection/>
    </xf>
    <xf numFmtId="3" fontId="75" fillId="33" borderId="0" xfId="0" applyNumberFormat="1" applyFont="1" applyFill="1" applyAlignment="1">
      <alignment/>
    </xf>
    <xf numFmtId="3" fontId="75" fillId="4" borderId="0" xfId="0" applyNumberFormat="1" applyFont="1" applyFill="1" applyAlignment="1">
      <alignment/>
    </xf>
    <xf numFmtId="0" fontId="76" fillId="33" borderId="0" xfId="67" applyFont="1" applyFill="1" applyBorder="1">
      <alignment/>
      <protection/>
    </xf>
    <xf numFmtId="198" fontId="69" fillId="33" borderId="0" xfId="70" applyNumberFormat="1" applyFont="1" applyFill="1" applyBorder="1" applyAlignment="1">
      <alignment/>
    </xf>
    <xf numFmtId="0" fontId="70" fillId="33" borderId="16" xfId="67" applyFont="1" applyFill="1" applyBorder="1">
      <alignment/>
      <protection/>
    </xf>
    <xf numFmtId="3" fontId="77" fillId="33" borderId="12" xfId="0" applyNumberFormat="1" applyFont="1" applyFill="1" applyBorder="1" applyAlignment="1">
      <alignment/>
    </xf>
    <xf numFmtId="3" fontId="71" fillId="4" borderId="12" xfId="0" applyNumberFormat="1" applyFont="1" applyFill="1" applyBorder="1" applyAlignment="1">
      <alignment/>
    </xf>
    <xf numFmtId="3" fontId="77" fillId="4" borderId="12" xfId="0" applyNumberFormat="1" applyFont="1" applyFill="1" applyBorder="1" applyAlignment="1">
      <alignment/>
    </xf>
    <xf numFmtId="0" fontId="68" fillId="33" borderId="0" xfId="0" applyFont="1" applyFill="1" applyAlignment="1">
      <alignment horizontal="right"/>
    </xf>
    <xf numFmtId="0" fontId="77" fillId="33" borderId="0" xfId="0" applyFont="1" applyFill="1" applyAlignment="1">
      <alignment horizontal="right"/>
    </xf>
    <xf numFmtId="0" fontId="71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/>
    </xf>
    <xf numFmtId="186" fontId="68" fillId="2" borderId="0" xfId="70" applyNumberFormat="1" applyFont="1" applyFill="1" applyAlignment="1">
      <alignment horizontal="right"/>
    </xf>
    <xf numFmtId="0" fontId="70" fillId="33" borderId="15" xfId="67" applyFont="1" applyFill="1" applyBorder="1">
      <alignment/>
      <protection/>
    </xf>
    <xf numFmtId="3" fontId="77" fillId="33" borderId="0" xfId="0" applyNumberFormat="1" applyFont="1" applyFill="1" applyAlignment="1">
      <alignment/>
    </xf>
    <xf numFmtId="3" fontId="77" fillId="4" borderId="0" xfId="0" applyNumberFormat="1" applyFont="1" applyFill="1" applyAlignment="1">
      <alignment/>
    </xf>
    <xf numFmtId="3" fontId="70" fillId="33" borderId="17" xfId="0" applyNumberFormat="1" applyFont="1" applyFill="1" applyBorder="1" applyAlignment="1">
      <alignment/>
    </xf>
    <xf numFmtId="3" fontId="77" fillId="33" borderId="13" xfId="0" applyNumberFormat="1" applyFont="1" applyFill="1" applyBorder="1" applyAlignment="1">
      <alignment/>
    </xf>
    <xf numFmtId="3" fontId="71" fillId="4" borderId="13" xfId="0" applyNumberFormat="1" applyFont="1" applyFill="1" applyBorder="1" applyAlignment="1">
      <alignment/>
    </xf>
    <xf numFmtId="3" fontId="77" fillId="4" borderId="13" xfId="0" applyNumberFormat="1" applyFont="1" applyFill="1" applyBorder="1" applyAlignment="1">
      <alignment/>
    </xf>
    <xf numFmtId="3" fontId="70" fillId="33" borderId="18" xfId="0" applyNumberFormat="1" applyFont="1" applyFill="1" applyBorder="1" applyAlignment="1">
      <alignment/>
    </xf>
    <xf numFmtId="0" fontId="66" fillId="33" borderId="0" xfId="66" applyFont="1" applyFill="1" applyBorder="1">
      <alignment/>
      <protection/>
    </xf>
    <xf numFmtId="186" fontId="70" fillId="2" borderId="10" xfId="70" applyNumberFormat="1" applyFont="1" applyFill="1" applyBorder="1" applyAlignment="1">
      <alignment horizontal="center"/>
    </xf>
    <xf numFmtId="0" fontId="71" fillId="2" borderId="10" xfId="0" applyFont="1" applyFill="1" applyBorder="1" applyAlignment="1">
      <alignment horizontal="center"/>
    </xf>
    <xf numFmtId="186" fontId="71" fillId="2" borderId="10" xfId="70" applyNumberFormat="1" applyFont="1" applyFill="1" applyBorder="1" applyAlignment="1">
      <alignment horizontal="center"/>
    </xf>
    <xf numFmtId="3" fontId="70" fillId="33" borderId="14" xfId="0" applyNumberFormat="1" applyFont="1" applyFill="1" applyBorder="1" applyAlignment="1">
      <alignment/>
    </xf>
    <xf numFmtId="3" fontId="68" fillId="33" borderId="0" xfId="70" applyNumberFormat="1" applyFont="1" applyFill="1" applyAlignment="1">
      <alignment/>
    </xf>
    <xf numFmtId="3" fontId="68" fillId="4" borderId="0" xfId="70" applyNumberFormat="1" applyFont="1" applyFill="1" applyAlignment="1">
      <alignment/>
    </xf>
    <xf numFmtId="3" fontId="71" fillId="4" borderId="0" xfId="70" applyNumberFormat="1" applyFont="1" applyFill="1" applyAlignment="1">
      <alignment/>
    </xf>
    <xf numFmtId="186" fontId="71" fillId="2" borderId="0" xfId="70" applyNumberFormat="1" applyFont="1" applyFill="1" applyAlignment="1">
      <alignment/>
    </xf>
    <xf numFmtId="186" fontId="72" fillId="2" borderId="0" xfId="70" applyNumberFormat="1" applyFont="1" applyFill="1" applyAlignment="1">
      <alignment/>
    </xf>
    <xf numFmtId="3" fontId="74" fillId="33" borderId="14" xfId="0" applyNumberFormat="1" applyFont="1" applyFill="1" applyBorder="1" applyAlignment="1">
      <alignment/>
    </xf>
    <xf numFmtId="3" fontId="69" fillId="33" borderId="0" xfId="70" applyNumberFormat="1" applyFont="1" applyFill="1" applyAlignment="1">
      <alignment/>
    </xf>
    <xf numFmtId="3" fontId="69" fillId="4" borderId="0" xfId="70" applyNumberFormat="1" applyFont="1" applyFill="1" applyAlignment="1">
      <alignment/>
    </xf>
    <xf numFmtId="3" fontId="72" fillId="4" borderId="0" xfId="70" applyNumberFormat="1" applyFont="1" applyFill="1" applyAlignment="1">
      <alignment/>
    </xf>
    <xf numFmtId="186" fontId="72" fillId="2" borderId="0" xfId="70" applyNumberFormat="1" applyFont="1" applyFill="1" applyAlignment="1">
      <alignment horizontal="right"/>
    </xf>
    <xf numFmtId="186" fontId="72" fillId="2" borderId="19" xfId="70" applyNumberFormat="1" applyFont="1" applyFill="1" applyBorder="1" applyAlignment="1">
      <alignment/>
    </xf>
    <xf numFmtId="3" fontId="70" fillId="33" borderId="20" xfId="0" applyNumberFormat="1" applyFont="1" applyFill="1" applyBorder="1" applyAlignment="1">
      <alignment/>
    </xf>
    <xf numFmtId="3" fontId="68" fillId="33" borderId="21" xfId="0" applyNumberFormat="1" applyFont="1" applyFill="1" applyBorder="1" applyAlignment="1">
      <alignment/>
    </xf>
    <xf numFmtId="3" fontId="68" fillId="4" borderId="21" xfId="0" applyNumberFormat="1" applyFont="1" applyFill="1" applyBorder="1" applyAlignment="1">
      <alignment/>
    </xf>
    <xf numFmtId="186" fontId="68" fillId="2" borderId="21" xfId="70" applyNumberFormat="1" applyFont="1" applyFill="1" applyBorder="1" applyAlignment="1">
      <alignment/>
    </xf>
    <xf numFmtId="3" fontId="71" fillId="4" borderId="21" xfId="0" applyNumberFormat="1" applyFont="1" applyFill="1" applyBorder="1" applyAlignment="1">
      <alignment/>
    </xf>
    <xf numFmtId="186" fontId="71" fillId="2" borderId="21" xfId="70" applyNumberFormat="1" applyFont="1" applyFill="1" applyBorder="1" applyAlignment="1">
      <alignment/>
    </xf>
    <xf numFmtId="10" fontId="68" fillId="2" borderId="12" xfId="70" applyNumberFormat="1" applyFont="1" applyFill="1" applyBorder="1" applyAlignment="1">
      <alignment/>
    </xf>
    <xf numFmtId="186" fontId="72" fillId="2" borderId="12" xfId="70" applyNumberFormat="1" applyFont="1" applyFill="1" applyBorder="1" applyAlignment="1">
      <alignment/>
    </xf>
    <xf numFmtId="186" fontId="71" fillId="2" borderId="12" xfId="70" applyNumberFormat="1" applyFont="1" applyFill="1" applyBorder="1" applyAlignment="1">
      <alignment/>
    </xf>
    <xf numFmtId="187" fontId="69" fillId="33" borderId="0" xfId="0" applyNumberFormat="1" applyFont="1" applyFill="1" applyAlignment="1">
      <alignment/>
    </xf>
    <xf numFmtId="0" fontId="78" fillId="33" borderId="0" xfId="0" applyFont="1" applyFill="1" applyAlignment="1">
      <alignment/>
    </xf>
    <xf numFmtId="9" fontId="69" fillId="33" borderId="0" xfId="70" applyFont="1" applyFill="1" applyAlignment="1">
      <alignment/>
    </xf>
    <xf numFmtId="188" fontId="2" fillId="33" borderId="0" xfId="56" applyFont="1" applyFill="1" applyAlignment="1">
      <alignment/>
    </xf>
    <xf numFmtId="0" fontId="79" fillId="33" borderId="10" xfId="0" applyFont="1" applyFill="1" applyBorder="1" applyAlignment="1">
      <alignment horizontal="center"/>
    </xf>
    <xf numFmtId="0" fontId="68" fillId="4" borderId="10" xfId="0" applyFont="1" applyFill="1" applyBorder="1" applyAlignment="1">
      <alignment horizontal="center"/>
    </xf>
    <xf numFmtId="3" fontId="80" fillId="33" borderId="0" xfId="0" applyNumberFormat="1" applyFont="1" applyFill="1" applyAlignment="1">
      <alignment/>
    </xf>
    <xf numFmtId="3" fontId="79" fillId="33" borderId="12" xfId="0" applyNumberFormat="1" applyFont="1" applyFill="1" applyBorder="1" applyAlignment="1">
      <alignment/>
    </xf>
    <xf numFmtId="0" fontId="79" fillId="33" borderId="0" xfId="0" applyFont="1" applyFill="1" applyAlignment="1">
      <alignment horizontal="center"/>
    </xf>
    <xf numFmtId="3" fontId="79" fillId="33" borderId="0" xfId="0" applyNumberFormat="1" applyFont="1" applyFill="1" applyAlignment="1">
      <alignment/>
    </xf>
    <xf numFmtId="3" fontId="79" fillId="33" borderId="13" xfId="0" applyNumberFormat="1" applyFont="1" applyFill="1" applyBorder="1" applyAlignment="1">
      <alignment/>
    </xf>
    <xf numFmtId="4" fontId="80" fillId="33" borderId="0" xfId="0" applyNumberFormat="1" applyFont="1" applyFill="1" applyAlignment="1">
      <alignment/>
    </xf>
    <xf numFmtId="0" fontId="79" fillId="4" borderId="10" xfId="0" applyFont="1" applyFill="1" applyBorder="1" applyAlignment="1">
      <alignment horizontal="center"/>
    </xf>
    <xf numFmtId="3" fontId="79" fillId="4" borderId="0" xfId="0" applyNumberFormat="1" applyFont="1" applyFill="1" applyAlignment="1">
      <alignment/>
    </xf>
    <xf numFmtId="3" fontId="80" fillId="4" borderId="0" xfId="0" applyNumberFormat="1" applyFont="1" applyFill="1" applyAlignment="1">
      <alignment/>
    </xf>
    <xf numFmtId="189" fontId="79" fillId="33" borderId="12" xfId="59" applyNumberFormat="1" applyFont="1" applyFill="1" applyBorder="1" applyAlignment="1">
      <alignment/>
    </xf>
    <xf numFmtId="189" fontId="79" fillId="4" borderId="12" xfId="59" applyNumberFormat="1" applyFont="1" applyFill="1" applyBorder="1" applyAlignment="1">
      <alignment/>
    </xf>
    <xf numFmtId="0" fontId="79" fillId="33" borderId="0" xfId="0" applyFont="1" applyFill="1" applyAlignment="1">
      <alignment horizontal="right"/>
    </xf>
    <xf numFmtId="3" fontId="79" fillId="33" borderId="0" xfId="70" applyNumberFormat="1" applyFont="1" applyFill="1" applyAlignment="1">
      <alignment/>
    </xf>
    <xf numFmtId="187" fontId="68" fillId="33" borderId="0" xfId="0" applyNumberFormat="1" applyFont="1" applyFill="1" applyAlignment="1">
      <alignment/>
    </xf>
    <xf numFmtId="3" fontId="80" fillId="33" borderId="0" xfId="70" applyNumberFormat="1" applyFont="1" applyFill="1" applyAlignment="1">
      <alignment/>
    </xf>
    <xf numFmtId="3" fontId="79" fillId="33" borderId="21" xfId="0" applyNumberFormat="1" applyFont="1" applyFill="1" applyBorder="1" applyAlignment="1">
      <alignment/>
    </xf>
    <xf numFmtId="0" fontId="68" fillId="33" borderId="22" xfId="67" applyFont="1" applyFill="1" applyBorder="1">
      <alignment/>
      <protection/>
    </xf>
    <xf numFmtId="0" fontId="70" fillId="33" borderId="0" xfId="0" applyFont="1" applyFill="1" applyBorder="1" applyAlignment="1">
      <alignment horizontal="center"/>
    </xf>
    <xf numFmtId="0" fontId="74" fillId="33" borderId="0" xfId="67" applyFont="1" applyFill="1" applyBorder="1">
      <alignment/>
      <protection/>
    </xf>
    <xf numFmtId="0" fontId="74" fillId="33" borderId="19" xfId="67" applyFont="1" applyFill="1" applyBorder="1">
      <alignment/>
      <protection/>
    </xf>
    <xf numFmtId="3" fontId="70" fillId="33" borderId="19" xfId="0" applyNumberFormat="1" applyFont="1" applyFill="1" applyBorder="1" applyAlignment="1">
      <alignment/>
    </xf>
    <xf numFmtId="0" fontId="70" fillId="33" borderId="19" xfId="67" applyFont="1" applyFill="1" applyBorder="1">
      <alignment/>
      <protection/>
    </xf>
    <xf numFmtId="3" fontId="70" fillId="33" borderId="12" xfId="0" applyNumberFormat="1" applyFont="1" applyFill="1" applyBorder="1" applyAlignment="1">
      <alignment/>
    </xf>
    <xf numFmtId="0" fontId="81" fillId="4" borderId="10" xfId="0" applyFont="1" applyFill="1" applyBorder="1" applyAlignment="1">
      <alignment horizontal="center"/>
    </xf>
    <xf numFmtId="0" fontId="81" fillId="2" borderId="10" xfId="0" applyFont="1" applyFill="1" applyBorder="1" applyAlignment="1">
      <alignment horizontal="center"/>
    </xf>
    <xf numFmtId="186" fontId="81" fillId="2" borderId="10" xfId="70" applyNumberFormat="1" applyFont="1" applyFill="1" applyBorder="1" applyAlignment="1">
      <alignment horizontal="center"/>
    </xf>
    <xf numFmtId="3" fontId="81" fillId="4" borderId="0" xfId="70" applyNumberFormat="1" applyFont="1" applyFill="1" applyAlignment="1">
      <alignment/>
    </xf>
    <xf numFmtId="186" fontId="81" fillId="2" borderId="0" xfId="70" applyNumberFormat="1" applyFont="1" applyFill="1" applyAlignment="1">
      <alignment/>
    </xf>
    <xf numFmtId="186" fontId="82" fillId="2" borderId="0" xfId="70" applyNumberFormat="1" applyFont="1" applyFill="1" applyAlignment="1">
      <alignment/>
    </xf>
    <xf numFmtId="3" fontId="82" fillId="4" borderId="0" xfId="70" applyNumberFormat="1" applyFont="1" applyFill="1" applyAlignment="1">
      <alignment/>
    </xf>
    <xf numFmtId="3" fontId="81" fillId="4" borderId="0" xfId="0" applyNumberFormat="1" applyFont="1" applyFill="1" applyAlignment="1">
      <alignment/>
    </xf>
    <xf numFmtId="3" fontId="82" fillId="4" borderId="0" xfId="0" applyNumberFormat="1" applyFont="1" applyFill="1" applyAlignment="1">
      <alignment/>
    </xf>
    <xf numFmtId="3" fontId="81" fillId="4" borderId="21" xfId="0" applyNumberFormat="1" applyFont="1" applyFill="1" applyBorder="1" applyAlignment="1">
      <alignment/>
    </xf>
    <xf numFmtId="186" fontId="81" fillId="2" borderId="21" xfId="70" applyNumberFormat="1" applyFont="1" applyFill="1" applyBorder="1" applyAlignment="1">
      <alignment/>
    </xf>
    <xf numFmtId="3" fontId="81" fillId="4" borderId="12" xfId="0" applyNumberFormat="1" applyFont="1" applyFill="1" applyBorder="1" applyAlignment="1">
      <alignment/>
    </xf>
    <xf numFmtId="186" fontId="81" fillId="2" borderId="12" xfId="70" applyNumberFormat="1" applyFont="1" applyFill="1" applyBorder="1" applyAlignment="1">
      <alignment/>
    </xf>
    <xf numFmtId="0" fontId="83" fillId="33" borderId="0" xfId="63" applyFont="1" applyFill="1" applyAlignment="1">
      <alignment horizontal="left"/>
      <protection/>
    </xf>
    <xf numFmtId="0" fontId="48" fillId="33" borderId="0" xfId="63" applyFont="1" applyFill="1">
      <alignment/>
      <protection/>
    </xf>
    <xf numFmtId="0" fontId="84" fillId="33" borderId="0" xfId="63" applyFont="1" applyFill="1" applyAlignment="1">
      <alignment horizontal="left"/>
      <protection/>
    </xf>
    <xf numFmtId="0" fontId="85" fillId="33" borderId="0" xfId="63" applyFont="1" applyFill="1" applyAlignment="1">
      <alignment horizontal="left"/>
      <protection/>
    </xf>
    <xf numFmtId="0" fontId="86" fillId="33" borderId="0" xfId="63" applyFont="1" applyFill="1" applyAlignment="1">
      <alignment horizontal="left" wrapText="1"/>
      <protection/>
    </xf>
    <xf numFmtId="0" fontId="48" fillId="0" borderId="0" xfId="63" applyFont="1">
      <alignment/>
      <protection/>
    </xf>
    <xf numFmtId="17" fontId="87" fillId="0" borderId="23" xfId="63" applyNumberFormat="1" applyFont="1" applyBorder="1" applyAlignment="1">
      <alignment horizontal="right" vertical="center" wrapText="1"/>
      <protection/>
    </xf>
    <xf numFmtId="0" fontId="88" fillId="34" borderId="24" xfId="63" applyFont="1" applyFill="1" applyBorder="1" applyAlignment="1">
      <alignment horizontal="left"/>
      <protection/>
    </xf>
    <xf numFmtId="0" fontId="48" fillId="34" borderId="0" xfId="63" applyFont="1" applyFill="1">
      <alignment/>
      <protection/>
    </xf>
    <xf numFmtId="0" fontId="48" fillId="34" borderId="24" xfId="63" applyFont="1" applyFill="1" applyBorder="1">
      <alignment/>
      <protection/>
    </xf>
    <xf numFmtId="0" fontId="87" fillId="35" borderId="24" xfId="63" applyFont="1" applyFill="1" applyBorder="1" applyAlignment="1">
      <alignment horizontal="left"/>
      <protection/>
    </xf>
    <xf numFmtId="0" fontId="89" fillId="35" borderId="0" xfId="63" applyFont="1" applyFill="1" applyAlignment="1">
      <alignment horizontal="center"/>
      <protection/>
    </xf>
    <xf numFmtId="0" fontId="90" fillId="35" borderId="24" xfId="63" applyFont="1" applyFill="1" applyBorder="1" applyAlignment="1">
      <alignment horizontal="center"/>
      <protection/>
    </xf>
    <xf numFmtId="0" fontId="89" fillId="0" borderId="25" xfId="63" applyFont="1" applyBorder="1" applyAlignment="1">
      <alignment horizontal="left"/>
      <protection/>
    </xf>
    <xf numFmtId="0" fontId="89" fillId="0" borderId="26" xfId="63" applyFont="1" applyBorder="1" applyAlignment="1">
      <alignment horizontal="right"/>
      <protection/>
    </xf>
    <xf numFmtId="3" fontId="89" fillId="0" borderId="26" xfId="63" applyNumberFormat="1" applyFont="1" applyBorder="1" applyAlignment="1">
      <alignment horizontal="right"/>
      <protection/>
    </xf>
    <xf numFmtId="3" fontId="90" fillId="35" borderId="25" xfId="63" applyNumberFormat="1" applyFont="1" applyFill="1" applyBorder="1" applyAlignment="1">
      <alignment horizontal="right"/>
      <protection/>
    </xf>
    <xf numFmtId="9" fontId="89" fillId="0" borderId="26" xfId="71" applyFont="1" applyBorder="1" applyAlignment="1">
      <alignment horizontal="right"/>
    </xf>
    <xf numFmtId="0" fontId="89" fillId="0" borderId="27" xfId="63" applyFont="1" applyBorder="1" applyAlignment="1">
      <alignment horizontal="left"/>
      <protection/>
    </xf>
    <xf numFmtId="0" fontId="89" fillId="0" borderId="28" xfId="63" applyFont="1" applyBorder="1" applyAlignment="1">
      <alignment horizontal="right"/>
      <protection/>
    </xf>
    <xf numFmtId="3" fontId="89" fillId="0" borderId="28" xfId="63" applyNumberFormat="1" applyFont="1" applyBorder="1" applyAlignment="1">
      <alignment horizontal="right"/>
      <protection/>
    </xf>
    <xf numFmtId="3" fontId="90" fillId="35" borderId="27" xfId="63" applyNumberFormat="1" applyFont="1" applyFill="1" applyBorder="1" applyAlignment="1">
      <alignment horizontal="right"/>
      <protection/>
    </xf>
    <xf numFmtId="0" fontId="88" fillId="0" borderId="27" xfId="63" applyFont="1" applyBorder="1" applyAlignment="1">
      <alignment horizontal="left"/>
      <protection/>
    </xf>
    <xf numFmtId="3" fontId="88" fillId="0" borderId="28" xfId="63" applyNumberFormat="1" applyFont="1" applyBorder="1" applyAlignment="1">
      <alignment horizontal="right"/>
      <protection/>
    </xf>
    <xf numFmtId="3" fontId="88" fillId="35" borderId="27" xfId="63" applyNumberFormat="1" applyFont="1" applyFill="1" applyBorder="1" applyAlignment="1">
      <alignment horizontal="right"/>
      <protection/>
    </xf>
    <xf numFmtId="9" fontId="89" fillId="0" borderId="28" xfId="71" applyFont="1" applyBorder="1" applyAlignment="1">
      <alignment horizontal="right"/>
    </xf>
    <xf numFmtId="9" fontId="88" fillId="0" borderId="28" xfId="71" applyFont="1" applyBorder="1" applyAlignment="1">
      <alignment horizontal="right"/>
    </xf>
    <xf numFmtId="0" fontId="90" fillId="34" borderId="0" xfId="63" applyFont="1" applyFill="1" applyAlignment="1">
      <alignment horizontal="left"/>
      <protection/>
    </xf>
    <xf numFmtId="0" fontId="90" fillId="34" borderId="24" xfId="63" applyFont="1" applyFill="1" applyBorder="1" applyAlignment="1">
      <alignment horizontal="left"/>
      <protection/>
    </xf>
    <xf numFmtId="0" fontId="91" fillId="35" borderId="0" xfId="63" applyFont="1" applyFill="1" applyAlignment="1">
      <alignment horizontal="center"/>
      <protection/>
    </xf>
    <xf numFmtId="0" fontId="90" fillId="35" borderId="25" xfId="63" applyFont="1" applyFill="1" applyBorder="1" applyAlignment="1">
      <alignment horizontal="right"/>
      <protection/>
    </xf>
    <xf numFmtId="0" fontId="90" fillId="35" borderId="27" xfId="63" applyFont="1" applyFill="1" applyBorder="1" applyAlignment="1">
      <alignment horizontal="right"/>
      <protection/>
    </xf>
    <xf numFmtId="0" fontId="89" fillId="0" borderId="27" xfId="63" applyFont="1" applyBorder="1" applyAlignment="1">
      <alignment horizontal="left" wrapText="1"/>
      <protection/>
    </xf>
    <xf numFmtId="0" fontId="88" fillId="35" borderId="27" xfId="63" applyFont="1" applyFill="1" applyBorder="1" applyAlignment="1">
      <alignment horizontal="left"/>
      <protection/>
    </xf>
    <xf numFmtId="3" fontId="88" fillId="35" borderId="28" xfId="63" applyNumberFormat="1" applyFont="1" applyFill="1" applyBorder="1" applyAlignment="1">
      <alignment horizontal="right"/>
      <protection/>
    </xf>
    <xf numFmtId="9" fontId="88" fillId="35" borderId="28" xfId="71" applyFont="1" applyFill="1" applyBorder="1" applyAlignment="1">
      <alignment horizontal="right"/>
    </xf>
    <xf numFmtId="3" fontId="48" fillId="33" borderId="0" xfId="63" applyNumberFormat="1" applyFont="1" applyFill="1">
      <alignment/>
      <protection/>
    </xf>
    <xf numFmtId="0" fontId="83" fillId="33" borderId="0" xfId="63" applyFont="1" applyFill="1" applyAlignment="1">
      <alignment horizontal="left" wrapText="1"/>
      <protection/>
    </xf>
    <xf numFmtId="0" fontId="88" fillId="0" borderId="29" xfId="63" applyFont="1" applyBorder="1" applyAlignment="1">
      <alignment horizontal="left" wrapText="1"/>
      <protection/>
    </xf>
    <xf numFmtId="0" fontId="90" fillId="35" borderId="29" xfId="63" applyFont="1" applyFill="1" applyBorder="1" applyAlignment="1">
      <alignment horizontal="right"/>
      <protection/>
    </xf>
    <xf numFmtId="0" fontId="87" fillId="35" borderId="30" xfId="63" applyFont="1" applyFill="1" applyBorder="1" applyAlignment="1">
      <alignment horizontal="left" wrapText="1"/>
      <protection/>
    </xf>
    <xf numFmtId="3" fontId="87" fillId="35" borderId="26" xfId="63" applyNumberFormat="1" applyFont="1" applyFill="1" applyBorder="1" applyAlignment="1">
      <alignment horizontal="right" wrapText="1"/>
      <protection/>
    </xf>
    <xf numFmtId="186" fontId="87" fillId="35" borderId="26" xfId="71" applyNumberFormat="1" applyFont="1" applyFill="1" applyBorder="1" applyAlignment="1">
      <alignment horizontal="right" wrapText="1"/>
    </xf>
    <xf numFmtId="3" fontId="88" fillId="35" borderId="30" xfId="63" applyNumberFormat="1" applyFont="1" applyFill="1" applyBorder="1" applyAlignment="1">
      <alignment horizontal="right" wrapText="1"/>
      <protection/>
    </xf>
    <xf numFmtId="0" fontId="89" fillId="0" borderId="30" xfId="63" applyFont="1" applyBorder="1" applyAlignment="1">
      <alignment horizontal="left" wrapText="1"/>
      <protection/>
    </xf>
    <xf numFmtId="0" fontId="89" fillId="0" borderId="26" xfId="63" applyFont="1" applyBorder="1" applyAlignment="1">
      <alignment horizontal="right" wrapText="1"/>
      <protection/>
    </xf>
    <xf numFmtId="3" fontId="89" fillId="0" borderId="26" xfId="63" applyNumberFormat="1" applyFont="1" applyBorder="1" applyAlignment="1">
      <alignment horizontal="right" wrapText="1"/>
      <protection/>
    </xf>
    <xf numFmtId="186" fontId="89" fillId="0" borderId="26" xfId="71" applyNumberFormat="1" applyFont="1" applyBorder="1" applyAlignment="1">
      <alignment horizontal="right" wrapText="1"/>
    </xf>
    <xf numFmtId="3" fontId="90" fillId="35" borderId="30" xfId="63" applyNumberFormat="1" applyFont="1" applyFill="1" applyBorder="1" applyAlignment="1">
      <alignment horizontal="right" wrapText="1"/>
      <protection/>
    </xf>
    <xf numFmtId="0" fontId="88" fillId="0" borderId="31" xfId="63" applyFont="1" applyBorder="1" applyAlignment="1">
      <alignment horizontal="left" wrapText="1"/>
      <protection/>
    </xf>
    <xf numFmtId="3" fontId="88" fillId="0" borderId="28" xfId="63" applyNumberFormat="1" applyFont="1" applyBorder="1" applyAlignment="1">
      <alignment horizontal="right" wrapText="1"/>
      <protection/>
    </xf>
    <xf numFmtId="186" fontId="88" fillId="0" borderId="28" xfId="71" applyNumberFormat="1" applyFont="1" applyBorder="1" applyAlignment="1">
      <alignment horizontal="right" wrapText="1"/>
    </xf>
    <xf numFmtId="3" fontId="88" fillId="35" borderId="31" xfId="63" applyNumberFormat="1" applyFont="1" applyFill="1" applyBorder="1" applyAlignment="1">
      <alignment horizontal="right" wrapText="1"/>
      <protection/>
    </xf>
    <xf numFmtId="0" fontId="90" fillId="35" borderId="30" xfId="63" applyFont="1" applyFill="1" applyBorder="1" applyAlignment="1">
      <alignment horizontal="right" wrapText="1"/>
      <protection/>
    </xf>
    <xf numFmtId="0" fontId="89" fillId="0" borderId="32" xfId="63" applyFont="1" applyBorder="1" applyAlignment="1">
      <alignment horizontal="left" wrapText="1"/>
      <protection/>
    </xf>
    <xf numFmtId="3" fontId="89" fillId="0" borderId="33" xfId="63" applyNumberFormat="1" applyFont="1" applyBorder="1" applyAlignment="1">
      <alignment horizontal="right" wrapText="1"/>
      <protection/>
    </xf>
    <xf numFmtId="186" fontId="89" fillId="0" borderId="33" xfId="71" applyNumberFormat="1" applyFont="1" applyBorder="1" applyAlignment="1">
      <alignment horizontal="right" wrapText="1"/>
    </xf>
    <xf numFmtId="3" fontId="90" fillId="35" borderId="32" xfId="63" applyNumberFormat="1" applyFont="1" applyFill="1" applyBorder="1" applyAlignment="1">
      <alignment horizontal="right" wrapText="1"/>
      <protection/>
    </xf>
    <xf numFmtId="0" fontId="87" fillId="34" borderId="29" xfId="63" applyFont="1" applyFill="1" applyBorder="1" applyAlignment="1">
      <alignment horizontal="left" wrapText="1"/>
      <protection/>
    </xf>
    <xf numFmtId="3" fontId="87" fillId="34" borderId="0" xfId="63" applyNumberFormat="1" applyFont="1" applyFill="1" applyAlignment="1">
      <alignment horizontal="right" wrapText="1"/>
      <protection/>
    </xf>
    <xf numFmtId="186" fontId="88" fillId="34" borderId="0" xfId="71" applyNumberFormat="1" applyFont="1" applyFill="1" applyBorder="1" applyAlignment="1">
      <alignment horizontal="right" wrapText="1"/>
    </xf>
    <xf numFmtId="3" fontId="88" fillId="34" borderId="29" xfId="63" applyNumberFormat="1" applyFont="1" applyFill="1" applyBorder="1" applyAlignment="1">
      <alignment horizontal="right" wrapText="1"/>
      <protection/>
    </xf>
    <xf numFmtId="0" fontId="48" fillId="33" borderId="0" xfId="63" applyFont="1" applyFill="1" applyAlignment="1">
      <alignment wrapText="1"/>
      <protection/>
    </xf>
    <xf numFmtId="0" fontId="92" fillId="33" borderId="0" xfId="63" applyFont="1" applyFill="1" applyAlignment="1">
      <alignment horizontal="right"/>
      <protection/>
    </xf>
    <xf numFmtId="0" fontId="92" fillId="33" borderId="0" xfId="63" applyFont="1" applyFill="1" applyAlignment="1">
      <alignment horizontal="left"/>
      <protection/>
    </xf>
    <xf numFmtId="186" fontId="92" fillId="33" borderId="0" xfId="63" applyNumberFormat="1" applyFont="1" applyFill="1" applyAlignment="1">
      <alignment horizontal="left"/>
      <protection/>
    </xf>
    <xf numFmtId="0" fontId="93" fillId="33" borderId="0" xfId="63" applyFont="1" applyFill="1" applyAlignment="1">
      <alignment horizontal="right"/>
      <protection/>
    </xf>
    <xf numFmtId="0" fontId="93" fillId="33" borderId="0" xfId="63" applyFont="1" applyFill="1" applyAlignment="1">
      <alignment horizontal="left"/>
      <protection/>
    </xf>
    <xf numFmtId="0" fontId="87" fillId="33" borderId="0" xfId="63" applyFont="1" applyFill="1" applyAlignment="1">
      <alignment horizontal="left" wrapText="1"/>
      <protection/>
    </xf>
    <xf numFmtId="0" fontId="89" fillId="33" borderId="0" xfId="63" applyFont="1" applyFill="1" applyAlignment="1">
      <alignment horizontal="right"/>
      <protection/>
    </xf>
    <xf numFmtId="0" fontId="89" fillId="33" borderId="0" xfId="63" applyFont="1" applyFill="1" applyAlignment="1">
      <alignment horizontal="left"/>
      <protection/>
    </xf>
    <xf numFmtId="186" fontId="89" fillId="33" borderId="0" xfId="63" applyNumberFormat="1" applyFont="1" applyFill="1" applyAlignment="1">
      <alignment horizontal="left"/>
      <protection/>
    </xf>
    <xf numFmtId="0" fontId="90" fillId="33" borderId="0" xfId="63" applyFont="1" applyFill="1" applyAlignment="1">
      <alignment horizontal="right"/>
      <protection/>
    </xf>
    <xf numFmtId="0" fontId="90" fillId="33" borderId="0" xfId="63" applyFont="1" applyFill="1" applyAlignment="1">
      <alignment horizontal="left"/>
      <protection/>
    </xf>
    <xf numFmtId="0" fontId="89" fillId="0" borderId="25" xfId="63" applyFont="1" applyBorder="1" applyAlignment="1">
      <alignment horizontal="left" wrapText="1"/>
      <protection/>
    </xf>
    <xf numFmtId="3" fontId="90" fillId="35" borderId="25" xfId="63" applyNumberFormat="1" applyFont="1" applyFill="1" applyBorder="1" applyAlignment="1">
      <alignment horizontal="right" wrapText="1"/>
      <protection/>
    </xf>
    <xf numFmtId="0" fontId="89" fillId="0" borderId="34" xfId="63" applyFont="1" applyBorder="1" applyAlignment="1">
      <alignment horizontal="left" wrapText="1"/>
      <protection/>
    </xf>
    <xf numFmtId="0" fontId="89" fillId="0" borderId="33" xfId="63" applyFont="1" applyBorder="1" applyAlignment="1">
      <alignment horizontal="right" wrapText="1"/>
      <protection/>
    </xf>
    <xf numFmtId="0" fontId="90" fillId="35" borderId="34" xfId="63" applyFont="1" applyFill="1" applyBorder="1" applyAlignment="1">
      <alignment horizontal="right" wrapText="1"/>
      <protection/>
    </xf>
    <xf numFmtId="0" fontId="88" fillId="0" borderId="27" xfId="63" applyFont="1" applyBorder="1" applyAlignment="1">
      <alignment horizontal="left" wrapText="1"/>
      <protection/>
    </xf>
    <xf numFmtId="3" fontId="88" fillId="35" borderId="27" xfId="63" applyNumberFormat="1" applyFont="1" applyFill="1" applyBorder="1" applyAlignment="1">
      <alignment horizontal="right" wrapText="1"/>
      <protection/>
    </xf>
    <xf numFmtId="0" fontId="86" fillId="33" borderId="0" xfId="63" applyFont="1" applyFill="1" applyAlignment="1">
      <alignment horizontal="left"/>
      <protection/>
    </xf>
    <xf numFmtId="9" fontId="89" fillId="0" borderId="26" xfId="71" applyFont="1" applyBorder="1" applyAlignment="1">
      <alignment horizontal="right" wrapText="1"/>
    </xf>
    <xf numFmtId="9" fontId="89" fillId="0" borderId="33" xfId="71" applyFont="1" applyBorder="1" applyAlignment="1">
      <alignment horizontal="right" wrapText="1"/>
    </xf>
    <xf numFmtId="9" fontId="88" fillId="0" borderId="28" xfId="71" applyFont="1" applyBorder="1" applyAlignment="1">
      <alignment horizontal="right" wrapText="1"/>
    </xf>
    <xf numFmtId="9" fontId="87" fillId="34" borderId="0" xfId="71" applyFont="1" applyFill="1" applyAlignment="1">
      <alignment horizontal="right" wrapText="1"/>
    </xf>
    <xf numFmtId="186" fontId="87" fillId="34" borderId="0" xfId="71" applyNumberFormat="1" applyFont="1" applyFill="1" applyAlignment="1">
      <alignment horizontal="right" wrapText="1"/>
    </xf>
    <xf numFmtId="0" fontId="84" fillId="33" borderId="0" xfId="63" applyFont="1" applyFill="1" applyAlignment="1">
      <alignment horizontal="left"/>
      <protection/>
    </xf>
    <xf numFmtId="189" fontId="88" fillId="35" borderId="30" xfId="56" applyNumberFormat="1" applyFont="1" applyFill="1" applyBorder="1" applyAlignment="1">
      <alignment horizontal="right" wrapText="1"/>
    </xf>
    <xf numFmtId="189" fontId="90" fillId="35" borderId="30" xfId="56" applyNumberFormat="1" applyFont="1" applyFill="1" applyBorder="1" applyAlignment="1">
      <alignment horizontal="right" wrapText="1"/>
    </xf>
    <xf numFmtId="189" fontId="88" fillId="35" borderId="31" xfId="56" applyNumberFormat="1" applyFont="1" applyFill="1" applyBorder="1" applyAlignment="1">
      <alignment horizontal="right" wrapText="1"/>
    </xf>
    <xf numFmtId="189" fontId="90" fillId="35" borderId="32" xfId="56" applyNumberFormat="1" applyFont="1" applyFill="1" applyBorder="1" applyAlignment="1">
      <alignment horizontal="right" wrapText="1"/>
    </xf>
    <xf numFmtId="189" fontId="88" fillId="34" borderId="29" xfId="56" applyNumberFormat="1" applyFont="1" applyFill="1" applyBorder="1" applyAlignment="1">
      <alignment horizontal="right" wrapText="1"/>
    </xf>
    <xf numFmtId="189" fontId="93" fillId="33" borderId="0" xfId="56" applyNumberFormat="1" applyFont="1" applyFill="1" applyAlignment="1">
      <alignment horizontal="left"/>
    </xf>
    <xf numFmtId="189" fontId="90" fillId="33" borderId="0" xfId="56" applyNumberFormat="1" applyFont="1" applyFill="1" applyAlignment="1">
      <alignment horizontal="left"/>
    </xf>
    <xf numFmtId="189" fontId="90" fillId="35" borderId="25" xfId="56" applyNumberFormat="1" applyFont="1" applyFill="1" applyBorder="1" applyAlignment="1">
      <alignment horizontal="right" wrapText="1"/>
    </xf>
    <xf numFmtId="189" fontId="90" fillId="35" borderId="34" xfId="56" applyNumberFormat="1" applyFont="1" applyFill="1" applyBorder="1" applyAlignment="1">
      <alignment horizontal="right" wrapText="1"/>
    </xf>
    <xf numFmtId="189" fontId="88" fillId="35" borderId="27" xfId="56" applyNumberFormat="1" applyFont="1" applyFill="1" applyBorder="1" applyAlignment="1">
      <alignment horizontal="right" wrapText="1"/>
    </xf>
    <xf numFmtId="189" fontId="87" fillId="35" borderId="26" xfId="56" applyNumberFormat="1" applyFont="1" applyFill="1" applyBorder="1" applyAlignment="1">
      <alignment horizontal="right" wrapText="1"/>
    </xf>
    <xf numFmtId="189" fontId="89" fillId="0" borderId="26" xfId="56" applyNumberFormat="1" applyFont="1" applyBorder="1" applyAlignment="1">
      <alignment horizontal="right" wrapText="1"/>
    </xf>
    <xf numFmtId="189" fontId="88" fillId="0" borderId="28" xfId="56" applyNumberFormat="1" applyFont="1" applyBorder="1" applyAlignment="1">
      <alignment horizontal="right" wrapText="1"/>
    </xf>
    <xf numFmtId="189" fontId="89" fillId="0" borderId="33" xfId="56" applyNumberFormat="1" applyFont="1" applyBorder="1" applyAlignment="1">
      <alignment horizontal="right" wrapText="1"/>
    </xf>
    <xf numFmtId="189" fontId="92" fillId="33" borderId="0" xfId="56" applyNumberFormat="1" applyFont="1" applyFill="1" applyAlignment="1">
      <alignment horizontal="left"/>
    </xf>
    <xf numFmtId="189" fontId="89" fillId="33" borderId="0" xfId="56" applyNumberFormat="1" applyFont="1" applyFill="1" applyAlignment="1">
      <alignment horizontal="left"/>
    </xf>
    <xf numFmtId="0" fontId="84" fillId="33" borderId="0" xfId="63" applyFont="1" applyFill="1" applyAlignment="1">
      <alignment horizontal="left"/>
      <protection/>
    </xf>
    <xf numFmtId="0" fontId="84" fillId="33" borderId="0" xfId="63" applyFont="1" applyFill="1" applyAlignment="1" quotePrefix="1">
      <alignment horizontal="left"/>
      <protection/>
    </xf>
    <xf numFmtId="0" fontId="5" fillId="36" borderId="35" xfId="63" applyFont="1" applyFill="1" applyBorder="1" applyAlignment="1">
      <alignment horizontal="right" vertical="center" wrapText="1"/>
      <protection/>
    </xf>
    <xf numFmtId="0" fontId="5" fillId="36" borderId="35" xfId="63" applyFont="1" applyFill="1" applyBorder="1" applyAlignment="1" quotePrefix="1">
      <alignment horizontal="right" vertical="center" wrapText="1"/>
      <protection/>
    </xf>
    <xf numFmtId="0" fontId="94" fillId="36" borderId="35" xfId="63" applyFont="1" applyFill="1" applyBorder="1" applyAlignment="1">
      <alignment horizontal="right" vertical="center" wrapText="1"/>
      <protection/>
    </xf>
    <xf numFmtId="0" fontId="94" fillId="36" borderId="35" xfId="63" applyFont="1" applyFill="1" applyBorder="1" applyAlignment="1" quotePrefix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0" fontId="84" fillId="33" borderId="0" xfId="63" applyFont="1" applyFill="1" applyAlignment="1">
      <alignment/>
      <protection/>
    </xf>
    <xf numFmtId="49" fontId="87" fillId="0" borderId="35" xfId="63" applyNumberFormat="1" applyFont="1" applyBorder="1" applyAlignment="1" quotePrefix="1">
      <alignment vertical="center" wrapText="1"/>
      <protection/>
    </xf>
    <xf numFmtId="49" fontId="87" fillId="0" borderId="35" xfId="63" applyNumberFormat="1" applyFont="1" applyBorder="1" applyAlignment="1" quotePrefix="1">
      <alignment horizontal="right" vertical="center" wrapText="1"/>
      <protection/>
    </xf>
    <xf numFmtId="0" fontId="87" fillId="0" borderId="36" xfId="63" applyFont="1" applyBorder="1" applyAlignment="1">
      <alignment horizontal="right" wrapText="1"/>
      <protection/>
    </xf>
    <xf numFmtId="0" fontId="64" fillId="0" borderId="36" xfId="63" applyFont="1" applyBorder="1" applyAlignment="1">
      <alignment horizontal="right" wrapText="1"/>
      <protection/>
    </xf>
    <xf numFmtId="0" fontId="87" fillId="0" borderId="36" xfId="63" applyFont="1" applyBorder="1" applyAlignment="1" quotePrefix="1">
      <alignment horizontal="right" wrapText="1"/>
      <protection/>
    </xf>
    <xf numFmtId="0" fontId="95" fillId="36" borderId="36" xfId="63" applyFont="1" applyFill="1" applyBorder="1" applyAlignment="1" quotePrefix="1">
      <alignment horizontal="right" wrapText="1"/>
      <protection/>
    </xf>
    <xf numFmtId="0" fontId="64" fillId="33" borderId="0" xfId="63" applyFont="1" applyFill="1" applyAlignment="1">
      <alignment horizontal="right"/>
      <protection/>
    </xf>
    <xf numFmtId="0" fontId="48" fillId="33" borderId="0" xfId="63" applyFont="1" applyFill="1" applyAlignment="1">
      <alignment horizontal="right"/>
      <protection/>
    </xf>
    <xf numFmtId="0" fontId="48" fillId="0" borderId="36" xfId="63" applyFont="1" applyBorder="1" applyAlignment="1">
      <alignment horizontal="right" wrapText="1"/>
      <protection/>
    </xf>
    <xf numFmtId="0" fontId="95" fillId="36" borderId="36" xfId="63" applyFont="1" applyFill="1" applyBorder="1" applyAlignment="1">
      <alignment horizontal="right" wrapText="1"/>
      <protection/>
    </xf>
    <xf numFmtId="17" fontId="87" fillId="0" borderId="35" xfId="63" applyNumberFormat="1" applyFont="1" applyBorder="1" applyAlignment="1">
      <alignment vertical="center" wrapText="1"/>
      <protection/>
    </xf>
    <xf numFmtId="0" fontId="84" fillId="33" borderId="37" xfId="63" applyFont="1" applyFill="1" applyBorder="1" applyAlignment="1">
      <alignment/>
      <protection/>
    </xf>
    <xf numFmtId="17" fontId="87" fillId="0" borderId="35" xfId="63" applyNumberFormat="1" applyFont="1" applyBorder="1" applyAlignment="1">
      <alignment horizontal="right" vertical="center" wrapText="1"/>
      <protection/>
    </xf>
    <xf numFmtId="3" fontId="89" fillId="0" borderId="26" xfId="63" applyNumberFormat="1" applyFont="1" applyFill="1" applyBorder="1" applyAlignment="1">
      <alignment horizontal="right"/>
      <protection/>
    </xf>
    <xf numFmtId="0" fontId="95" fillId="36" borderId="36" xfId="63" applyFont="1" applyFill="1" applyBorder="1" applyAlignment="1" quotePrefix="1">
      <alignment horizontal="center" wrapText="1"/>
      <protection/>
    </xf>
    <xf numFmtId="0" fontId="87" fillId="0" borderId="36" xfId="63" applyFont="1" applyBorder="1" applyAlignment="1" quotePrefix="1">
      <alignment horizontal="center" wrapText="1"/>
      <protection/>
    </xf>
    <xf numFmtId="0" fontId="84" fillId="33" borderId="0" xfId="63" applyFont="1" applyFill="1" applyAlignment="1">
      <alignment horizontal="left"/>
      <protection/>
    </xf>
    <xf numFmtId="49" fontId="87" fillId="0" borderId="35" xfId="63" applyNumberFormat="1" applyFont="1" applyBorder="1" applyAlignment="1">
      <alignment vertical="center" wrapText="1"/>
      <protection/>
    </xf>
    <xf numFmtId="49" fontId="87" fillId="0" borderId="35" xfId="63" applyNumberFormat="1" applyFont="1" applyBorder="1" applyAlignment="1">
      <alignment horizontal="right" vertical="center" wrapText="1"/>
      <protection/>
    </xf>
    <xf numFmtId="17" fontId="87" fillId="0" borderId="38" xfId="63" applyNumberFormat="1" applyFont="1" applyBorder="1" applyAlignment="1">
      <alignment horizontal="right" vertical="center" wrapText="1"/>
      <protection/>
    </xf>
    <xf numFmtId="0" fontId="94" fillId="37" borderId="24" xfId="63" applyFont="1" applyFill="1" applyBorder="1" applyAlignment="1">
      <alignment horizontal="left"/>
      <protection/>
    </xf>
    <xf numFmtId="0" fontId="49" fillId="37" borderId="0" xfId="63" applyFont="1" applyFill="1">
      <alignment/>
      <protection/>
    </xf>
    <xf numFmtId="0" fontId="49" fillId="37" borderId="39" xfId="63" applyFont="1" applyFill="1" applyBorder="1">
      <alignment/>
      <protection/>
    </xf>
    <xf numFmtId="0" fontId="87" fillId="38" borderId="24" xfId="63" applyFont="1" applyFill="1" applyBorder="1" applyAlignment="1">
      <alignment horizontal="left"/>
      <protection/>
    </xf>
    <xf numFmtId="0" fontId="89" fillId="38" borderId="0" xfId="63" applyFont="1" applyFill="1" applyAlignment="1">
      <alignment horizontal="center"/>
      <protection/>
    </xf>
    <xf numFmtId="0" fontId="90" fillId="38" borderId="39" xfId="63" applyFont="1" applyFill="1" applyBorder="1" applyAlignment="1">
      <alignment horizontal="center"/>
      <protection/>
    </xf>
    <xf numFmtId="0" fontId="89" fillId="38" borderId="39" xfId="63" applyFont="1" applyFill="1" applyBorder="1" applyAlignment="1">
      <alignment horizontal="center"/>
      <protection/>
    </xf>
    <xf numFmtId="3" fontId="90" fillId="39" borderId="40" xfId="63" applyNumberFormat="1" applyFont="1" applyFill="1" applyBorder="1" applyAlignment="1">
      <alignment horizontal="right"/>
      <protection/>
    </xf>
    <xf numFmtId="9" fontId="89" fillId="0" borderId="40" xfId="71" applyFont="1" applyBorder="1" applyAlignment="1">
      <alignment horizontal="right"/>
    </xf>
    <xf numFmtId="3" fontId="90" fillId="39" borderId="41" xfId="63" applyNumberFormat="1" applyFont="1" applyFill="1" applyBorder="1" applyAlignment="1">
      <alignment horizontal="right"/>
      <protection/>
    </xf>
    <xf numFmtId="3" fontId="88" fillId="39" borderId="41" xfId="63" applyNumberFormat="1" applyFont="1" applyFill="1" applyBorder="1" applyAlignment="1">
      <alignment horizontal="right"/>
      <protection/>
    </xf>
    <xf numFmtId="9" fontId="89" fillId="0" borderId="41" xfId="71" applyFont="1" applyBorder="1" applyAlignment="1">
      <alignment horizontal="right"/>
    </xf>
    <xf numFmtId="9" fontId="88" fillId="0" borderId="41" xfId="71" applyFont="1" applyBorder="1" applyAlignment="1">
      <alignment horizontal="right"/>
    </xf>
    <xf numFmtId="0" fontId="94" fillId="40" borderId="27" xfId="63" applyFont="1" applyFill="1" applyBorder="1" applyAlignment="1">
      <alignment horizontal="left"/>
      <protection/>
    </xf>
    <xf numFmtId="3" fontId="94" fillId="40" borderId="28" xfId="63" applyNumberFormat="1" applyFont="1" applyFill="1" applyBorder="1" applyAlignment="1">
      <alignment horizontal="right"/>
      <protection/>
    </xf>
    <xf numFmtId="3" fontId="94" fillId="40" borderId="41" xfId="63" applyNumberFormat="1" applyFont="1" applyFill="1" applyBorder="1" applyAlignment="1">
      <alignment horizontal="right"/>
      <protection/>
    </xf>
    <xf numFmtId="9" fontId="94" fillId="40" borderId="41" xfId="71" applyFont="1" applyFill="1" applyBorder="1" applyAlignment="1">
      <alignment horizontal="right"/>
    </xf>
    <xf numFmtId="0" fontId="90" fillId="39" borderId="40" xfId="63" applyFont="1" applyFill="1" applyBorder="1" applyAlignment="1">
      <alignment horizontal="right"/>
      <protection/>
    </xf>
    <xf numFmtId="0" fontId="90" fillId="39" borderId="41" xfId="63" applyFont="1" applyFill="1" applyBorder="1" applyAlignment="1">
      <alignment horizontal="right"/>
      <protection/>
    </xf>
    <xf numFmtId="0" fontId="94" fillId="37" borderId="27" xfId="63" applyFont="1" applyFill="1" applyBorder="1" applyAlignment="1">
      <alignment horizontal="left"/>
      <protection/>
    </xf>
    <xf numFmtId="3" fontId="94" fillId="37" borderId="28" xfId="63" applyNumberFormat="1" applyFont="1" applyFill="1" applyBorder="1" applyAlignment="1">
      <alignment horizontal="right"/>
      <protection/>
    </xf>
    <xf numFmtId="3" fontId="94" fillId="37" borderId="41" xfId="63" applyNumberFormat="1" applyFont="1" applyFill="1" applyBorder="1" applyAlignment="1">
      <alignment horizontal="right"/>
      <protection/>
    </xf>
    <xf numFmtId="9" fontId="94" fillId="37" borderId="41" xfId="71" applyFont="1" applyFill="1" applyBorder="1" applyAlignment="1">
      <alignment horizontal="right"/>
    </xf>
    <xf numFmtId="0" fontId="48" fillId="0" borderId="36" xfId="63" applyFont="1" applyBorder="1" applyAlignment="1">
      <alignment wrapText="1"/>
      <protection/>
    </xf>
    <xf numFmtId="0" fontId="87" fillId="0" borderId="42" xfId="63" applyFont="1" applyBorder="1" applyAlignment="1">
      <alignment horizontal="right" wrapText="1"/>
      <protection/>
    </xf>
    <xf numFmtId="0" fontId="87" fillId="39" borderId="42" xfId="63" applyFont="1" applyFill="1" applyBorder="1" applyAlignment="1">
      <alignment horizontal="right" wrapText="1"/>
      <protection/>
    </xf>
    <xf numFmtId="0" fontId="88" fillId="0" borderId="0" xfId="63" applyFont="1" applyBorder="1" applyAlignment="1">
      <alignment horizontal="left" wrapText="1"/>
      <protection/>
    </xf>
    <xf numFmtId="0" fontId="48" fillId="0" borderId="39" xfId="63" applyFont="1" applyBorder="1">
      <alignment/>
      <protection/>
    </xf>
    <xf numFmtId="0" fontId="90" fillId="39" borderId="39" xfId="63" applyFont="1" applyFill="1" applyBorder="1" applyAlignment="1">
      <alignment horizontal="right"/>
      <protection/>
    </xf>
    <xf numFmtId="0" fontId="48" fillId="39" borderId="39" xfId="63" applyFont="1" applyFill="1" applyBorder="1">
      <alignment/>
      <protection/>
    </xf>
    <xf numFmtId="0" fontId="94" fillId="37" borderId="26" xfId="63" applyFont="1" applyFill="1" applyBorder="1" applyAlignment="1">
      <alignment horizontal="left" wrapText="1"/>
      <protection/>
    </xf>
    <xf numFmtId="3" fontId="94" fillId="37" borderId="40" xfId="63" applyNumberFormat="1" applyFont="1" applyFill="1" applyBorder="1" applyAlignment="1">
      <alignment horizontal="right" wrapText="1"/>
      <protection/>
    </xf>
    <xf numFmtId="186" fontId="94" fillId="37" borderId="40" xfId="71" applyNumberFormat="1" applyFont="1" applyFill="1" applyBorder="1" applyAlignment="1">
      <alignment horizontal="right" wrapText="1"/>
    </xf>
    <xf numFmtId="0" fontId="89" fillId="0" borderId="26" xfId="63" applyFont="1" applyBorder="1" applyAlignment="1">
      <alignment horizontal="left" wrapText="1"/>
      <protection/>
    </xf>
    <xf numFmtId="3" fontId="89" fillId="0" borderId="40" xfId="63" applyNumberFormat="1" applyFont="1" applyBorder="1" applyAlignment="1">
      <alignment horizontal="right" wrapText="1"/>
      <protection/>
    </xf>
    <xf numFmtId="186" fontId="89" fillId="0" borderId="40" xfId="71" applyNumberFormat="1" applyFont="1" applyBorder="1" applyAlignment="1">
      <alignment horizontal="right" wrapText="1"/>
    </xf>
    <xf numFmtId="3" fontId="90" fillId="39" borderId="40" xfId="63" applyNumberFormat="1" applyFont="1" applyFill="1" applyBorder="1" applyAlignment="1">
      <alignment horizontal="right" wrapText="1"/>
      <protection/>
    </xf>
    <xf numFmtId="186" fontId="89" fillId="39" borderId="40" xfId="71" applyNumberFormat="1" applyFont="1" applyFill="1" applyBorder="1" applyAlignment="1">
      <alignment horizontal="right" wrapText="1"/>
    </xf>
    <xf numFmtId="0" fontId="88" fillId="0" borderId="28" xfId="63" applyFont="1" applyBorder="1" applyAlignment="1">
      <alignment horizontal="left" wrapText="1"/>
      <protection/>
    </xf>
    <xf numFmtId="3" fontId="88" fillId="0" borderId="41" xfId="63" applyNumberFormat="1" applyFont="1" applyBorder="1" applyAlignment="1">
      <alignment horizontal="right" wrapText="1"/>
      <protection/>
    </xf>
    <xf numFmtId="186" fontId="88" fillId="0" borderId="41" xfId="71" applyNumberFormat="1" applyFont="1" applyBorder="1" applyAlignment="1">
      <alignment horizontal="right" wrapText="1"/>
    </xf>
    <xf numFmtId="3" fontId="88" fillId="39" borderId="41" xfId="63" applyNumberFormat="1" applyFont="1" applyFill="1" applyBorder="1" applyAlignment="1">
      <alignment horizontal="right" wrapText="1"/>
      <protection/>
    </xf>
    <xf numFmtId="186" fontId="88" fillId="39" borderId="41" xfId="71" applyNumberFormat="1" applyFont="1" applyFill="1" applyBorder="1" applyAlignment="1">
      <alignment horizontal="right" wrapText="1"/>
    </xf>
    <xf numFmtId="0" fontId="89" fillId="0" borderId="40" xfId="63" applyFont="1" applyBorder="1" applyAlignment="1">
      <alignment horizontal="right" wrapText="1"/>
      <protection/>
    </xf>
    <xf numFmtId="0" fontId="90" fillId="39" borderId="40" xfId="63" applyFont="1" applyFill="1" applyBorder="1" applyAlignment="1">
      <alignment horizontal="right" wrapText="1"/>
      <protection/>
    </xf>
    <xf numFmtId="0" fontId="89" fillId="0" borderId="33" xfId="63" applyFont="1" applyBorder="1" applyAlignment="1">
      <alignment horizontal="left" wrapText="1"/>
      <protection/>
    </xf>
    <xf numFmtId="3" fontId="89" fillId="0" borderId="43" xfId="63" applyNumberFormat="1" applyFont="1" applyBorder="1" applyAlignment="1">
      <alignment horizontal="right" wrapText="1"/>
      <protection/>
    </xf>
    <xf numFmtId="186" fontId="89" fillId="0" borderId="43" xfId="71" applyNumberFormat="1" applyFont="1" applyBorder="1" applyAlignment="1">
      <alignment horizontal="right" wrapText="1"/>
    </xf>
    <xf numFmtId="3" fontId="90" fillId="39" borderId="43" xfId="63" applyNumberFormat="1" applyFont="1" applyFill="1" applyBorder="1" applyAlignment="1">
      <alignment horizontal="right" wrapText="1"/>
      <protection/>
    </xf>
    <xf numFmtId="186" fontId="89" fillId="39" borderId="43" xfId="71" applyNumberFormat="1" applyFont="1" applyFill="1" applyBorder="1" applyAlignment="1">
      <alignment horizontal="right" wrapText="1"/>
    </xf>
    <xf numFmtId="3" fontId="90" fillId="39" borderId="25" xfId="63" applyNumberFormat="1" applyFont="1" applyFill="1" applyBorder="1" applyAlignment="1">
      <alignment horizontal="right" wrapText="1"/>
      <protection/>
    </xf>
    <xf numFmtId="186" fontId="89" fillId="39" borderId="26" xfId="71" applyNumberFormat="1" applyFont="1" applyFill="1" applyBorder="1" applyAlignment="1">
      <alignment horizontal="right" wrapText="1"/>
    </xf>
    <xf numFmtId="0" fontId="90" fillId="39" borderId="34" xfId="63" applyFont="1" applyFill="1" applyBorder="1" applyAlignment="1">
      <alignment horizontal="right" wrapText="1"/>
      <protection/>
    </xf>
    <xf numFmtId="186" fontId="89" fillId="39" borderId="33" xfId="71" applyNumberFormat="1" applyFont="1" applyFill="1" applyBorder="1" applyAlignment="1">
      <alignment horizontal="right" wrapText="1"/>
    </xf>
    <xf numFmtId="3" fontId="88" fillId="39" borderId="27" xfId="63" applyNumberFormat="1" applyFont="1" applyFill="1" applyBorder="1" applyAlignment="1">
      <alignment horizontal="right" wrapText="1"/>
      <protection/>
    </xf>
    <xf numFmtId="186" fontId="88" fillId="39" borderId="28" xfId="71" applyNumberFormat="1" applyFont="1" applyFill="1" applyBorder="1" applyAlignment="1">
      <alignment horizontal="right" wrapText="1"/>
    </xf>
    <xf numFmtId="0" fontId="94" fillId="37" borderId="30" xfId="63" applyFont="1" applyFill="1" applyBorder="1" applyAlignment="1">
      <alignment horizontal="left" wrapText="1"/>
      <protection/>
    </xf>
    <xf numFmtId="3" fontId="94" fillId="37" borderId="26" xfId="63" applyNumberFormat="1" applyFont="1" applyFill="1" applyBorder="1" applyAlignment="1">
      <alignment horizontal="right" wrapText="1"/>
      <protection/>
    </xf>
    <xf numFmtId="3" fontId="94" fillId="37" borderId="30" xfId="63" applyNumberFormat="1" applyFont="1" applyFill="1" applyBorder="1" applyAlignment="1">
      <alignment horizontal="right" wrapText="1"/>
      <protection/>
    </xf>
    <xf numFmtId="186" fontId="94" fillId="37" borderId="26" xfId="71" applyNumberFormat="1" applyFont="1" applyFill="1" applyBorder="1" applyAlignment="1">
      <alignment horizontal="right" wrapText="1"/>
    </xf>
    <xf numFmtId="0" fontId="87" fillId="39" borderId="38" xfId="63" applyFont="1" applyFill="1" applyBorder="1" applyAlignment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0" fontId="96" fillId="39" borderId="38" xfId="63" applyFont="1" applyFill="1" applyBorder="1" applyAlignment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186" fontId="94" fillId="37" borderId="40" xfId="70" applyNumberFormat="1" applyFont="1" applyFill="1" applyBorder="1" applyAlignment="1">
      <alignment horizontal="right" wrapText="1"/>
    </xf>
    <xf numFmtId="186" fontId="89" fillId="0" borderId="40" xfId="70" applyNumberFormat="1" applyFont="1" applyBorder="1" applyAlignment="1">
      <alignment horizontal="right" wrapText="1"/>
    </xf>
    <xf numFmtId="186" fontId="88" fillId="0" borderId="41" xfId="70" applyNumberFormat="1" applyFont="1" applyBorder="1" applyAlignment="1">
      <alignment horizontal="right" wrapText="1"/>
    </xf>
    <xf numFmtId="183" fontId="90" fillId="39" borderId="40" xfId="57" applyFont="1" applyFill="1" applyBorder="1" applyAlignment="1">
      <alignment horizontal="right" wrapText="1"/>
    </xf>
    <xf numFmtId="183" fontId="89" fillId="0" borderId="40" xfId="57" applyFont="1" applyBorder="1" applyAlignment="1">
      <alignment horizontal="right" wrapText="1"/>
    </xf>
    <xf numFmtId="186" fontId="89" fillId="0" borderId="43" xfId="70" applyNumberFormat="1" applyFont="1" applyBorder="1" applyAlignment="1">
      <alignment horizontal="right" wrapText="1"/>
    </xf>
    <xf numFmtId="9" fontId="92" fillId="33" borderId="0" xfId="70" applyFont="1" applyFill="1" applyAlignment="1">
      <alignment horizontal="left"/>
    </xf>
    <xf numFmtId="9" fontId="89" fillId="33" borderId="0" xfId="70" applyFont="1" applyFill="1" applyAlignment="1">
      <alignment horizontal="left"/>
    </xf>
    <xf numFmtId="9" fontId="89" fillId="0" borderId="26" xfId="70" applyFont="1" applyBorder="1" applyAlignment="1">
      <alignment horizontal="right" wrapText="1"/>
    </xf>
    <xf numFmtId="9" fontId="89" fillId="0" borderId="33" xfId="70" applyFont="1" applyBorder="1" applyAlignment="1">
      <alignment horizontal="right" wrapText="1"/>
    </xf>
    <xf numFmtId="183" fontId="89" fillId="0" borderId="33" xfId="57" applyFont="1" applyBorder="1" applyAlignment="1">
      <alignment horizontal="right" wrapText="1"/>
    </xf>
    <xf numFmtId="9" fontId="88" fillId="0" borderId="28" xfId="70" applyFont="1" applyBorder="1" applyAlignment="1">
      <alignment horizontal="right" wrapText="1"/>
    </xf>
    <xf numFmtId="9" fontId="94" fillId="37" borderId="26" xfId="70" applyFont="1" applyFill="1" applyBorder="1" applyAlignment="1">
      <alignment horizontal="right" wrapText="1"/>
    </xf>
    <xf numFmtId="0" fontId="84" fillId="33" borderId="0" xfId="63" applyFont="1" applyFill="1" applyAlignment="1">
      <alignment horizontal="left"/>
      <protection/>
    </xf>
  </cellXfs>
  <cellStyles count="65">
    <cellStyle name="Normal" xfId="0"/>
    <cellStyle name="_Comma" xfId="15"/>
    <cellStyle name="_Currency" xfId="16"/>
    <cellStyle name="_CurrencySpace" xfId="17"/>
    <cellStyle name="_Multiple" xfId="18"/>
    <cellStyle name="_MultipleSpace" xfId="19"/>
    <cellStyle name="_Percent" xfId="20"/>
    <cellStyle name="_PercentSpace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o" xfId="40"/>
    <cellStyle name="Cálculo" xfId="41"/>
    <cellStyle name="Celda de comprobación" xfId="42"/>
    <cellStyle name="Celda vinculada" xfId="43"/>
    <cellStyle name="Encabezado 1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stilo 1" xfId="53"/>
    <cellStyle name="Euro" xfId="54"/>
    <cellStyle name="Incorrecto" xfId="55"/>
    <cellStyle name="Comma" xfId="56"/>
    <cellStyle name="Comma [0]" xfId="57"/>
    <cellStyle name="Millares [0] 2" xfId="58"/>
    <cellStyle name="Millares_INCH JUNTA MES MARZO NUEVA PRESENTACIÓN 2005" xfId="59"/>
    <cellStyle name="Currency" xfId="60"/>
    <cellStyle name="Currency [0]" xfId="61"/>
    <cellStyle name="Neutral" xfId="62"/>
    <cellStyle name="Normal 15" xfId="63"/>
    <cellStyle name="Normal 16" xfId="64"/>
    <cellStyle name="Normal 2" xfId="65"/>
    <cellStyle name="Normal 5" xfId="66"/>
    <cellStyle name="Normal_INCH JUNTA DICIEMBRE ACTUALIZADA EN FEBRERO 8 2004" xfId="67"/>
    <cellStyle name="Normal_INCH JUNTA MES MARZO NUEVA PRESENTACIÓN 2005" xfId="68"/>
    <cellStyle name="Notas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38100</xdr:rowOff>
    </xdr:from>
    <xdr:to>
      <xdr:col>5</xdr:col>
      <xdr:colOff>638175</xdr:colOff>
      <xdr:row>4</xdr:row>
      <xdr:rowOff>133350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9525</xdr:rowOff>
    </xdr:from>
    <xdr:to>
      <xdr:col>7</xdr:col>
      <xdr:colOff>190500</xdr:colOff>
      <xdr:row>4</xdr:row>
      <xdr:rowOff>104775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9525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66675</xdr:rowOff>
    </xdr:from>
    <xdr:to>
      <xdr:col>10</xdr:col>
      <xdr:colOff>209550</xdr:colOff>
      <xdr:row>4</xdr:row>
      <xdr:rowOff>171450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66675"/>
          <a:ext cx="2181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10</xdr:col>
      <xdr:colOff>466725</xdr:colOff>
      <xdr:row>4</xdr:row>
      <xdr:rowOff>76200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104775</xdr:rowOff>
    </xdr:from>
    <xdr:to>
      <xdr:col>7</xdr:col>
      <xdr:colOff>161925</xdr:colOff>
      <xdr:row>5</xdr:row>
      <xdr:rowOff>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0</xdr:rowOff>
    </xdr:from>
    <xdr:to>
      <xdr:col>7</xdr:col>
      <xdr:colOff>238125</xdr:colOff>
      <xdr:row>4</xdr:row>
      <xdr:rowOff>95250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0</xdr:rowOff>
    </xdr:from>
    <xdr:to>
      <xdr:col>9</xdr:col>
      <xdr:colOff>742950</xdr:colOff>
      <xdr:row>4</xdr:row>
      <xdr:rowOff>85725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0</xdr:rowOff>
    </xdr:from>
    <xdr:to>
      <xdr:col>13</xdr:col>
      <xdr:colOff>66675</xdr:colOff>
      <xdr:row>4</xdr:row>
      <xdr:rowOff>85725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7</xdr:col>
      <xdr:colOff>161925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4</xdr:col>
      <xdr:colOff>76200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572452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171450</xdr:rowOff>
    </xdr:from>
    <xdr:to>
      <xdr:col>6</xdr:col>
      <xdr:colOff>9525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15725"/>
          <a:ext cx="71818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1295400</xdr:colOff>
      <xdr:row>3</xdr:row>
      <xdr:rowOff>123825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581025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7</xdr:col>
      <xdr:colOff>0</xdr:colOff>
      <xdr:row>5</xdr:row>
      <xdr:rowOff>57150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8315325" cy="857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161925</xdr:rowOff>
    </xdr:from>
    <xdr:to>
      <xdr:col>18</xdr:col>
      <xdr:colOff>0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06200"/>
          <a:ext cx="16887825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581025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190500</xdr:rowOff>
    </xdr:from>
    <xdr:to>
      <xdr:col>10</xdr:col>
      <xdr:colOff>9525</xdr:colOff>
      <xdr:row>5</xdr:row>
      <xdr:rowOff>57150</xdr:rowOff>
    </xdr:to>
    <xdr:sp>
      <xdr:nvSpPr>
        <xdr:cNvPr id="2" name="2 Rectángulo"/>
        <xdr:cNvSpPr>
          <a:spLocks/>
        </xdr:cNvSpPr>
      </xdr:nvSpPr>
      <xdr:spPr>
        <a:xfrm>
          <a:off x="0" y="1000125"/>
          <a:ext cx="11344275" cy="6667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171450</xdr:rowOff>
    </xdr:from>
    <xdr:to>
      <xdr:col>25</xdr:col>
      <xdr:colOff>38100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15725"/>
          <a:ext cx="2311717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RE\Trim012005\PG03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94" zoomScaleNormal="94" zoomScalePageLayoutView="0" workbookViewId="0" topLeftCell="A1">
      <pane xSplit="1" ySplit="10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5" sqref="A35"/>
    </sheetView>
  </sheetViews>
  <sheetFormatPr defaultColWidth="11.421875" defaultRowHeight="12.75"/>
  <cols>
    <col min="1" max="1" width="43.7109375" style="1" customWidth="1"/>
    <col min="2" max="7" width="12.140625" style="1" bestFit="1" customWidth="1"/>
    <col min="8" max="8" width="12.14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4" width="11.421875" style="1" customWidth="1"/>
    <col min="15" max="15" width="14.28125" style="1" bestFit="1" customWidth="1"/>
    <col min="16" max="17" width="14.28125" style="1" customWidth="1"/>
    <col min="18" max="16384" width="11.421875" style="1" customWidth="1"/>
  </cols>
  <sheetData>
    <row r="1" spans="13:19" ht="15">
      <c r="M1" s="3"/>
      <c r="N1" s="3"/>
      <c r="O1" s="3"/>
      <c r="P1" s="3"/>
      <c r="Q1" s="3"/>
      <c r="R1" s="4"/>
      <c r="S1" s="4"/>
    </row>
    <row r="2" spans="13:19" ht="15">
      <c r="M2" s="3"/>
      <c r="N2" s="3"/>
      <c r="O2" s="3"/>
      <c r="P2" s="3"/>
      <c r="Q2" s="3"/>
      <c r="R2" s="4"/>
      <c r="S2" s="4"/>
    </row>
    <row r="3" spans="13:19" ht="15">
      <c r="M3" s="3"/>
      <c r="N3" s="3"/>
      <c r="O3" s="3"/>
      <c r="P3" s="3"/>
      <c r="Q3" s="3"/>
      <c r="R3" s="4"/>
      <c r="S3" s="4"/>
    </row>
    <row r="4" spans="13:19" ht="15">
      <c r="M4" s="3"/>
      <c r="N4" s="3"/>
      <c r="O4" s="3"/>
      <c r="P4" s="3"/>
      <c r="Q4" s="3"/>
      <c r="R4" s="4"/>
      <c r="S4" s="4"/>
    </row>
    <row r="5" spans="13:19" ht="15">
      <c r="M5" s="3"/>
      <c r="N5" s="3"/>
      <c r="O5" s="3"/>
      <c r="P5" s="3"/>
      <c r="Q5" s="3"/>
      <c r="R5" s="4"/>
      <c r="S5" s="4"/>
    </row>
    <row r="6" spans="1:19" ht="21">
      <c r="A6" s="5" t="s">
        <v>76</v>
      </c>
      <c r="B6" s="5"/>
      <c r="C6" s="5"/>
      <c r="D6" s="5"/>
      <c r="E6" s="5"/>
      <c r="F6" s="5"/>
      <c r="G6" s="5"/>
      <c r="M6" s="3"/>
      <c r="N6" s="3"/>
      <c r="O6" s="3"/>
      <c r="P6" s="3"/>
      <c r="Q6" s="3"/>
      <c r="R6" s="4"/>
      <c r="S6" s="4"/>
    </row>
    <row r="7" spans="1:19" ht="15.75">
      <c r="A7" s="6" t="s">
        <v>115</v>
      </c>
      <c r="B7" s="6"/>
      <c r="C7" s="6"/>
      <c r="D7" s="6"/>
      <c r="E7" s="6"/>
      <c r="F7" s="6"/>
      <c r="G7" s="6"/>
      <c r="M7" s="3"/>
      <c r="N7" s="3"/>
      <c r="O7" s="3"/>
      <c r="P7" s="3"/>
      <c r="Q7" s="3"/>
      <c r="R7" s="4"/>
      <c r="S7" s="4"/>
    </row>
    <row r="8" spans="1:19" ht="15">
      <c r="A8" s="7" t="s">
        <v>15</v>
      </c>
      <c r="B8" s="7"/>
      <c r="C8" s="7"/>
      <c r="D8" s="7"/>
      <c r="E8" s="7"/>
      <c r="F8" s="7"/>
      <c r="G8" s="7"/>
      <c r="M8" s="3"/>
      <c r="N8" s="3"/>
      <c r="O8" s="3"/>
      <c r="P8" s="3"/>
      <c r="Q8" s="3"/>
      <c r="R8" s="4"/>
      <c r="S8" s="4"/>
    </row>
    <row r="9" spans="1:23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0"/>
      <c r="O9" s="10"/>
      <c r="P9" s="10"/>
      <c r="Q9" s="10"/>
      <c r="R9" s="11"/>
      <c r="S9" s="11"/>
      <c r="T9" s="12"/>
      <c r="U9" s="12"/>
      <c r="V9" s="12"/>
      <c r="W9" s="12"/>
    </row>
    <row r="10" spans="1:12" s="13" customFormat="1" ht="15.75" thickBot="1">
      <c r="A10" s="49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4">
        <v>2011</v>
      </c>
      <c r="I10" s="14">
        <v>2012</v>
      </c>
      <c r="J10" s="15">
        <v>2012</v>
      </c>
      <c r="K10" s="15">
        <v>2013</v>
      </c>
      <c r="L10" s="16" t="s">
        <v>0</v>
      </c>
    </row>
    <row r="11" spans="1:14" s="13" customFormat="1" ht="15">
      <c r="A11" s="53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9">
        <v>94</v>
      </c>
      <c r="I11" s="9">
        <v>75</v>
      </c>
      <c r="J11" s="18">
        <v>74</v>
      </c>
      <c r="K11" s="18">
        <v>58</v>
      </c>
      <c r="L11" s="19">
        <f>IF(J11&lt;&gt;0,(K11-J11)/J11,0)</f>
        <v>-0.21621621621621623</v>
      </c>
      <c r="N11" s="10"/>
    </row>
    <row r="12" spans="1:14" s="13" customFormat="1" ht="15">
      <c r="A12" s="53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9">
        <v>3554895</v>
      </c>
      <c r="I12" s="9">
        <v>3748345</v>
      </c>
      <c r="J12" s="18">
        <v>3748346</v>
      </c>
      <c r="K12" s="18">
        <v>4126523</v>
      </c>
      <c r="L12" s="19">
        <f aca="true" t="shared" si="0" ref="L12:L17">IF(J12&lt;&gt;0,(K12-J12)/J12,0)</f>
        <v>0.10089169996579825</v>
      </c>
      <c r="N12" s="10"/>
    </row>
    <row r="13" spans="1:23" s="20" customFormat="1" ht="14.25" customHeight="1">
      <c r="A13" s="53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9">
        <v>10662</v>
      </c>
      <c r="I13" s="9">
        <v>14922</v>
      </c>
      <c r="J13" s="18">
        <v>14922</v>
      </c>
      <c r="K13" s="18">
        <v>18191</v>
      </c>
      <c r="L13" s="19">
        <f t="shared" si="0"/>
        <v>0.21907251038734754</v>
      </c>
      <c r="N13" s="10"/>
      <c r="U13" s="13"/>
      <c r="V13" s="13"/>
      <c r="W13" s="13"/>
    </row>
    <row r="14" spans="1:23" s="20" customFormat="1" ht="15">
      <c r="A14" s="53" t="s">
        <v>21</v>
      </c>
      <c r="B14" s="9"/>
      <c r="C14" s="9"/>
      <c r="D14" s="9">
        <v>0</v>
      </c>
      <c r="E14" s="9">
        <v>50</v>
      </c>
      <c r="F14" s="9"/>
      <c r="G14" s="9"/>
      <c r="H14" s="9">
        <v>0</v>
      </c>
      <c r="I14" s="9">
        <v>0</v>
      </c>
      <c r="J14" s="18">
        <v>0</v>
      </c>
      <c r="K14" s="18">
        <v>0</v>
      </c>
      <c r="L14" s="19">
        <f t="shared" si="0"/>
        <v>0</v>
      </c>
      <c r="N14" s="10"/>
      <c r="U14" s="13"/>
      <c r="V14" s="13"/>
      <c r="W14" s="13"/>
    </row>
    <row r="15" spans="1:23" s="20" customFormat="1" ht="15">
      <c r="A15" s="53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9">
        <f>503+155</f>
        <v>658</v>
      </c>
      <c r="I15" s="9">
        <v>118</v>
      </c>
      <c r="J15" s="18">
        <v>118</v>
      </c>
      <c r="K15" s="18">
        <v>4612</v>
      </c>
      <c r="L15" s="21" t="s">
        <v>1</v>
      </c>
      <c r="N15" s="10"/>
      <c r="U15" s="13"/>
      <c r="V15" s="13"/>
      <c r="W15" s="13"/>
    </row>
    <row r="16" spans="1:23" s="20" customFormat="1" ht="15">
      <c r="A16" s="53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9">
        <v>2979150</v>
      </c>
      <c r="I16" s="9">
        <v>3733696</v>
      </c>
      <c r="J16" s="18">
        <v>3733696</v>
      </c>
      <c r="K16" s="18">
        <v>3357714</v>
      </c>
      <c r="L16" s="19">
        <f t="shared" si="0"/>
        <v>-0.10069968203088843</v>
      </c>
      <c r="N16" s="10"/>
      <c r="U16" s="13"/>
      <c r="V16" s="13"/>
      <c r="W16" s="13"/>
    </row>
    <row r="17" spans="1:23" s="20" customFormat="1" ht="15.75" thickBot="1">
      <c r="A17" s="58" t="s">
        <v>26</v>
      </c>
      <c r="B17" s="22">
        <f aca="true" t="shared" si="1" ref="B17:K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22">
        <f t="shared" si="1"/>
        <v>6545459</v>
      </c>
      <c r="I17" s="22">
        <f t="shared" si="1"/>
        <v>7497156</v>
      </c>
      <c r="J17" s="23">
        <f t="shared" si="1"/>
        <v>7497156</v>
      </c>
      <c r="K17" s="23">
        <f t="shared" si="1"/>
        <v>7507098</v>
      </c>
      <c r="L17" s="24">
        <f t="shared" si="0"/>
        <v>0.001326102858203831</v>
      </c>
      <c r="N17" s="10"/>
      <c r="U17" s="13"/>
      <c r="V17" s="13"/>
      <c r="W17" s="13"/>
    </row>
    <row r="18" spans="2:14" s="13" customFormat="1" ht="15">
      <c r="B18" s="9"/>
      <c r="C18" s="9"/>
      <c r="D18" s="9"/>
      <c r="E18" s="9"/>
      <c r="F18" s="9"/>
      <c r="G18" s="9"/>
      <c r="H18" s="9"/>
      <c r="I18" s="9"/>
      <c r="J18" s="18"/>
      <c r="K18" s="18"/>
      <c r="L18" s="19"/>
      <c r="N18" s="10"/>
    </row>
    <row r="19" spans="1:23" s="20" customFormat="1" ht="15">
      <c r="A19" s="49" t="s">
        <v>27</v>
      </c>
      <c r="B19" s="25"/>
      <c r="C19" s="25"/>
      <c r="D19" s="25"/>
      <c r="E19" s="25"/>
      <c r="F19" s="25"/>
      <c r="G19" s="25"/>
      <c r="H19" s="25">
        <v>2011</v>
      </c>
      <c r="I19" s="25">
        <v>2012</v>
      </c>
      <c r="J19" s="26">
        <v>2012</v>
      </c>
      <c r="K19" s="26">
        <v>2013</v>
      </c>
      <c r="L19" s="27" t="s">
        <v>0</v>
      </c>
      <c r="N19" s="10"/>
      <c r="U19" s="13"/>
      <c r="V19" s="13"/>
      <c r="W19" s="13"/>
    </row>
    <row r="20" spans="1:23" s="20" customFormat="1" ht="15">
      <c r="A20" s="53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9">
        <v>0</v>
      </c>
      <c r="I20" s="9">
        <v>7</v>
      </c>
      <c r="J20" s="18">
        <v>7</v>
      </c>
      <c r="K20" s="18">
        <v>0</v>
      </c>
      <c r="L20" s="19">
        <f aca="true" t="shared" si="2" ref="L20:L28">IF(J20&lt;&gt;0,(K20-J20)/J20,0)</f>
        <v>-1</v>
      </c>
      <c r="N20" s="10"/>
      <c r="U20" s="13"/>
      <c r="V20" s="13"/>
      <c r="W20" s="13"/>
    </row>
    <row r="21" spans="1:23" s="20" customFormat="1" ht="15">
      <c r="A21" s="53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9">
        <v>59466</v>
      </c>
      <c r="I21" s="9">
        <v>65082</v>
      </c>
      <c r="J21" s="18">
        <v>65083</v>
      </c>
      <c r="K21" s="18">
        <v>70701</v>
      </c>
      <c r="L21" s="19">
        <f t="shared" si="2"/>
        <v>0.08632054453543936</v>
      </c>
      <c r="N21" s="10"/>
      <c r="U21" s="13"/>
      <c r="V21" s="13"/>
      <c r="W21" s="13"/>
    </row>
    <row r="22" spans="1:14" s="13" customFormat="1" ht="15">
      <c r="A22" s="1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9">
        <v>585</v>
      </c>
      <c r="I22" s="9">
        <v>657</v>
      </c>
      <c r="J22" s="18">
        <v>657</v>
      </c>
      <c r="K22" s="18">
        <v>2299</v>
      </c>
      <c r="L22" s="19">
        <f t="shared" si="2"/>
        <v>2.4992389649923896</v>
      </c>
      <c r="N22" s="10"/>
    </row>
    <row r="23" spans="1:14" s="13" customFormat="1" ht="15">
      <c r="A23" s="1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9">
        <v>872</v>
      </c>
      <c r="I23" s="9">
        <v>481</v>
      </c>
      <c r="J23" s="18">
        <v>481</v>
      </c>
      <c r="K23" s="18">
        <v>932</v>
      </c>
      <c r="L23" s="19">
        <f t="shared" si="2"/>
        <v>0.9376299376299376</v>
      </c>
      <c r="N23" s="10"/>
    </row>
    <row r="24" spans="1:14" s="13" customFormat="1" ht="15">
      <c r="A24" s="17" t="s">
        <v>33</v>
      </c>
      <c r="B24" s="9"/>
      <c r="C24" s="9"/>
      <c r="D24" s="9"/>
      <c r="E24" s="9"/>
      <c r="F24" s="9"/>
      <c r="G24" s="9"/>
      <c r="H24" s="9">
        <v>0</v>
      </c>
      <c r="I24" s="9">
        <v>0</v>
      </c>
      <c r="J24" s="18">
        <v>0</v>
      </c>
      <c r="K24" s="18">
        <v>0</v>
      </c>
      <c r="L24" s="19">
        <f t="shared" si="2"/>
        <v>0</v>
      </c>
      <c r="N24" s="10"/>
    </row>
    <row r="25" spans="1:14" s="13" customFormat="1" ht="15">
      <c r="A25" s="1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9">
        <v>8296</v>
      </c>
      <c r="I25" s="9">
        <v>8803</v>
      </c>
      <c r="J25" s="18">
        <v>8803</v>
      </c>
      <c r="K25" s="18">
        <v>9622</v>
      </c>
      <c r="L25" s="19">
        <f t="shared" si="2"/>
        <v>0.0930364648415313</v>
      </c>
      <c r="N25" s="10"/>
    </row>
    <row r="26" spans="1:23" s="30" customFormat="1" ht="15">
      <c r="A26" s="6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8">
        <f>SUM(H20:H25)</f>
        <v>69219</v>
      </c>
      <c r="I26" s="8">
        <f>SUM(I20:I25)</f>
        <v>75030</v>
      </c>
      <c r="J26" s="28">
        <f>SUM(J20:J25)</f>
        <v>75031</v>
      </c>
      <c r="K26" s="28">
        <f>SUM(K20:K25)</f>
        <v>83554</v>
      </c>
      <c r="L26" s="29">
        <f t="shared" si="2"/>
        <v>0.11359304820674121</v>
      </c>
      <c r="N26" s="10"/>
      <c r="U26" s="13"/>
      <c r="V26" s="13"/>
      <c r="W26" s="13"/>
    </row>
    <row r="27" spans="1:23" s="30" customFormat="1" ht="15">
      <c r="A27" s="70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31">
        <v>6476240</v>
      </c>
      <c r="I27" s="31">
        <v>7422126</v>
      </c>
      <c r="J27" s="32">
        <v>7422125</v>
      </c>
      <c r="K27" s="32">
        <v>7423544</v>
      </c>
      <c r="L27" s="33">
        <f t="shared" si="2"/>
        <v>0.00019118513902689595</v>
      </c>
      <c r="N27" s="10"/>
      <c r="U27" s="13"/>
      <c r="V27" s="13"/>
      <c r="W27" s="13"/>
    </row>
    <row r="28" spans="1:23" s="30" customFormat="1" ht="15.75" thickBot="1">
      <c r="A28" s="74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22">
        <f>+H26+H27</f>
        <v>6545459</v>
      </c>
      <c r="I28" s="22">
        <f>+I26+I27</f>
        <v>7497156</v>
      </c>
      <c r="J28" s="23">
        <f>+J26+J27</f>
        <v>7497156</v>
      </c>
      <c r="K28" s="23">
        <f>+K26+K27</f>
        <v>7507098</v>
      </c>
      <c r="L28" s="34">
        <f t="shared" si="2"/>
        <v>0.001326102858203831</v>
      </c>
      <c r="N28" s="10"/>
      <c r="U28" s="13"/>
      <c r="V28" s="13"/>
      <c r="W28" s="13"/>
    </row>
    <row r="29" spans="1:14" s="13" customFormat="1" ht="15" hidden="1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9">
        <f>435123458+25000000</f>
        <v>460123458</v>
      </c>
      <c r="I29" s="9">
        <f>435123458+25000000</f>
        <v>460123458</v>
      </c>
      <c r="J29" s="18">
        <f>435123458+25000000</f>
        <v>460123458</v>
      </c>
      <c r="K29" s="18">
        <f>435123458+25000000</f>
        <v>460123458</v>
      </c>
      <c r="L29" s="19"/>
      <c r="N29" s="10"/>
    </row>
    <row r="30" spans="1:14" s="13" customFormat="1" ht="15" hidden="1">
      <c r="A30" s="17" t="s">
        <v>3</v>
      </c>
      <c r="B30" s="35">
        <f aca="true" t="shared" si="5" ref="B30:K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35">
        <f t="shared" si="5"/>
        <v>14075.005060924323</v>
      </c>
      <c r="I30" s="35">
        <f t="shared" si="5"/>
        <v>16130.727244947375</v>
      </c>
      <c r="J30" s="36">
        <f t="shared" si="5"/>
        <v>16130.725071617626</v>
      </c>
      <c r="K30" s="36">
        <f t="shared" si="5"/>
        <v>16133.809026533047</v>
      </c>
      <c r="L30" s="19"/>
      <c r="N30" s="10"/>
    </row>
    <row r="31" spans="1:18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R31" s="38"/>
    </row>
    <row r="32" spans="1:18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R32" s="38"/>
    </row>
    <row r="33" spans="1:19" ht="21">
      <c r="A33" s="5" t="s">
        <v>77</v>
      </c>
      <c r="B33" s="5"/>
      <c r="C33" s="5"/>
      <c r="D33" s="5"/>
      <c r="E33" s="5"/>
      <c r="F33" s="5"/>
      <c r="G33" s="5"/>
      <c r="M33" s="3"/>
      <c r="N33" s="3"/>
      <c r="O33" s="3"/>
      <c r="P33" s="3"/>
      <c r="Q33" s="3"/>
      <c r="R33" s="39"/>
      <c r="S33" s="4"/>
    </row>
    <row r="34" spans="1:19" ht="15.75">
      <c r="A34" s="75" t="s">
        <v>116</v>
      </c>
      <c r="B34" s="6"/>
      <c r="C34" s="6"/>
      <c r="D34" s="6"/>
      <c r="E34" s="6"/>
      <c r="F34" s="6"/>
      <c r="G34" s="6"/>
      <c r="M34" s="3"/>
      <c r="N34" s="3"/>
      <c r="O34" s="3"/>
      <c r="P34" s="3"/>
      <c r="Q34" s="3"/>
      <c r="R34" s="39"/>
      <c r="S34" s="4"/>
    </row>
    <row r="35" spans="1:19" ht="15">
      <c r="A35" s="7" t="s">
        <v>15</v>
      </c>
      <c r="B35" s="7"/>
      <c r="C35" s="7"/>
      <c r="D35" s="7"/>
      <c r="E35" s="7"/>
      <c r="F35" s="7"/>
      <c r="G35" s="7"/>
      <c r="M35" s="3"/>
      <c r="N35" s="3"/>
      <c r="O35" s="3"/>
      <c r="P35" s="3"/>
      <c r="Q35" s="3"/>
      <c r="R35" s="39"/>
      <c r="S35" s="4"/>
    </row>
    <row r="36" spans="8:18" s="13" customFormat="1" ht="15">
      <c r="H36" s="9"/>
      <c r="I36" s="9"/>
      <c r="J36" s="9"/>
      <c r="K36" s="9"/>
      <c r="L36" s="10"/>
      <c r="R36" s="38"/>
    </row>
    <row r="37" spans="2:21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4">
        <v>2011</v>
      </c>
      <c r="I37" s="14">
        <v>2012</v>
      </c>
      <c r="J37" s="15" t="s">
        <v>4</v>
      </c>
      <c r="K37" s="15" t="s">
        <v>5</v>
      </c>
      <c r="L37" s="15" t="s">
        <v>6</v>
      </c>
      <c r="M37" s="15" t="s">
        <v>7</v>
      </c>
      <c r="N37" s="15" t="s">
        <v>8</v>
      </c>
      <c r="O37" s="15" t="s">
        <v>9</v>
      </c>
      <c r="P37" s="15" t="s">
        <v>10</v>
      </c>
      <c r="Q37" s="15" t="s">
        <v>11</v>
      </c>
      <c r="R37" s="40" t="s">
        <v>0</v>
      </c>
      <c r="S37" s="41" t="s">
        <v>12</v>
      </c>
      <c r="T37" s="41" t="s">
        <v>13</v>
      </c>
      <c r="U37" s="40" t="s">
        <v>0</v>
      </c>
    </row>
    <row r="38" spans="1:23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8">
        <v>223644</v>
      </c>
      <c r="I38" s="8">
        <v>312990</v>
      </c>
      <c r="J38" s="28">
        <v>55583</v>
      </c>
      <c r="K38" s="28">
        <v>77093</v>
      </c>
      <c r="L38" s="28">
        <f>130102-J38</f>
        <v>74519</v>
      </c>
      <c r="M38" s="28">
        <f>165449-K38</f>
        <v>88356</v>
      </c>
      <c r="N38" s="28">
        <v>88047</v>
      </c>
      <c r="O38" s="28">
        <v>91080</v>
      </c>
      <c r="P38" s="28">
        <f>312990-J38-L38-N38</f>
        <v>94841</v>
      </c>
      <c r="Q38" s="28">
        <f>344939-K38-M38-O38</f>
        <v>88410</v>
      </c>
      <c r="R38" s="19">
        <f>IF(P38&lt;&gt;0,(Q38-P38)/P38,0)</f>
        <v>-0.06780822639997469</v>
      </c>
      <c r="S38" s="42">
        <v>312990</v>
      </c>
      <c r="T38" s="42">
        <v>344939</v>
      </c>
      <c r="U38" s="19">
        <f>IF(S38&lt;&gt;0,(T38-S38)/S38,0)</f>
        <v>0.10207674366593182</v>
      </c>
      <c r="W38" s="43"/>
    </row>
    <row r="39" spans="1:23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9">
        <v>11024</v>
      </c>
      <c r="I39" s="9">
        <v>0</v>
      </c>
      <c r="J39" s="18">
        <v>0</v>
      </c>
      <c r="K39" s="18">
        <v>0</v>
      </c>
      <c r="L39" s="18">
        <v>0</v>
      </c>
      <c r="M39" s="18">
        <v>-176</v>
      </c>
      <c r="N39" s="28">
        <v>0</v>
      </c>
      <c r="O39" s="28">
        <v>0</v>
      </c>
      <c r="P39" s="28">
        <v>0</v>
      </c>
      <c r="Q39" s="28">
        <v>0</v>
      </c>
      <c r="R39" s="19">
        <f aca="true" t="shared" si="6" ref="R39:R49">IF(P39&lt;&gt;0,(Q39-P39)/P39,0)</f>
        <v>0</v>
      </c>
      <c r="S39" s="44">
        <v>0</v>
      </c>
      <c r="T39" s="44">
        <v>-176</v>
      </c>
      <c r="U39" s="19">
        <f aca="true" t="shared" si="7" ref="U39:U48">IF(S39&lt;&gt;0,(T39-S39)/S39,0)</f>
        <v>0</v>
      </c>
      <c r="W39" s="43"/>
    </row>
    <row r="40" spans="1:23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9">
        <v>33432</v>
      </c>
      <c r="I40" s="9">
        <v>35105</v>
      </c>
      <c r="J40" s="18">
        <v>8296</v>
      </c>
      <c r="K40" s="18">
        <v>8803</v>
      </c>
      <c r="L40" s="18">
        <f>17500-J40</f>
        <v>9204</v>
      </c>
      <c r="M40" s="18">
        <f>18664-K40</f>
        <v>9861</v>
      </c>
      <c r="N40" s="18">
        <v>8803</v>
      </c>
      <c r="O40" s="18">
        <v>11140</v>
      </c>
      <c r="P40" s="18">
        <f>35105-J40-L40-N40</f>
        <v>8802</v>
      </c>
      <c r="Q40" s="18">
        <f>39426-K40-M40-O40</f>
        <v>9622</v>
      </c>
      <c r="R40" s="19">
        <f t="shared" si="6"/>
        <v>0.09316064530788457</v>
      </c>
      <c r="S40" s="44">
        <v>35105</v>
      </c>
      <c r="T40" s="44">
        <v>39426</v>
      </c>
      <c r="U40" s="19">
        <f t="shared" si="7"/>
        <v>0.1230878792194844</v>
      </c>
      <c r="W40" s="43"/>
    </row>
    <row r="41" spans="1:23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9">
        <v>7221</v>
      </c>
      <c r="I41" s="9">
        <v>8379</v>
      </c>
      <c r="J41" s="18">
        <v>2095</v>
      </c>
      <c r="K41" s="18">
        <v>2650</v>
      </c>
      <c r="L41" s="18">
        <f>4189-J41</f>
        <v>2094</v>
      </c>
      <c r="M41" s="18">
        <f>5570-K41</f>
        <v>2920</v>
      </c>
      <c r="N41" s="18">
        <v>2094</v>
      </c>
      <c r="O41" s="18">
        <v>3537</v>
      </c>
      <c r="P41" s="18">
        <f>8379-J41-L41-N41</f>
        <v>2096</v>
      </c>
      <c r="Q41" s="18">
        <f>14465-K41-M41-O41</f>
        <v>5358</v>
      </c>
      <c r="R41" s="19">
        <f t="shared" si="6"/>
        <v>1.5562977099236641</v>
      </c>
      <c r="S41" s="44">
        <v>8379</v>
      </c>
      <c r="T41" s="44">
        <v>14465</v>
      </c>
      <c r="U41" s="19">
        <f t="shared" si="7"/>
        <v>0.7263396586704858</v>
      </c>
      <c r="W41" s="43"/>
    </row>
    <row r="42" spans="1:23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8">
        <f aca="true" t="shared" si="9" ref="H42:Q42">SUM(H38:H41)</f>
        <v>275321</v>
      </c>
      <c r="I42" s="8">
        <f t="shared" si="9"/>
        <v>356474</v>
      </c>
      <c r="J42" s="28">
        <f t="shared" si="9"/>
        <v>65974</v>
      </c>
      <c r="K42" s="28">
        <f t="shared" si="9"/>
        <v>88546</v>
      </c>
      <c r="L42" s="28">
        <f t="shared" si="9"/>
        <v>85817</v>
      </c>
      <c r="M42" s="28">
        <f t="shared" si="9"/>
        <v>100961</v>
      </c>
      <c r="N42" s="28">
        <f t="shared" si="9"/>
        <v>98944</v>
      </c>
      <c r="O42" s="28">
        <f t="shared" si="9"/>
        <v>105757</v>
      </c>
      <c r="P42" s="28">
        <f t="shared" si="9"/>
        <v>105739</v>
      </c>
      <c r="Q42" s="28">
        <f t="shared" si="9"/>
        <v>103390</v>
      </c>
      <c r="R42" s="19">
        <f t="shared" si="6"/>
        <v>-0.022215076745571643</v>
      </c>
      <c r="S42" s="42">
        <f>SUM(S38:S41)</f>
        <v>356474</v>
      </c>
      <c r="T42" s="42">
        <f>SUM(T38:T41)</f>
        <v>398654</v>
      </c>
      <c r="U42" s="19">
        <f t="shared" si="7"/>
        <v>0.11832560018402465</v>
      </c>
      <c r="W42" s="43"/>
    </row>
    <row r="43" spans="1:23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9">
        <v>-9004</v>
      </c>
      <c r="I43" s="9">
        <v>-10090</v>
      </c>
      <c r="J43" s="18">
        <v>-8176</v>
      </c>
      <c r="K43" s="18">
        <f>-2393-5938</f>
        <v>-8331</v>
      </c>
      <c r="L43" s="18">
        <f>-4827.592907-J43</f>
        <v>3348.407093</v>
      </c>
      <c r="M43" s="18">
        <f>-6685-K43</f>
        <v>1646</v>
      </c>
      <c r="N43" s="18">
        <v>-2647</v>
      </c>
      <c r="O43" s="18">
        <v>-3043</v>
      </c>
      <c r="P43" s="18">
        <f>-10090-J43-L43-N43</f>
        <v>-2615.407093</v>
      </c>
      <c r="Q43" s="18">
        <f>-13551-K43-M43-O43</f>
        <v>-3823</v>
      </c>
      <c r="R43" s="19">
        <f t="shared" si="6"/>
        <v>0.46172273151359855</v>
      </c>
      <c r="S43" s="44">
        <v>-10090</v>
      </c>
      <c r="T43" s="44">
        <v>-13551</v>
      </c>
      <c r="U43" s="19">
        <f t="shared" si="7"/>
        <v>0.3430128840436075</v>
      </c>
      <c r="W43" s="43"/>
    </row>
    <row r="44" spans="1:23" s="30" customFormat="1" ht="15">
      <c r="A44" s="30" t="s">
        <v>70</v>
      </c>
      <c r="B44" s="8">
        <f aca="true" t="shared" si="10" ref="B44:G44">SUM(B42:B43)</f>
        <v>168810</v>
      </c>
      <c r="C44" s="8">
        <f t="shared" si="10"/>
        <v>202580</v>
      </c>
      <c r="D44" s="8">
        <f t="shared" si="10"/>
        <v>244681</v>
      </c>
      <c r="E44" s="8">
        <f t="shared" si="10"/>
        <v>290753</v>
      </c>
      <c r="F44" s="8">
        <f t="shared" si="10"/>
        <v>227228</v>
      </c>
      <c r="G44" s="8">
        <f t="shared" si="10"/>
        <v>273936</v>
      </c>
      <c r="H44" s="8">
        <f aca="true" t="shared" si="11" ref="H44:Q44">SUM(H42:H43)</f>
        <v>266317</v>
      </c>
      <c r="I44" s="8">
        <f t="shared" si="11"/>
        <v>346384</v>
      </c>
      <c r="J44" s="28">
        <f t="shared" si="11"/>
        <v>57798</v>
      </c>
      <c r="K44" s="28">
        <f t="shared" si="11"/>
        <v>80215</v>
      </c>
      <c r="L44" s="28">
        <f t="shared" si="11"/>
        <v>89165.407093</v>
      </c>
      <c r="M44" s="28">
        <f t="shared" si="11"/>
        <v>102607</v>
      </c>
      <c r="N44" s="28">
        <f t="shared" si="11"/>
        <v>96297</v>
      </c>
      <c r="O44" s="28">
        <f t="shared" si="11"/>
        <v>102714</v>
      </c>
      <c r="P44" s="28">
        <f t="shared" si="11"/>
        <v>103123.592907</v>
      </c>
      <c r="Q44" s="28">
        <f t="shared" si="11"/>
        <v>99567</v>
      </c>
      <c r="R44" s="19">
        <f t="shared" si="6"/>
        <v>-0.03448864422525932</v>
      </c>
      <c r="S44" s="42">
        <f>SUM(S42:S43)</f>
        <v>346384</v>
      </c>
      <c r="T44" s="42">
        <f>SUM(T42:T43)</f>
        <v>385103</v>
      </c>
      <c r="U44" s="19">
        <f t="shared" si="7"/>
        <v>0.1117805672317428</v>
      </c>
      <c r="W44" s="43"/>
    </row>
    <row r="45" spans="1:23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9">
        <v>814</v>
      </c>
      <c r="I45" s="9">
        <v>851</v>
      </c>
      <c r="J45" s="18">
        <v>652</v>
      </c>
      <c r="K45" s="18">
        <v>61</v>
      </c>
      <c r="L45" s="18">
        <f>743.423097-J45</f>
        <v>91.42309699999998</v>
      </c>
      <c r="M45" s="18">
        <f>112-K45</f>
        <v>51</v>
      </c>
      <c r="N45" s="18">
        <v>27.000000000000114</v>
      </c>
      <c r="O45" s="18">
        <v>130</v>
      </c>
      <c r="P45" s="18">
        <f>851-J45-L45-N45</f>
        <v>80.5769029999999</v>
      </c>
      <c r="Q45" s="18">
        <f>203-K45-M45-O45</f>
        <v>-39</v>
      </c>
      <c r="R45" s="19">
        <f t="shared" si="6"/>
        <v>-1.484009667137493</v>
      </c>
      <c r="S45" s="44">
        <v>851</v>
      </c>
      <c r="T45" s="44">
        <v>203</v>
      </c>
      <c r="U45" s="19">
        <f t="shared" si="7"/>
        <v>-0.7614571092831962</v>
      </c>
      <c r="W45" s="43"/>
    </row>
    <row r="46" spans="1:23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9">
        <v>-11022</v>
      </c>
      <c r="I46" s="9">
        <v>-1390</v>
      </c>
      <c r="J46" s="18">
        <v>-25</v>
      </c>
      <c r="K46" s="18">
        <v>-127</v>
      </c>
      <c r="L46" s="18">
        <f>-599.521351-J46</f>
        <v>-574.521351</v>
      </c>
      <c r="M46" s="18">
        <f>-2966-K46</f>
        <v>-2839</v>
      </c>
      <c r="N46" s="18">
        <v>-706.9999999999999</v>
      </c>
      <c r="O46" s="18">
        <v>-18</v>
      </c>
      <c r="P46" s="18">
        <f>-1390-J46-L46-N46</f>
        <v>-83.47864900000013</v>
      </c>
      <c r="Q46" s="18">
        <f>-2974-K46-M46-O46</f>
        <v>10</v>
      </c>
      <c r="R46" s="19">
        <f t="shared" si="6"/>
        <v>-1.1197911097003976</v>
      </c>
      <c r="S46" s="44">
        <v>-1390</v>
      </c>
      <c r="T46" s="44">
        <v>-2974</v>
      </c>
      <c r="U46" s="19">
        <f t="shared" si="7"/>
        <v>1.139568345323741</v>
      </c>
      <c r="W46" s="43"/>
    </row>
    <row r="47" spans="1:23" s="30" customFormat="1" ht="15">
      <c r="A47" s="30" t="s">
        <v>73</v>
      </c>
      <c r="B47" s="8">
        <f aca="true" t="shared" si="12" ref="B47:G47">SUM(B44:B46)</f>
        <v>172912</v>
      </c>
      <c r="C47" s="8">
        <f t="shared" si="12"/>
        <v>210911</v>
      </c>
      <c r="D47" s="8">
        <f t="shared" si="12"/>
        <v>244482</v>
      </c>
      <c r="E47" s="8">
        <f t="shared" si="12"/>
        <v>291080</v>
      </c>
      <c r="F47" s="8">
        <f t="shared" si="12"/>
        <v>225701</v>
      </c>
      <c r="G47" s="8">
        <f t="shared" si="12"/>
        <v>280279</v>
      </c>
      <c r="H47" s="8">
        <f aca="true" t="shared" si="13" ref="H47:Q47">SUM(H44:H46)</f>
        <v>256109</v>
      </c>
      <c r="I47" s="8">
        <f t="shared" si="13"/>
        <v>345845</v>
      </c>
      <c r="J47" s="28">
        <f t="shared" si="13"/>
        <v>58425</v>
      </c>
      <c r="K47" s="28">
        <f t="shared" si="13"/>
        <v>80149</v>
      </c>
      <c r="L47" s="28">
        <f t="shared" si="13"/>
        <v>88682.308839</v>
      </c>
      <c r="M47" s="28">
        <f t="shared" si="13"/>
        <v>99819</v>
      </c>
      <c r="N47" s="28">
        <f t="shared" si="13"/>
        <v>95617</v>
      </c>
      <c r="O47" s="28">
        <f t="shared" si="13"/>
        <v>102826</v>
      </c>
      <c r="P47" s="28">
        <f t="shared" si="13"/>
        <v>103120.691161</v>
      </c>
      <c r="Q47" s="28">
        <f t="shared" si="13"/>
        <v>99538</v>
      </c>
      <c r="R47" s="19">
        <f t="shared" si="6"/>
        <v>-0.03474269926494597</v>
      </c>
      <c r="S47" s="42">
        <f>SUM(S44:S46)</f>
        <v>345845</v>
      </c>
      <c r="T47" s="42">
        <f>SUM(T44:T46)</f>
        <v>382332</v>
      </c>
      <c r="U47" s="19">
        <f t="shared" si="7"/>
        <v>0.10550101924272434</v>
      </c>
      <c r="W47" s="43"/>
    </row>
    <row r="48" spans="1:23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9">
        <v>-127</v>
      </c>
      <c r="I48" s="9">
        <v>-361</v>
      </c>
      <c r="J48" s="18">
        <v>-8</v>
      </c>
      <c r="K48" s="18">
        <v>-2289</v>
      </c>
      <c r="L48" s="18">
        <f>-18.162-J48</f>
        <v>-10.161999999999999</v>
      </c>
      <c r="M48" s="18">
        <f>-1378-K48</f>
        <v>911</v>
      </c>
      <c r="N48" s="18">
        <v>-261</v>
      </c>
      <c r="O48" s="18">
        <v>-496</v>
      </c>
      <c r="P48" s="18">
        <f>-361-J48-L48-N48</f>
        <v>-81.83800000000002</v>
      </c>
      <c r="Q48" s="18">
        <f>-2436-K48-M48-O48</f>
        <v>-562</v>
      </c>
      <c r="R48" s="19">
        <f t="shared" si="6"/>
        <v>5.867225494269164</v>
      </c>
      <c r="S48" s="44">
        <v>-361</v>
      </c>
      <c r="T48" s="44">
        <v>-2436</v>
      </c>
      <c r="U48" s="19">
        <f t="shared" si="7"/>
        <v>5.747922437673131</v>
      </c>
      <c r="W48" s="43"/>
    </row>
    <row r="49" spans="1:23" s="13" customFormat="1" ht="15.75" thickBot="1">
      <c r="A49" s="45" t="s">
        <v>75</v>
      </c>
      <c r="B49" s="46">
        <f aca="true" t="shared" si="14" ref="B49:G49">SUM(B47:B48)</f>
        <v>169411</v>
      </c>
      <c r="C49" s="46">
        <f t="shared" si="14"/>
        <v>210697</v>
      </c>
      <c r="D49" s="46">
        <f t="shared" si="14"/>
        <v>244292</v>
      </c>
      <c r="E49" s="46">
        <f t="shared" si="14"/>
        <v>291006</v>
      </c>
      <c r="F49" s="46">
        <f t="shared" si="14"/>
        <v>225496</v>
      </c>
      <c r="G49" s="46">
        <f t="shared" si="14"/>
        <v>278403</v>
      </c>
      <c r="H49" s="46">
        <f aca="true" t="shared" si="15" ref="H49:Q49">SUM(H47:H48)</f>
        <v>255982</v>
      </c>
      <c r="I49" s="46">
        <f t="shared" si="15"/>
        <v>345484</v>
      </c>
      <c r="J49" s="47">
        <f t="shared" si="15"/>
        <v>58417</v>
      </c>
      <c r="K49" s="47">
        <f t="shared" si="15"/>
        <v>77860</v>
      </c>
      <c r="L49" s="47">
        <f t="shared" si="15"/>
        <v>88672.14683900001</v>
      </c>
      <c r="M49" s="47">
        <f t="shared" si="15"/>
        <v>100730</v>
      </c>
      <c r="N49" s="47">
        <f>SUM(N47:N48)</f>
        <v>95356</v>
      </c>
      <c r="O49" s="47">
        <f t="shared" si="15"/>
        <v>102330</v>
      </c>
      <c r="P49" s="47">
        <f t="shared" si="15"/>
        <v>103038.85316099999</v>
      </c>
      <c r="Q49" s="47">
        <f t="shared" si="15"/>
        <v>98976</v>
      </c>
      <c r="R49" s="34">
        <f t="shared" si="6"/>
        <v>-0.03943030261266314</v>
      </c>
      <c r="S49" s="48">
        <f>SUM(S47:S48)</f>
        <v>345484</v>
      </c>
      <c r="T49" s="48">
        <f>SUM(T47:T48)</f>
        <v>379896</v>
      </c>
      <c r="U49" s="34">
        <f>IF(S49&lt;&gt;0,(T49-S49)/S49,0)</f>
        <v>0.09960519155735142</v>
      </c>
      <c r="W49" s="43"/>
    </row>
    <row r="50" spans="3:23" s="13" customFormat="1" ht="15">
      <c r="C50" s="8"/>
      <c r="H50" s="9"/>
      <c r="I50" s="9"/>
      <c r="J50" s="9"/>
      <c r="K50" s="9"/>
      <c r="L50" s="10"/>
      <c r="W50" s="43"/>
    </row>
    <row r="51" spans="3:12" s="13" customFormat="1" ht="15"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Z82"/>
  <sheetViews>
    <sheetView zoomScalePageLayoutView="0" workbookViewId="0" topLeftCell="A1">
      <selection activeCell="A52" sqref="A52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107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415478</v>
      </c>
      <c r="M11" s="55">
        <v>374060</v>
      </c>
      <c r="N11" s="19">
        <f>+(M11-L11)/L11</f>
        <v>-0.09968758875319511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357830</v>
      </c>
      <c r="M12" s="55">
        <v>380790</v>
      </c>
      <c r="N12" s="19">
        <f aca="true" t="shared" si="1" ref="N12:N19">+(M12-L12)/L12</f>
        <v>0.06416454741078166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857299</v>
      </c>
      <c r="M13" s="55">
        <v>939981</v>
      </c>
      <c r="N13" s="19">
        <f t="shared" si="1"/>
        <v>0.09644476431210114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725323</v>
      </c>
      <c r="M14" s="55">
        <v>865567</v>
      </c>
      <c r="N14" s="19">
        <f t="shared" si="1"/>
        <v>0.1933538575227864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1456074</v>
      </c>
      <c r="M15" s="55">
        <v>1625659</v>
      </c>
      <c r="N15" s="19">
        <f t="shared" si="1"/>
        <v>0.11646729493143892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2038332</v>
      </c>
      <c r="M16" s="55">
        <v>2054699</v>
      </c>
      <c r="N16" s="19">
        <f t="shared" si="1"/>
        <v>0.008029604598269565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101223</v>
      </c>
      <c r="M17" s="55">
        <v>76948</v>
      </c>
      <c r="N17" s="19">
        <f t="shared" si="1"/>
        <v>-0.2398170376297877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16502</v>
      </c>
      <c r="M18" s="55">
        <v>25438</v>
      </c>
      <c r="N18" s="19">
        <f t="shared" si="1"/>
        <v>0.5415101199854563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4612437</v>
      </c>
      <c r="M19" s="55">
        <v>5187750</v>
      </c>
      <c r="N19" s="19">
        <f t="shared" si="1"/>
        <v>0.12473080933137949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10580498</v>
      </c>
      <c r="M20" s="61">
        <f>SUM(M11:M19)</f>
        <v>11530892</v>
      </c>
      <c r="N20" s="34">
        <f>+(M20-L20)/L20</f>
        <v>0.08982507250603894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1996737</v>
      </c>
      <c r="M23" s="55">
        <v>2123009</v>
      </c>
      <c r="N23" s="19">
        <f aca="true" t="shared" si="3" ref="N23:N34">+(M23-L23)/L23</f>
        <v>0.06323917471354515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299136</v>
      </c>
      <c r="M24" s="55">
        <v>298022</v>
      </c>
      <c r="N24" s="19">
        <f t="shared" si="3"/>
        <v>-0.003724058622165169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339737</v>
      </c>
      <c r="M25" s="55">
        <v>393832</v>
      </c>
      <c r="N25" s="19">
        <f t="shared" si="3"/>
        <v>0.15922610725355202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159523</v>
      </c>
      <c r="M26" s="55">
        <v>128889</v>
      </c>
      <c r="N26" s="19">
        <f t="shared" si="3"/>
        <v>-0.19203500435673854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138378</v>
      </c>
      <c r="M27" s="55">
        <v>131617</v>
      </c>
      <c r="N27" s="19">
        <f t="shared" si="3"/>
        <v>-0.048858922661116654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54184</v>
      </c>
      <c r="M28" s="55">
        <v>57423</v>
      </c>
      <c r="N28" s="19">
        <f t="shared" si="3"/>
        <v>0.05977779418278459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159573</v>
      </c>
      <c r="M29" s="55">
        <v>172156</v>
      </c>
      <c r="N29" s="19">
        <f t="shared" si="3"/>
        <v>0.07885419212523422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3159</v>
      </c>
      <c r="M30" s="55">
        <v>3438</v>
      </c>
      <c r="N30" s="19">
        <f t="shared" si="3"/>
        <v>0.08831908831908832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3150427</v>
      </c>
      <c r="M31" s="69">
        <f>SUM(M23:M30)</f>
        <v>3308386</v>
      </c>
      <c r="N31" s="19">
        <f t="shared" si="3"/>
        <v>0.050138917676873646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19208</v>
      </c>
      <c r="M32" s="55">
        <v>23731</v>
      </c>
      <c r="N32" s="19">
        <f t="shared" si="3"/>
        <v>0.23547480216576427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7410863</v>
      </c>
      <c r="M33" s="73">
        <f>M20-M31-M32</f>
        <v>8198775</v>
      </c>
      <c r="N33" s="33">
        <f t="shared" si="3"/>
        <v>0.10631852187795132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10580498</v>
      </c>
      <c r="M34" s="61">
        <f>+M31+M32+M33</f>
        <v>11530892</v>
      </c>
      <c r="N34" s="34">
        <f t="shared" si="3"/>
        <v>0.08982507250603894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109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6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15" t="s">
        <v>89</v>
      </c>
      <c r="Q39" s="15" t="s">
        <v>11</v>
      </c>
      <c r="R39" s="51" t="s">
        <v>41</v>
      </c>
      <c r="S39" s="15" t="s">
        <v>90</v>
      </c>
      <c r="T39" s="51" t="s">
        <v>41</v>
      </c>
      <c r="U39" s="76" t="s">
        <v>0</v>
      </c>
      <c r="V39" s="129" t="s">
        <v>43</v>
      </c>
      <c r="W39" s="130" t="s">
        <v>41</v>
      </c>
      <c r="X39" s="129" t="s">
        <v>87</v>
      </c>
      <c r="Y39" s="130" t="s">
        <v>41</v>
      </c>
      <c r="Z39" s="131" t="s">
        <v>0</v>
      </c>
    </row>
    <row r="40" spans="1:26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81">
        <v>1643763</v>
      </c>
      <c r="Q40" s="81">
        <v>1796994</v>
      </c>
      <c r="R40" s="29">
        <v>1</v>
      </c>
      <c r="S40" s="81">
        <f>+X40-L40-N40-P40</f>
        <v>1815598</v>
      </c>
      <c r="T40" s="29">
        <v>1</v>
      </c>
      <c r="U40" s="29">
        <f aca="true" t="shared" si="4" ref="U40:U52">(S40-Q40)/Q40</f>
        <v>0.010352844806382214</v>
      </c>
      <c r="V40" s="132">
        <v>5898466</v>
      </c>
      <c r="W40" s="133">
        <v>1</v>
      </c>
      <c r="X40" s="132">
        <v>6461752</v>
      </c>
      <c r="Y40" s="133">
        <v>1</v>
      </c>
      <c r="Z40" s="134">
        <f>IF(V40&lt;&gt;0,(X40-V40)/V40,0)</f>
        <v>0.09549703261831127</v>
      </c>
    </row>
    <row r="41" spans="1:26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87">
        <v>-915716</v>
      </c>
      <c r="Q41" s="87">
        <v>-1003718</v>
      </c>
      <c r="R41" s="19">
        <f>+O41/$O$40</f>
        <v>-0.553342207917813</v>
      </c>
      <c r="S41" s="87">
        <f>+X41-L41-N41-P41</f>
        <v>-1028518</v>
      </c>
      <c r="T41" s="19">
        <f aca="true" t="shared" si="5" ref="T41:T59">+S41/$S$40</f>
        <v>-0.5664899388521027</v>
      </c>
      <c r="U41" s="19">
        <f t="shared" si="4"/>
        <v>0.02470813515349929</v>
      </c>
      <c r="V41" s="135">
        <v>-3260968</v>
      </c>
      <c r="W41" s="134">
        <f>+V41/$V$40</f>
        <v>-0.5528501817252146</v>
      </c>
      <c r="X41" s="135">
        <v>-3591978</v>
      </c>
      <c r="Y41" s="134">
        <f>+X41/$X$40</f>
        <v>-0.5558829865336832</v>
      </c>
      <c r="Z41" s="134">
        <f>IF(V41&lt;&gt;0,(X41-V41)/V41,0)</f>
        <v>0.10150666918534619</v>
      </c>
    </row>
    <row r="42" spans="1:26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O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8">
        <f t="shared" si="6"/>
        <v>657552</v>
      </c>
      <c r="O42" s="28">
        <f t="shared" si="6"/>
        <v>665027</v>
      </c>
      <c r="P42" s="28">
        <f>SUM(P40:P41)</f>
        <v>728047</v>
      </c>
      <c r="Q42" s="28">
        <f>SUM(Q40:Q41)</f>
        <v>793276</v>
      </c>
      <c r="R42" s="29">
        <f>+O42/$O$40</f>
        <v>0.4466577920821871</v>
      </c>
      <c r="S42" s="28">
        <f>SUM(S40:S41)</f>
        <v>787080</v>
      </c>
      <c r="T42" s="29">
        <f t="shared" si="5"/>
        <v>0.43351006114789725</v>
      </c>
      <c r="U42" s="29">
        <f t="shared" si="4"/>
        <v>-0.007810648500647946</v>
      </c>
      <c r="V42" s="136">
        <f>SUM(V40:V41)</f>
        <v>2637498</v>
      </c>
      <c r="W42" s="133">
        <f aca="true" t="shared" si="7" ref="W42:W59">+V42/$V$40</f>
        <v>0.44714981827478534</v>
      </c>
      <c r="X42" s="136">
        <f>SUM(X40:X41)</f>
        <v>2869774</v>
      </c>
      <c r="Y42" s="133">
        <f aca="true" t="shared" si="8" ref="Y42:Y59">+X42/$X$40</f>
        <v>0.4441170134663169</v>
      </c>
      <c r="Z42" s="134">
        <f aca="true" t="shared" si="9" ref="Z42:Z57">IF(V42&lt;&gt;0,(X42-V42)/V42,0)</f>
        <v>0.0880667966383292</v>
      </c>
    </row>
    <row r="43" spans="1:26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8">
        <v>-99719</v>
      </c>
      <c r="Q43" s="18">
        <v>-105338</v>
      </c>
      <c r="R43" s="19">
        <f aca="true" t="shared" si="10" ref="R43:R58">+O43/$O$40</f>
        <v>-0.06946623538514443</v>
      </c>
      <c r="S43" s="18">
        <f>+X43-L43-N43-P43</f>
        <v>-110137</v>
      </c>
      <c r="T43" s="19">
        <f t="shared" si="5"/>
        <v>-0.060661556137426895</v>
      </c>
      <c r="U43" s="19">
        <f t="shared" si="4"/>
        <v>0.04555810818508041</v>
      </c>
      <c r="V43" s="137">
        <v>-347578</v>
      </c>
      <c r="W43" s="134">
        <f t="shared" si="7"/>
        <v>-0.0589268464037938</v>
      </c>
      <c r="X43" s="137">
        <v>-408021</v>
      </c>
      <c r="Y43" s="134">
        <f t="shared" si="8"/>
        <v>-0.06314402038332638</v>
      </c>
      <c r="Z43" s="134">
        <f t="shared" si="9"/>
        <v>0.17389765750421488</v>
      </c>
    </row>
    <row r="44" spans="1:26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8">
        <v>-427694</v>
      </c>
      <c r="Q44" s="18">
        <v>-448571</v>
      </c>
      <c r="R44" s="19">
        <f t="shared" si="10"/>
        <v>-0.2521935716127923</v>
      </c>
      <c r="S44" s="18">
        <f>+X44-L44-N44-P44</f>
        <v>-478849</v>
      </c>
      <c r="T44" s="19">
        <f t="shared" si="5"/>
        <v>-0.26374175340576494</v>
      </c>
      <c r="U44" s="19">
        <f t="shared" si="4"/>
        <v>0.06749879060394007</v>
      </c>
      <c r="V44" s="137">
        <v>-1505166</v>
      </c>
      <c r="W44" s="134">
        <f t="shared" si="7"/>
        <v>-0.25517922795520054</v>
      </c>
      <c r="X44" s="137">
        <v>-1703834</v>
      </c>
      <c r="Y44" s="134">
        <f t="shared" si="8"/>
        <v>-0.2636798812458293</v>
      </c>
      <c r="Z44" s="134">
        <f t="shared" si="9"/>
        <v>0.1319907571656548</v>
      </c>
    </row>
    <row r="45" spans="1:26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8">
        <v>-30812</v>
      </c>
      <c r="Q45" s="18">
        <v>-41010</v>
      </c>
      <c r="R45" s="19">
        <f t="shared" si="10"/>
        <v>-0.021547509026822557</v>
      </c>
      <c r="S45" s="18">
        <f>+X45-L45-N45-P45</f>
        <v>-37455</v>
      </c>
      <c r="T45" s="19">
        <f t="shared" si="5"/>
        <v>-0.020629566677204975</v>
      </c>
      <c r="U45" s="19">
        <f t="shared" si="4"/>
        <v>-0.0866861741038771</v>
      </c>
      <c r="V45" s="137">
        <v>-134527</v>
      </c>
      <c r="W45" s="134">
        <f t="shared" si="7"/>
        <v>-0.022807116290913605</v>
      </c>
      <c r="X45" s="137">
        <v>-119579</v>
      </c>
      <c r="Y45" s="134">
        <f t="shared" si="8"/>
        <v>-0.01850566224144783</v>
      </c>
      <c r="Z45" s="134">
        <f t="shared" si="9"/>
        <v>-0.11111524080667821</v>
      </c>
    </row>
    <row r="46" spans="1:26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O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8">
        <f t="shared" si="11"/>
        <v>-513368</v>
      </c>
      <c r="O46" s="28">
        <f t="shared" si="11"/>
        <v>-511000</v>
      </c>
      <c r="P46" s="28">
        <f>SUM(P43:P45)</f>
        <v>-558225</v>
      </c>
      <c r="Q46" s="28">
        <f>SUM(Q43:Q45)</f>
        <v>-594919</v>
      </c>
      <c r="R46" s="29">
        <f t="shared" si="10"/>
        <v>-0.3432073160247593</v>
      </c>
      <c r="S46" s="28">
        <f>SUM(S43:S45)</f>
        <v>-626441</v>
      </c>
      <c r="T46" s="29">
        <f t="shared" si="5"/>
        <v>-0.3450328762203968</v>
      </c>
      <c r="U46" s="29">
        <f t="shared" si="4"/>
        <v>0.05298536439414441</v>
      </c>
      <c r="V46" s="136">
        <f>SUM(V43:V45)</f>
        <v>-1987271</v>
      </c>
      <c r="W46" s="133">
        <f t="shared" si="7"/>
        <v>-0.33691319064990793</v>
      </c>
      <c r="X46" s="136">
        <f>SUM(X43:X45)</f>
        <v>-2231434</v>
      </c>
      <c r="Y46" s="133">
        <f t="shared" si="8"/>
        <v>-0.34532956387060354</v>
      </c>
      <c r="Z46" s="134">
        <f t="shared" si="9"/>
        <v>0.12286346451993714</v>
      </c>
    </row>
    <row r="47" spans="1:26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Q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8">
        <f t="shared" si="12"/>
        <v>144184</v>
      </c>
      <c r="O47" s="28">
        <f t="shared" si="12"/>
        <v>154027</v>
      </c>
      <c r="P47" s="28">
        <f t="shared" si="12"/>
        <v>169822</v>
      </c>
      <c r="Q47" s="28">
        <f t="shared" si="12"/>
        <v>198357</v>
      </c>
      <c r="R47" s="29">
        <f t="shared" si="10"/>
        <v>0.10345047605742778</v>
      </c>
      <c r="S47" s="28">
        <f>+S42+S46</f>
        <v>160639</v>
      </c>
      <c r="T47" s="29">
        <f t="shared" si="5"/>
        <v>0.08847718492750047</v>
      </c>
      <c r="U47" s="29">
        <f t="shared" si="4"/>
        <v>-0.1901520994973709</v>
      </c>
      <c r="V47" s="136">
        <f>+V42+V46</f>
        <v>650227</v>
      </c>
      <c r="W47" s="133">
        <f t="shared" si="7"/>
        <v>0.11023662762487739</v>
      </c>
      <c r="X47" s="136">
        <f>+X42+X46</f>
        <v>638340</v>
      </c>
      <c r="Y47" s="133">
        <f t="shared" si="8"/>
        <v>0.09878744959571337</v>
      </c>
      <c r="Z47" s="134">
        <f t="shared" si="9"/>
        <v>-0.01828130791246749</v>
      </c>
    </row>
    <row r="48" spans="1:26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8">
        <v>834.2066727099991</v>
      </c>
      <c r="Q48" s="18">
        <v>3996</v>
      </c>
      <c r="R48" s="19">
        <f t="shared" si="10"/>
        <v>0.0020592438961485556</v>
      </c>
      <c r="S48" s="18">
        <f>+X48-L48-N48-P48</f>
        <v>1723.793327290001</v>
      </c>
      <c r="T48" s="19">
        <f t="shared" si="5"/>
        <v>0.0009494355729021517</v>
      </c>
      <c r="U48" s="19">
        <f t="shared" si="4"/>
        <v>-0.5686202884659658</v>
      </c>
      <c r="V48" s="137">
        <v>12207</v>
      </c>
      <c r="W48" s="134">
        <f t="shared" si="7"/>
        <v>0.0020695211263403062</v>
      </c>
      <c r="X48" s="137">
        <v>12633</v>
      </c>
      <c r="Y48" s="134">
        <f t="shared" si="8"/>
        <v>0.0019550425333562786</v>
      </c>
      <c r="Z48" s="134">
        <f t="shared" si="9"/>
        <v>0.034898009338903906</v>
      </c>
    </row>
    <row r="49" spans="1:26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8">
        <v>-39692.202476859995</v>
      </c>
      <c r="Q49" s="18">
        <v>-39726</v>
      </c>
      <c r="R49" s="19">
        <f t="shared" si="10"/>
        <v>-0.01831155433287483</v>
      </c>
      <c r="S49" s="18">
        <f>+X49-L49-N49-P49</f>
        <v>-40986.797523140005</v>
      </c>
      <c r="T49" s="19">
        <f t="shared" si="5"/>
        <v>-0.0225748197140226</v>
      </c>
      <c r="U49" s="19">
        <f t="shared" si="4"/>
        <v>0.031737338849620024</v>
      </c>
      <c r="V49" s="137">
        <v>-101111</v>
      </c>
      <c r="W49" s="134">
        <f t="shared" si="7"/>
        <v>-0.017141914524895118</v>
      </c>
      <c r="X49" s="137">
        <v>-157945</v>
      </c>
      <c r="Y49" s="134">
        <f t="shared" si="8"/>
        <v>-0.024443061262642084</v>
      </c>
      <c r="Z49" s="134">
        <f t="shared" si="9"/>
        <v>0.562095123181454</v>
      </c>
    </row>
    <row r="50" spans="1:26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8">
        <v>-676</v>
      </c>
      <c r="Q50" s="18">
        <v>-4104</v>
      </c>
      <c r="R50" s="19">
        <f t="shared" si="10"/>
        <v>0.007088473607290234</v>
      </c>
      <c r="S50" s="18">
        <f>+X50-L50-N50-P50</f>
        <v>21211</v>
      </c>
      <c r="T50" s="19">
        <f t="shared" si="5"/>
        <v>0.011682652217065673</v>
      </c>
      <c r="U50" s="19">
        <f t="shared" si="4"/>
        <v>-6.1683723196881095</v>
      </c>
      <c r="V50" s="137">
        <v>8732</v>
      </c>
      <c r="W50" s="134">
        <f t="shared" si="7"/>
        <v>0.0014803849000740192</v>
      </c>
      <c r="X50" s="137">
        <v>25572</v>
      </c>
      <c r="Y50" s="134">
        <f t="shared" si="8"/>
        <v>0.003957440644580603</v>
      </c>
      <c r="Z50" s="134">
        <f t="shared" si="9"/>
        <v>1.9285387081997252</v>
      </c>
    </row>
    <row r="51" spans="1:26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8">
        <v>-16362.488190450102</v>
      </c>
      <c r="Q51" s="18">
        <v>-28914</v>
      </c>
      <c r="R51" s="19">
        <f t="shared" si="10"/>
        <v>-0.0017214096887895461</v>
      </c>
      <c r="S51" s="18">
        <f>+X51-L51-N51-P51</f>
        <v>2882.4881904501017</v>
      </c>
      <c r="T51" s="19">
        <f t="shared" si="5"/>
        <v>0.0015876246781777142</v>
      </c>
      <c r="U51" s="19">
        <f t="shared" si="4"/>
        <v>-1.099691782197209</v>
      </c>
      <c r="V51" s="137">
        <v>-54534</v>
      </c>
      <c r="W51" s="134">
        <f t="shared" si="7"/>
        <v>-0.009245454665670701</v>
      </c>
      <c r="X51" s="137">
        <v>-29059</v>
      </c>
      <c r="Y51" s="134">
        <f t="shared" si="8"/>
        <v>-0.004497077572769738</v>
      </c>
      <c r="Z51" s="134">
        <f t="shared" si="9"/>
        <v>-0.4671397660175303</v>
      </c>
    </row>
    <row r="52" spans="1:26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8">
        <v>10928.03778847</v>
      </c>
      <c r="Q52" s="18">
        <v>9643</v>
      </c>
      <c r="R52" s="19">
        <f t="shared" si="10"/>
        <v>0.007482053817056396</v>
      </c>
      <c r="S52" s="18">
        <f>+X52-L52-N52-P52</f>
        <v>21505.96221153</v>
      </c>
      <c r="T52" s="19">
        <f t="shared" si="5"/>
        <v>0.011845112305438759</v>
      </c>
      <c r="U52" s="19">
        <f t="shared" si="4"/>
        <v>1.2302148928269212</v>
      </c>
      <c r="V52" s="137">
        <v>39510</v>
      </c>
      <c r="W52" s="134">
        <f t="shared" si="7"/>
        <v>0.0066983517409441706</v>
      </c>
      <c r="X52" s="137">
        <v>53017</v>
      </c>
      <c r="Y52" s="134">
        <f t="shared" si="8"/>
        <v>0.008204740757614962</v>
      </c>
      <c r="Z52" s="134">
        <f t="shared" si="9"/>
        <v>0.3418628195393571</v>
      </c>
    </row>
    <row r="53" spans="1:26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8">
        <v>0</v>
      </c>
      <c r="Q53" s="18">
        <v>0</v>
      </c>
      <c r="R53" s="19">
        <f t="shared" si="10"/>
        <v>0</v>
      </c>
      <c r="S53" s="18">
        <v>1110</v>
      </c>
      <c r="T53" s="19">
        <f t="shared" si="5"/>
        <v>0.0006113688162247369</v>
      </c>
      <c r="U53" s="21" t="s">
        <v>88</v>
      </c>
      <c r="V53" s="137">
        <v>107</v>
      </c>
      <c r="W53" s="134">
        <f t="shared" si="7"/>
        <v>1.8140309700861208E-05</v>
      </c>
      <c r="X53" s="137">
        <v>1110</v>
      </c>
      <c r="Y53" s="134">
        <f t="shared" si="8"/>
        <v>0.00017178003736447947</v>
      </c>
      <c r="Z53" s="134">
        <f t="shared" si="9"/>
        <v>9.373831775700934</v>
      </c>
    </row>
    <row r="54" spans="1:26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O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8">
        <f t="shared" si="13"/>
        <v>-34485</v>
      </c>
      <c r="O54" s="28">
        <f t="shared" si="13"/>
        <v>-5067</v>
      </c>
      <c r="P54" s="28">
        <f>SUM(P48:P53)</f>
        <v>-44968.446206130095</v>
      </c>
      <c r="Q54" s="28">
        <f>SUM(Q48:Q53)</f>
        <v>-59105</v>
      </c>
      <c r="R54" s="29">
        <f t="shared" si="10"/>
        <v>-0.0034031927011691884</v>
      </c>
      <c r="S54" s="28">
        <f>SUM(S48:S53)</f>
        <v>7446.446206130095</v>
      </c>
      <c r="T54" s="29">
        <f t="shared" si="5"/>
        <v>0.004101373875786432</v>
      </c>
      <c r="U54" s="29">
        <f aca="true" t="shared" si="14" ref="U54:U59">(S54-Q54)/Q54</f>
        <v>-1.125986738958296</v>
      </c>
      <c r="V54" s="136">
        <f>SUM(V48:V53)</f>
        <v>-95089</v>
      </c>
      <c r="W54" s="133">
        <f t="shared" si="7"/>
        <v>-0.016120971113506462</v>
      </c>
      <c r="X54" s="136">
        <f>SUM(X48:X53)</f>
        <v>-94672</v>
      </c>
      <c r="Y54" s="133">
        <f t="shared" si="8"/>
        <v>-0.014651134862495497</v>
      </c>
      <c r="Z54" s="134">
        <f t="shared" si="9"/>
        <v>-0.0043853652893604935</v>
      </c>
    </row>
    <row r="55" spans="1:26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5" ref="H55:Q55">+H47+H54</f>
        <v>369568.01641320647</v>
      </c>
      <c r="I55" s="8">
        <f t="shared" si="15"/>
        <v>486120</v>
      </c>
      <c r="J55" s="8">
        <f t="shared" si="15"/>
        <v>555138</v>
      </c>
      <c r="K55" s="28">
        <f t="shared" si="15"/>
        <v>125702</v>
      </c>
      <c r="L55" s="28">
        <f t="shared" si="15"/>
        <v>141030</v>
      </c>
      <c r="M55" s="28">
        <f t="shared" si="15"/>
        <v>141224</v>
      </c>
      <c r="N55" s="28">
        <f t="shared" si="15"/>
        <v>109699</v>
      </c>
      <c r="O55" s="28">
        <f t="shared" si="15"/>
        <v>148960</v>
      </c>
      <c r="P55" s="28">
        <f t="shared" si="15"/>
        <v>124853.55379386991</v>
      </c>
      <c r="Q55" s="28">
        <f t="shared" si="15"/>
        <v>139252</v>
      </c>
      <c r="R55" s="29">
        <f t="shared" si="10"/>
        <v>0.10004728335625859</v>
      </c>
      <c r="S55" s="28">
        <f>+S47+S54</f>
        <v>168085.4462061301</v>
      </c>
      <c r="T55" s="29">
        <f t="shared" si="5"/>
        <v>0.0925785588032869</v>
      </c>
      <c r="U55" s="29">
        <f t="shared" si="14"/>
        <v>0.20705947638906505</v>
      </c>
      <c r="V55" s="136">
        <f>+V47+V54</f>
        <v>555138</v>
      </c>
      <c r="W55" s="133">
        <f t="shared" si="7"/>
        <v>0.09411565651137092</v>
      </c>
      <c r="X55" s="136">
        <f>+X47+X54</f>
        <v>543668</v>
      </c>
      <c r="Y55" s="133">
        <f t="shared" si="8"/>
        <v>0.08413631473321787</v>
      </c>
      <c r="Z55" s="134">
        <f t="shared" si="9"/>
        <v>-0.02066152920535074</v>
      </c>
    </row>
    <row r="56" spans="1:26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8">
        <v>-32829</v>
      </c>
      <c r="Q56" s="18">
        <v>-38830</v>
      </c>
      <c r="R56" s="19">
        <f t="shared" si="10"/>
        <v>-0.030163288772352134</v>
      </c>
      <c r="S56" s="18">
        <f>+X56-L56-N56-P56</f>
        <v>-50207</v>
      </c>
      <c r="T56" s="19">
        <f t="shared" si="5"/>
        <v>-0.027653147888464298</v>
      </c>
      <c r="U56" s="19">
        <f t="shared" si="14"/>
        <v>0.29299510687612673</v>
      </c>
      <c r="V56" s="137">
        <v>-174487</v>
      </c>
      <c r="W56" s="134">
        <f t="shared" si="7"/>
        <v>-0.0295817590539642</v>
      </c>
      <c r="X56" s="137">
        <v>-163686</v>
      </c>
      <c r="Y56" s="134">
        <f t="shared" si="8"/>
        <v>-0.025331519996434404</v>
      </c>
      <c r="Z56" s="134">
        <f t="shared" si="9"/>
        <v>-0.06190145970759999</v>
      </c>
    </row>
    <row r="57" spans="1:26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8">
        <v>-267</v>
      </c>
      <c r="Q57" s="18">
        <v>-343</v>
      </c>
      <c r="R57" s="19">
        <f t="shared" si="10"/>
        <v>-0.0002008199363823934</v>
      </c>
      <c r="S57" s="18">
        <f>+X57-L57-N57-P57</f>
        <v>-492</v>
      </c>
      <c r="T57" s="19">
        <f t="shared" si="5"/>
        <v>-0.00027098509692123477</v>
      </c>
      <c r="U57" s="19">
        <f t="shared" si="14"/>
        <v>0.43440233236151604</v>
      </c>
      <c r="V57" s="137">
        <v>-416</v>
      </c>
      <c r="W57" s="134">
        <f t="shared" si="7"/>
        <v>-7.052681154727348E-05</v>
      </c>
      <c r="X57" s="137">
        <v>-2411</v>
      </c>
      <c r="Y57" s="134">
        <f t="shared" si="8"/>
        <v>-0.0003731186216988829</v>
      </c>
      <c r="Z57" s="134">
        <f t="shared" si="9"/>
        <v>4.795673076923077</v>
      </c>
    </row>
    <row r="58" spans="1:26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6" ref="H58:Q58">+H55+H56+H57</f>
        <v>253511.3458988165</v>
      </c>
      <c r="I58" s="92">
        <f t="shared" si="16"/>
        <v>345507</v>
      </c>
      <c r="J58" s="92">
        <f t="shared" si="16"/>
        <v>380235</v>
      </c>
      <c r="K58" s="93">
        <f t="shared" si="16"/>
        <v>79286</v>
      </c>
      <c r="L58" s="93">
        <f t="shared" si="16"/>
        <v>85055</v>
      </c>
      <c r="M58" s="93">
        <f t="shared" si="16"/>
        <v>97119</v>
      </c>
      <c r="N58" s="93">
        <f t="shared" si="16"/>
        <v>83372</v>
      </c>
      <c r="O58" s="93">
        <f t="shared" si="16"/>
        <v>103751</v>
      </c>
      <c r="P58" s="93">
        <f t="shared" si="16"/>
        <v>91757.55379386991</v>
      </c>
      <c r="Q58" s="93">
        <f t="shared" si="16"/>
        <v>100079</v>
      </c>
      <c r="R58" s="94">
        <f t="shared" si="10"/>
        <v>0.06968317464752408</v>
      </c>
      <c r="S58" s="93">
        <f>+S55+S56+S57</f>
        <v>117386.44620613009</v>
      </c>
      <c r="T58" s="94">
        <f t="shared" si="5"/>
        <v>0.06465442581790137</v>
      </c>
      <c r="U58" s="94">
        <f t="shared" si="14"/>
        <v>0.17293784116677913</v>
      </c>
      <c r="V58" s="138">
        <f>+V55+V56+V57</f>
        <v>380235</v>
      </c>
      <c r="W58" s="139">
        <f t="shared" si="7"/>
        <v>0.06446337064585946</v>
      </c>
      <c r="X58" s="138">
        <f>+X55+X56+X57</f>
        <v>377571</v>
      </c>
      <c r="Y58" s="139">
        <f t="shared" si="8"/>
        <v>0.058431676115084576</v>
      </c>
      <c r="Z58" s="139">
        <f>+(X58-V58)/V58</f>
        <v>-0.0070061935382066355</v>
      </c>
    </row>
    <row r="59" spans="1:26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23">
        <v>224400</v>
      </c>
      <c r="Q59" s="23">
        <v>257673</v>
      </c>
      <c r="R59" s="34">
        <f>+O59/$O$40</f>
        <v>0.13387771879298488</v>
      </c>
      <c r="S59" s="23">
        <f>+X59-L59-N59-P59</f>
        <v>222172</v>
      </c>
      <c r="T59" s="34">
        <f t="shared" si="5"/>
        <v>0.12236849787232636</v>
      </c>
      <c r="U59" s="34">
        <f t="shared" si="14"/>
        <v>-0.1377753974999321</v>
      </c>
      <c r="V59" s="140">
        <v>832827</v>
      </c>
      <c r="W59" s="141">
        <f t="shared" si="7"/>
        <v>0.1411938290396181</v>
      </c>
      <c r="X59" s="140">
        <v>864257</v>
      </c>
      <c r="Y59" s="141">
        <f t="shared" si="8"/>
        <v>0.13374963941667833</v>
      </c>
      <c r="Z59" s="141">
        <f>+(X59-V59)/V59</f>
        <v>0.03773893017397371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B6" sqref="B6:D6"/>
    </sheetView>
  </sheetViews>
  <sheetFormatPr defaultColWidth="11.421875" defaultRowHeight="12.75"/>
  <cols>
    <col min="1" max="1" width="45.140625" style="143" customWidth="1"/>
    <col min="2" max="6" width="11.421875" style="143" customWidth="1"/>
    <col min="7" max="7" width="7.8515625" style="143" bestFit="1" customWidth="1"/>
    <col min="8" max="16384" width="11.421875" style="143" customWidth="1"/>
  </cols>
  <sheetData>
    <row r="1" spans="1:5" ht="18.75">
      <c r="A1" s="142" t="s">
        <v>196</v>
      </c>
      <c r="B1" s="351"/>
      <c r="C1" s="351"/>
      <c r="D1" s="351"/>
      <c r="E1" s="351"/>
    </row>
    <row r="2" spans="1:5" ht="15">
      <c r="A2" s="144" t="s">
        <v>97</v>
      </c>
      <c r="B2" s="351"/>
      <c r="C2" s="351"/>
      <c r="D2" s="351"/>
      <c r="E2" s="351"/>
    </row>
    <row r="3" spans="1:5" ht="15">
      <c r="A3" s="144" t="s">
        <v>131</v>
      </c>
      <c r="B3" s="351"/>
      <c r="C3" s="351"/>
      <c r="D3" s="351"/>
      <c r="E3" s="351"/>
    </row>
    <row r="4" spans="1:5" ht="15">
      <c r="A4" s="146" t="s">
        <v>132</v>
      </c>
      <c r="B4" s="351"/>
      <c r="C4" s="351"/>
      <c r="D4" s="351"/>
      <c r="E4" s="351"/>
    </row>
    <row r="5" spans="2:5" ht="15.75" thickBot="1">
      <c r="B5" s="351"/>
      <c r="C5" s="351"/>
      <c r="D5" s="351"/>
      <c r="E5" s="351"/>
    </row>
    <row r="6" spans="1:4" ht="24" customHeight="1" thickBot="1">
      <c r="A6" s="264"/>
      <c r="B6" s="266" t="s">
        <v>91</v>
      </c>
      <c r="C6" s="248" t="s">
        <v>199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</row>
    <row r="10" spans="1:4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</row>
    <row r="11" spans="1:4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</row>
    <row r="12" spans="1:4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</row>
    <row r="13" spans="1:4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</row>
    <row r="14" spans="1:4" ht="15.75" thickBot="1">
      <c r="A14" s="160" t="s">
        <v>123</v>
      </c>
      <c r="B14" s="162">
        <v>0</v>
      </c>
      <c r="C14" s="163">
        <v>90</v>
      </c>
      <c r="D14" s="159" t="s">
        <v>88</v>
      </c>
    </row>
    <row r="15" spans="1:4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</row>
    <row r="18" spans="1:4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</row>
    <row r="19" spans="1:4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</row>
    <row r="20" spans="1:4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</row>
    <row r="21" spans="1:4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</row>
    <row r="22" spans="1:4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</row>
    <row r="23" spans="1:4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</row>
    <row r="24" spans="1:4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</row>
    <row r="25" spans="1:4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</row>
    <row r="26" spans="1:4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</row>
    <row r="27" spans="1:4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</row>
    <row r="28" spans="1:4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455480</v>
      </c>
      <c r="C31" s="158">
        <v>708303</v>
      </c>
      <c r="D31" s="159">
        <f aca="true" t="shared" si="1" ref="D31:D37">(C31-B31)/B31</f>
        <v>0.5550693773601475</v>
      </c>
    </row>
    <row r="32" spans="1:4" ht="15.75" thickBot="1">
      <c r="A32" s="155" t="s">
        <v>152</v>
      </c>
      <c r="B32" s="157">
        <v>656458</v>
      </c>
      <c r="C32" s="158">
        <v>829817</v>
      </c>
      <c r="D32" s="159">
        <f t="shared" si="1"/>
        <v>0.2640823936946461</v>
      </c>
    </row>
    <row r="33" spans="1:4" ht="15.75" thickBot="1">
      <c r="A33" s="155" t="s">
        <v>153</v>
      </c>
      <c r="B33" s="157">
        <v>150217</v>
      </c>
      <c r="C33" s="158">
        <v>180907</v>
      </c>
      <c r="D33" s="159">
        <f t="shared" si="1"/>
        <v>0.20430443957741135</v>
      </c>
    </row>
    <row r="34" spans="1:4" ht="15.75" thickBot="1">
      <c r="A34" s="155" t="s">
        <v>154</v>
      </c>
      <c r="B34" s="157">
        <v>137300</v>
      </c>
      <c r="C34" s="158">
        <v>114638</v>
      </c>
      <c r="D34" s="159">
        <f t="shared" si="1"/>
        <v>-0.16505462490895847</v>
      </c>
    </row>
    <row r="35" spans="1:4" ht="15.75" thickBot="1">
      <c r="A35" s="155" t="s">
        <v>155</v>
      </c>
      <c r="B35" s="157">
        <v>2417</v>
      </c>
      <c r="C35" s="158">
        <v>3919</v>
      </c>
      <c r="D35" s="159">
        <f t="shared" si="1"/>
        <v>0.6214315266859743</v>
      </c>
    </row>
    <row r="36" spans="1:4" ht="15.75" thickBot="1">
      <c r="A36" s="160" t="s">
        <v>35</v>
      </c>
      <c r="B36" s="162">
        <v>13885</v>
      </c>
      <c r="C36" s="163">
        <v>24077</v>
      </c>
      <c r="D36" s="167">
        <f t="shared" si="1"/>
        <v>0.734029528267915</v>
      </c>
    </row>
    <row r="37" spans="1:4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1"/>
        <v>0.3149580047988461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</row>
    <row r="40" spans="1:4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</row>
    <row r="41" spans="1:4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</row>
    <row r="42" spans="1:4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</row>
    <row r="43" spans="1:4" ht="15.75" thickBot="1">
      <c r="A43" s="160" t="s">
        <v>35</v>
      </c>
      <c r="B43" s="161" t="s">
        <v>159</v>
      </c>
      <c r="C43" s="173" t="s">
        <v>159</v>
      </c>
      <c r="D43" s="167" t="s">
        <v>88</v>
      </c>
    </row>
    <row r="44" spans="1:4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</row>
    <row r="45" spans="1:4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8001755</v>
      </c>
      <c r="C47" s="166">
        <f>7140719+150991</f>
        <v>7291710</v>
      </c>
      <c r="D47" s="168">
        <f>(C47-B47)/B47</f>
        <v>-0.08873615850522791</v>
      </c>
    </row>
    <row r="48" spans="1:4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</row>
    <row r="49" spans="1:4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</row>
    <row r="50" spans="1:4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51"/>
      <c r="C53" s="351"/>
      <c r="D53" s="351"/>
      <c r="E53" s="351"/>
    </row>
    <row r="54" spans="1:5" ht="15">
      <c r="A54" s="144" t="s">
        <v>122</v>
      </c>
      <c r="B54" s="351"/>
      <c r="C54" s="351"/>
      <c r="D54" s="351"/>
      <c r="E54" s="351"/>
    </row>
    <row r="55" spans="1:5" ht="15">
      <c r="A55" s="144" t="s">
        <v>131</v>
      </c>
      <c r="B55" s="351"/>
      <c r="C55" s="351"/>
      <c r="D55" s="351"/>
      <c r="E55" s="351"/>
    </row>
    <row r="56" spans="1:5" ht="15">
      <c r="A56" s="146" t="s">
        <v>132</v>
      </c>
      <c r="B56" s="351"/>
      <c r="C56" s="351"/>
      <c r="D56" s="351"/>
      <c r="E56" s="351"/>
    </row>
    <row r="57" spans="2:5" ht="15.75" thickBot="1">
      <c r="B57" s="351"/>
      <c r="C57" s="351"/>
      <c r="D57" s="351"/>
      <c r="E57" s="351"/>
    </row>
    <row r="58" spans="1:6" ht="15.75" customHeight="1" thickBot="1">
      <c r="A58" s="256"/>
      <c r="B58" s="256" t="s">
        <v>166</v>
      </c>
      <c r="C58" s="256" t="s">
        <v>197</v>
      </c>
      <c r="D58" s="263" t="s">
        <v>167</v>
      </c>
      <c r="E58" s="256" t="s">
        <v>197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1531515</v>
      </c>
      <c r="C60" s="184">
        <f aca="true" t="shared" si="2" ref="C60:C81">+B60/$B$60</f>
        <v>1</v>
      </c>
      <c r="D60" s="185">
        <v>1726220</v>
      </c>
      <c r="E60" s="184">
        <f>+D60/$D$60</f>
        <v>1</v>
      </c>
      <c r="F60" s="184">
        <f aca="true" t="shared" si="3" ref="F60:F74">(D60-B60)/B60</f>
        <v>0.12713228404553661</v>
      </c>
    </row>
    <row r="61" spans="1:6" ht="15.75" thickBot="1">
      <c r="A61" s="186" t="s">
        <v>45</v>
      </c>
      <c r="B61" s="188">
        <v>-842171</v>
      </c>
      <c r="C61" s="189">
        <f t="shared" si="2"/>
        <v>-0.5498940591505797</v>
      </c>
      <c r="D61" s="190">
        <v>-972781</v>
      </c>
      <c r="E61" s="189">
        <f aca="true" t="shared" si="4" ref="E61:E87">+D61/$D$60</f>
        <v>-0.5635324582034735</v>
      </c>
      <c r="F61" s="189">
        <f t="shared" si="3"/>
        <v>0.1550872685001027</v>
      </c>
    </row>
    <row r="62" spans="1:6" ht="15.75" thickBot="1">
      <c r="A62" s="191" t="s">
        <v>95</v>
      </c>
      <c r="B62" s="192">
        <f>SUM(B60:B61)</f>
        <v>689344</v>
      </c>
      <c r="C62" s="193">
        <f t="shared" si="2"/>
        <v>0.45010594084942035</v>
      </c>
      <c r="D62" s="194">
        <f>SUM(D60:D61)</f>
        <v>753439</v>
      </c>
      <c r="E62" s="193">
        <f t="shared" si="4"/>
        <v>0.4364675417965265</v>
      </c>
      <c r="F62" s="193">
        <f t="shared" si="3"/>
        <v>0.09297970244174171</v>
      </c>
    </row>
    <row r="63" spans="1:6" ht="15.75" thickBot="1">
      <c r="A63" s="186" t="s">
        <v>170</v>
      </c>
      <c r="B63" s="188">
        <v>-84830</v>
      </c>
      <c r="C63" s="189">
        <f t="shared" si="2"/>
        <v>-0.05538959788183596</v>
      </c>
      <c r="D63" s="190">
        <v>-96265</v>
      </c>
      <c r="E63" s="189">
        <f t="shared" si="4"/>
        <v>-0.05576635654783284</v>
      </c>
      <c r="F63" s="189">
        <f t="shared" si="3"/>
        <v>0.13479900978427442</v>
      </c>
    </row>
    <row r="64" spans="1:6" ht="15.75" thickBot="1">
      <c r="A64" s="186" t="s">
        <v>171</v>
      </c>
      <c r="B64" s="188">
        <v>-382688</v>
      </c>
      <c r="C64" s="189">
        <f t="shared" si="2"/>
        <v>-0.24987545012618226</v>
      </c>
      <c r="D64" s="190">
        <v>-436316</v>
      </c>
      <c r="E64" s="189">
        <f t="shared" si="4"/>
        <v>-0.25275804937956925</v>
      </c>
      <c r="F64" s="189">
        <f t="shared" si="3"/>
        <v>0.14013504473618196</v>
      </c>
    </row>
    <row r="65" spans="1:6" ht="15.75" thickBot="1">
      <c r="A65" s="186" t="s">
        <v>172</v>
      </c>
      <c r="B65" s="188">
        <v>-29293</v>
      </c>
      <c r="C65" s="189">
        <f t="shared" si="2"/>
        <v>-0.019126812339415548</v>
      </c>
      <c r="D65" s="190">
        <v>-32449</v>
      </c>
      <c r="E65" s="189">
        <f t="shared" si="4"/>
        <v>-0.018797719873480785</v>
      </c>
      <c r="F65" s="189">
        <f t="shared" si="3"/>
        <v>0.10773905028505104</v>
      </c>
    </row>
    <row r="66" spans="1:6" ht="15.75" thickBot="1">
      <c r="A66" s="186" t="s">
        <v>173</v>
      </c>
      <c r="B66" s="188">
        <v>1077</v>
      </c>
      <c r="C66" s="189">
        <f t="shared" si="2"/>
        <v>0.0007032252377547723</v>
      </c>
      <c r="D66" s="190">
        <v>8166</v>
      </c>
      <c r="E66" s="189">
        <f t="shared" si="4"/>
        <v>0.004730567366847795</v>
      </c>
      <c r="F66" s="189">
        <f t="shared" si="3"/>
        <v>6.582172701949861</v>
      </c>
    </row>
    <row r="67" spans="1:6" ht="15.75" thickBot="1">
      <c r="A67" s="186" t="s">
        <v>174</v>
      </c>
      <c r="B67" s="188">
        <v>2033</v>
      </c>
      <c r="C67" s="189">
        <f t="shared" si="2"/>
        <v>0.001327443740348609</v>
      </c>
      <c r="D67" s="190">
        <v>2206</v>
      </c>
      <c r="E67" s="189">
        <f t="shared" si="4"/>
        <v>0.0012779367635643198</v>
      </c>
      <c r="F67" s="189">
        <f t="shared" si="3"/>
        <v>0.08509591736350221</v>
      </c>
    </row>
    <row r="68" spans="1:6" ht="15.75" thickBot="1">
      <c r="A68" s="182" t="s">
        <v>175</v>
      </c>
      <c r="B68" s="183">
        <f>SUM(B62:B67)</f>
        <v>195643</v>
      </c>
      <c r="C68" s="184">
        <f t="shared" si="2"/>
        <v>0.12774474948009</v>
      </c>
      <c r="D68" s="185">
        <f>SUM(D62:D67)</f>
        <v>198781</v>
      </c>
      <c r="E68" s="184">
        <f t="shared" si="4"/>
        <v>0.11515392012605577</v>
      </c>
      <c r="F68" s="184">
        <f t="shared" si="3"/>
        <v>0.016039418737189677</v>
      </c>
    </row>
    <row r="69" spans="1:6" ht="15.75" thickBot="1">
      <c r="A69" s="186" t="s">
        <v>176</v>
      </c>
      <c r="B69" s="188">
        <v>3334</v>
      </c>
      <c r="C69" s="189">
        <f t="shared" si="2"/>
        <v>0.0021769293803847825</v>
      </c>
      <c r="D69" s="190">
        <v>3035</v>
      </c>
      <c r="E69" s="189">
        <f t="shared" si="4"/>
        <v>0.0017581768256653267</v>
      </c>
      <c r="F69" s="189">
        <f t="shared" si="3"/>
        <v>-0.08968206358728255</v>
      </c>
    </row>
    <row r="70" spans="1:6" ht="15.75" thickBot="1">
      <c r="A70" s="186" t="s">
        <v>177</v>
      </c>
      <c r="B70" s="188">
        <v>-40751</v>
      </c>
      <c r="C70" s="189">
        <f t="shared" si="2"/>
        <v>-0.026608293095399</v>
      </c>
      <c r="D70" s="190">
        <v>-50910</v>
      </c>
      <c r="E70" s="189">
        <f t="shared" si="4"/>
        <v>-0.029492185237107667</v>
      </c>
      <c r="F70" s="189">
        <f t="shared" si="3"/>
        <v>0.24929449584059288</v>
      </c>
    </row>
    <row r="71" spans="1:6" ht="15.75" thickBot="1">
      <c r="A71" s="186" t="s">
        <v>195</v>
      </c>
      <c r="B71" s="188">
        <v>43363</v>
      </c>
      <c r="C71" s="189">
        <f t="shared" si="2"/>
        <v>0.02831379385771605</v>
      </c>
      <c r="D71" s="190">
        <v>46468</v>
      </c>
      <c r="E71" s="189">
        <f t="shared" si="4"/>
        <v>0.026918932696875255</v>
      </c>
      <c r="F71" s="189">
        <f t="shared" si="3"/>
        <v>0.07160482438945645</v>
      </c>
    </row>
    <row r="72" spans="1:6" ht="15.75" thickBot="1">
      <c r="A72" s="186" t="s">
        <v>178</v>
      </c>
      <c r="B72" s="188">
        <v>6535</v>
      </c>
      <c r="C72" s="189">
        <f t="shared" si="2"/>
        <v>0.004267016646914983</v>
      </c>
      <c r="D72" s="190">
        <v>5949</v>
      </c>
      <c r="E72" s="189">
        <f t="shared" si="4"/>
        <v>0.003446258298478757</v>
      </c>
      <c r="F72" s="189">
        <f t="shared" si="3"/>
        <v>-0.08967100229533283</v>
      </c>
    </row>
    <row r="73" spans="1:6" ht="15.75" thickBot="1">
      <c r="A73" s="186" t="s">
        <v>179</v>
      </c>
      <c r="B73" s="188">
        <v>-6192</v>
      </c>
      <c r="C73" s="189">
        <f t="shared" si="2"/>
        <v>-0.004043055405921587</v>
      </c>
      <c r="D73" s="190">
        <v>-4194</v>
      </c>
      <c r="E73" s="189">
        <f t="shared" si="4"/>
        <v>-0.002429586031907868</v>
      </c>
      <c r="F73" s="189">
        <f t="shared" si="3"/>
        <v>-0.3226744186046512</v>
      </c>
    </row>
    <row r="74" spans="1:6" ht="15.75" thickBot="1">
      <c r="A74" s="186" t="s">
        <v>180</v>
      </c>
      <c r="B74" s="187">
        <v>1468</v>
      </c>
      <c r="C74" s="189">
        <f t="shared" si="2"/>
        <v>0.0009585279935227536</v>
      </c>
      <c r="D74" s="195">
        <v>390</v>
      </c>
      <c r="E74" s="189">
        <f t="shared" si="4"/>
        <v>0.00022592717034908643</v>
      </c>
      <c r="F74" s="189">
        <f t="shared" si="3"/>
        <v>-0.7343324250681199</v>
      </c>
    </row>
    <row r="75" spans="1:6" ht="15.75" thickBot="1">
      <c r="A75" s="186" t="s">
        <v>181</v>
      </c>
      <c r="B75" s="187">
        <v>3206</v>
      </c>
      <c r="C75" s="189">
        <f t="shared" si="2"/>
        <v>0.0020933520076525532</v>
      </c>
      <c r="D75" s="195" t="s">
        <v>159</v>
      </c>
      <c r="E75" s="189" t="s">
        <v>88</v>
      </c>
      <c r="F75" s="189" t="s">
        <v>88</v>
      </c>
    </row>
    <row r="76" spans="1:6" ht="15.75" thickBot="1">
      <c r="A76" s="191" t="s">
        <v>182</v>
      </c>
      <c r="B76" s="192">
        <f>SUM(B68:B75)</f>
        <v>206606</v>
      </c>
      <c r="C76" s="193">
        <f t="shared" si="2"/>
        <v>0.1349030208649605</v>
      </c>
      <c r="D76" s="194">
        <f>SUM(D68:D75)</f>
        <v>199519</v>
      </c>
      <c r="E76" s="193">
        <f t="shared" si="4"/>
        <v>0.11558144384840865</v>
      </c>
      <c r="F76" s="193">
        <f aca="true" t="shared" si="5" ref="F76:F81">(D76-B76)/B76</f>
        <v>-0.03430200478204892</v>
      </c>
    </row>
    <row r="77" spans="1:6" ht="15.75" thickBot="1">
      <c r="A77" s="186" t="s">
        <v>183</v>
      </c>
      <c r="B77" s="188">
        <v>-36515</v>
      </c>
      <c r="C77" s="189">
        <f t="shared" si="2"/>
        <v>-0.02384240441654179</v>
      </c>
      <c r="D77" s="190">
        <v>-51436</v>
      </c>
      <c r="E77" s="189">
        <f t="shared" si="4"/>
        <v>-0.02979689726686054</v>
      </c>
      <c r="F77" s="189">
        <f t="shared" si="5"/>
        <v>0.4086265918115843</v>
      </c>
    </row>
    <row r="78" spans="1:6" ht="15.75" thickBot="1">
      <c r="A78" s="196" t="s">
        <v>184</v>
      </c>
      <c r="B78" s="197">
        <v>-10883</v>
      </c>
      <c r="C78" s="198">
        <f t="shared" si="2"/>
        <v>-0.007106035526912894</v>
      </c>
      <c r="D78" s="199">
        <v>3407</v>
      </c>
      <c r="E78" s="198">
        <f t="shared" si="4"/>
        <v>0.0019736765881521474</v>
      </c>
      <c r="F78" s="198">
        <f t="shared" si="5"/>
        <v>-1.3130570614720205</v>
      </c>
    </row>
    <row r="79" spans="1:6" ht="15.75" thickBot="1">
      <c r="A79" s="191" t="s">
        <v>185</v>
      </c>
      <c r="B79" s="192">
        <f>SUM(B76:B78)</f>
        <v>159208</v>
      </c>
      <c r="C79" s="193">
        <f t="shared" si="2"/>
        <v>0.10395458092150583</v>
      </c>
      <c r="D79" s="194">
        <f>SUM(D76:D78)</f>
        <v>151490</v>
      </c>
      <c r="E79" s="193">
        <f t="shared" si="4"/>
        <v>0.08775822316970026</v>
      </c>
      <c r="F79" s="193">
        <f t="shared" si="5"/>
        <v>-0.04847746344404804</v>
      </c>
    </row>
    <row r="80" spans="1:6" ht="15.75" thickBot="1">
      <c r="A80" s="186" t="s">
        <v>186</v>
      </c>
      <c r="B80" s="187">
        <v>254</v>
      </c>
      <c r="C80" s="189">
        <f t="shared" si="2"/>
        <v>0.0001658488490155173</v>
      </c>
      <c r="D80" s="195">
        <v>-304</v>
      </c>
      <c r="E80" s="189">
        <f t="shared" si="4"/>
        <v>-0.00017610733278492893</v>
      </c>
      <c r="F80" s="189">
        <f t="shared" si="5"/>
        <v>-2.1968503937007875</v>
      </c>
    </row>
    <row r="81" spans="1:6" ht="15">
      <c r="A81" s="200" t="s">
        <v>187</v>
      </c>
      <c r="B81" s="203">
        <f>SUM(B79:B80)</f>
        <v>159462</v>
      </c>
      <c r="C81" s="202">
        <f t="shared" si="2"/>
        <v>0.10412042977052134</v>
      </c>
      <c r="D81" s="203">
        <f>SUM(D79:D80)</f>
        <v>151186</v>
      </c>
      <c r="E81" s="202">
        <f t="shared" si="4"/>
        <v>0.08758211583691534</v>
      </c>
      <c r="F81" s="202">
        <f t="shared" si="5"/>
        <v>-0.05189951210946809</v>
      </c>
    </row>
    <row r="82" spans="1:6" ht="15">
      <c r="A82" s="204"/>
      <c r="B82" s="206"/>
      <c r="C82" s="207"/>
      <c r="D82" s="209"/>
      <c r="E82" s="207"/>
      <c r="F82" s="207"/>
    </row>
    <row r="83" spans="1:6" ht="15">
      <c r="A83" s="210" t="s">
        <v>188</v>
      </c>
      <c r="B83" s="212"/>
      <c r="C83" s="213"/>
      <c r="D83" s="215"/>
      <c r="E83" s="213"/>
      <c r="F83" s="213"/>
    </row>
    <row r="84" spans="1:6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4"/>
        <v>0.0874691522517408</v>
      </c>
      <c r="F84" s="189">
        <f>(D84-B84)/B84</f>
        <v>-0.04853995740229624</v>
      </c>
    </row>
    <row r="85" spans="1:6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4"/>
        <v>0.00011296358517454322</v>
      </c>
      <c r="F85" s="198">
        <f>(D85-B85)/B85</f>
        <v>-0.74609375</v>
      </c>
    </row>
    <row r="86" spans="1:6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4"/>
        <v>0.08758211583691534</v>
      </c>
      <c r="F86" s="193">
        <f>(D86-B86)/B86</f>
        <v>-0.05189951210946809</v>
      </c>
    </row>
    <row r="87" spans="1:6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4"/>
        <v>0.13608694140955382</v>
      </c>
      <c r="F87" s="202">
        <f>(D87-B87)/B87</f>
        <v>-0.008667763851964383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43.57421875" style="143" customWidth="1"/>
    <col min="2" max="17" width="11.421875" style="143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7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</row>
    <row r="10" spans="1:7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</row>
    <row r="11" spans="1:7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</row>
    <row r="12" spans="1:7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</row>
    <row r="13" spans="1:7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</row>
    <row r="14" spans="1:7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</row>
    <row r="15" spans="1:7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</row>
    <row r="18" spans="1:7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</row>
    <row r="19" spans="1:7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</row>
    <row r="20" spans="1:7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</row>
    <row r="21" spans="1:7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</row>
    <row r="22" spans="1:7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</row>
    <row r="23" spans="1:7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</row>
    <row r="24" spans="1:7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</row>
    <row r="25" spans="1:7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</row>
    <row r="26" spans="1:7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</row>
    <row r="27" spans="1:7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</row>
    <row r="28" spans="1:7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455480</v>
      </c>
      <c r="C31" s="158">
        <v>708303</v>
      </c>
      <c r="D31" s="159">
        <f aca="true" t="shared" si="2" ref="D31:D37">(C31-B31)/B31</f>
        <v>0.5550693773601475</v>
      </c>
      <c r="E31" s="157">
        <v>455480</v>
      </c>
      <c r="F31" s="158">
        <v>788166</v>
      </c>
      <c r="G31" s="159">
        <f aca="true" t="shared" si="3" ref="G31:G37">(F31-E31)/E31</f>
        <v>0.7304074822165627</v>
      </c>
    </row>
    <row r="32" spans="1:7" ht="15.75" thickBot="1">
      <c r="A32" s="155" t="s">
        <v>152</v>
      </c>
      <c r="B32" s="157">
        <v>656458</v>
      </c>
      <c r="C32" s="158">
        <v>829817</v>
      </c>
      <c r="D32" s="159">
        <f t="shared" si="2"/>
        <v>0.2640823936946461</v>
      </c>
      <c r="E32" s="157">
        <v>656458</v>
      </c>
      <c r="F32" s="158">
        <v>783029</v>
      </c>
      <c r="G32" s="159">
        <f t="shared" si="3"/>
        <v>0.19280898397155644</v>
      </c>
    </row>
    <row r="33" spans="1:7" ht="15.75" thickBot="1">
      <c r="A33" s="155" t="s">
        <v>153</v>
      </c>
      <c r="B33" s="157">
        <v>150217</v>
      </c>
      <c r="C33" s="158">
        <v>180907</v>
      </c>
      <c r="D33" s="159">
        <f t="shared" si="2"/>
        <v>0.20430443957741135</v>
      </c>
      <c r="E33" s="157">
        <v>150217</v>
      </c>
      <c r="F33" s="158">
        <v>183780</v>
      </c>
      <c r="G33" s="159">
        <f t="shared" si="3"/>
        <v>0.22343010444889727</v>
      </c>
    </row>
    <row r="34" spans="1:7" ht="15.75" thickBot="1">
      <c r="A34" s="155" t="s">
        <v>154</v>
      </c>
      <c r="B34" s="157">
        <v>137300</v>
      </c>
      <c r="C34" s="158">
        <v>114638</v>
      </c>
      <c r="D34" s="159">
        <f t="shared" si="2"/>
        <v>-0.16505462490895847</v>
      </c>
      <c r="E34" s="157">
        <v>137300</v>
      </c>
      <c r="F34" s="158">
        <v>133356</v>
      </c>
      <c r="G34" s="159">
        <f t="shared" si="3"/>
        <v>-0.028725418790968682</v>
      </c>
    </row>
    <row r="35" spans="1:7" ht="15.75" thickBot="1">
      <c r="A35" s="155" t="s">
        <v>155</v>
      </c>
      <c r="B35" s="157">
        <v>2417</v>
      </c>
      <c r="C35" s="158">
        <v>3919</v>
      </c>
      <c r="D35" s="159">
        <f t="shared" si="2"/>
        <v>0.6214315266859743</v>
      </c>
      <c r="E35" s="157">
        <v>2417</v>
      </c>
      <c r="F35" s="158">
        <v>3371</v>
      </c>
      <c r="G35" s="159">
        <f t="shared" si="3"/>
        <v>0.39470417873396774</v>
      </c>
    </row>
    <row r="36" spans="1:7" ht="15.75" thickBot="1">
      <c r="A36" s="160" t="s">
        <v>35</v>
      </c>
      <c r="B36" s="162">
        <v>13885</v>
      </c>
      <c r="C36" s="163">
        <v>24077</v>
      </c>
      <c r="D36" s="167">
        <f t="shared" si="2"/>
        <v>0.734029528267915</v>
      </c>
      <c r="E36" s="162">
        <v>13885</v>
      </c>
      <c r="F36" s="163">
        <v>17127</v>
      </c>
      <c r="G36" s="167">
        <f t="shared" si="3"/>
        <v>0.23348937702556716</v>
      </c>
    </row>
    <row r="37" spans="1:7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2"/>
        <v>0.3149580047988461</v>
      </c>
      <c r="E37" s="165">
        <f>SUM(E31:E36)</f>
        <v>1415757</v>
      </c>
      <c r="F37" s="166">
        <f>SUM(F31:F36)</f>
        <v>1908829</v>
      </c>
      <c r="G37" s="168">
        <f t="shared" si="3"/>
        <v>0.3482744567040813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</row>
    <row r="40" spans="1:7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</row>
    <row r="42" spans="1:7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</row>
    <row r="43" spans="1:7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</row>
    <row r="44" spans="1:7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</row>
    <row r="45" spans="1:7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</row>
    <row r="48" spans="1:7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</row>
    <row r="49" spans="1:7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</row>
    <row r="50" spans="1:7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121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101</v>
      </c>
      <c r="H58" s="263" t="s">
        <v>102</v>
      </c>
      <c r="I58" s="256" t="s">
        <v>103</v>
      </c>
      <c r="J58" s="256" t="s">
        <v>98</v>
      </c>
      <c r="K58" s="263" t="s">
        <v>104</v>
      </c>
      <c r="L58" s="256" t="s">
        <v>98</v>
      </c>
      <c r="M58" s="256" t="s">
        <v>99</v>
      </c>
      <c r="N58" s="256" t="s">
        <v>105</v>
      </c>
      <c r="O58" s="256" t="s">
        <v>98</v>
      </c>
      <c r="P58" s="263" t="s">
        <v>106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1531515</v>
      </c>
      <c r="C60" s="184">
        <f aca="true" t="shared" si="4" ref="C60:C81">+B60/$B$60</f>
        <v>1</v>
      </c>
      <c r="D60" s="185">
        <v>1726220</v>
      </c>
      <c r="E60" s="184">
        <f>+D60/$D$60</f>
        <v>1</v>
      </c>
      <c r="F60" s="184">
        <f aca="true" t="shared" si="5" ref="F60:F74">(D60-B60)/B60</f>
        <v>0.12713228404553661</v>
      </c>
      <c r="G60" s="183">
        <v>1531515</v>
      </c>
      <c r="H60" s="185">
        <v>1726220</v>
      </c>
      <c r="I60" s="183">
        <v>1535432</v>
      </c>
      <c r="J60" s="184">
        <f>I60/$I$60</f>
        <v>1</v>
      </c>
      <c r="K60" s="185">
        <v>1857180</v>
      </c>
      <c r="L60" s="184">
        <f>+K60/$K$60</f>
        <v>1</v>
      </c>
      <c r="M60" s="184">
        <f aca="true" t="shared" si="6" ref="M60:M70">(K60-I60)/I60</f>
        <v>0.20954884358278322</v>
      </c>
      <c r="N60" s="183">
        <f aca="true" t="shared" si="7" ref="N60:N81">+G60+I60</f>
        <v>3066947</v>
      </c>
      <c r="O60" s="184">
        <f>N60/$N$60</f>
        <v>1</v>
      </c>
      <c r="P60" s="185">
        <f aca="true" t="shared" si="8" ref="P60:P74">+H60+K60</f>
        <v>3583400</v>
      </c>
      <c r="Q60" s="184">
        <f>P60/$P$60</f>
        <v>1</v>
      </c>
      <c r="R60" s="184">
        <f aca="true" t="shared" si="9" ref="R60:R81">(P60-N60)/N60</f>
        <v>0.1683931936221917</v>
      </c>
    </row>
    <row r="61" spans="1:18" ht="15.75" thickBot="1">
      <c r="A61" s="186" t="s">
        <v>45</v>
      </c>
      <c r="B61" s="188">
        <v>-842171</v>
      </c>
      <c r="C61" s="189">
        <f t="shared" si="4"/>
        <v>-0.5498940591505797</v>
      </c>
      <c r="D61" s="190">
        <v>-972781</v>
      </c>
      <c r="E61" s="189">
        <f aca="true" t="shared" si="10" ref="E61:E87">+D61/$D$60</f>
        <v>-0.5635324582034735</v>
      </c>
      <c r="F61" s="189">
        <f t="shared" si="5"/>
        <v>0.1550872685001027</v>
      </c>
      <c r="G61" s="188">
        <v>-842171</v>
      </c>
      <c r="H61" s="190">
        <v>-972781</v>
      </c>
      <c r="I61" s="188">
        <v>-855871</v>
      </c>
      <c r="J61" s="189">
        <f aca="true" t="shared" si="11" ref="J61:J87">I61/$I$60</f>
        <v>-0.5574138092732208</v>
      </c>
      <c r="K61" s="190">
        <v>-1044465</v>
      </c>
      <c r="L61" s="189">
        <f aca="true" t="shared" si="12" ref="L61:L87">+K61/$K$60</f>
        <v>-0.5623929829095726</v>
      </c>
      <c r="M61" s="189">
        <f t="shared" si="6"/>
        <v>0.22035330090632818</v>
      </c>
      <c r="N61" s="188">
        <f t="shared" si="7"/>
        <v>-1698042</v>
      </c>
      <c r="O61" s="189">
        <f aca="true" t="shared" si="13" ref="O61:O87">N61/$N$60</f>
        <v>-0.553658736195963</v>
      </c>
      <c r="P61" s="190">
        <f t="shared" si="8"/>
        <v>-2017246</v>
      </c>
      <c r="Q61" s="189">
        <f aca="true" t="shared" si="14" ref="Q61:Q87">P61/$P$60</f>
        <v>-0.562941898755372</v>
      </c>
      <c r="R61" s="189">
        <f t="shared" si="9"/>
        <v>0.18798357166666077</v>
      </c>
    </row>
    <row r="62" spans="1:18" ht="15.75" thickBot="1">
      <c r="A62" s="191" t="s">
        <v>95</v>
      </c>
      <c r="B62" s="192">
        <f>SUM(B60:B61)</f>
        <v>689344</v>
      </c>
      <c r="C62" s="193">
        <f t="shared" si="4"/>
        <v>0.45010594084942035</v>
      </c>
      <c r="D62" s="194">
        <f>SUM(D60:D61)</f>
        <v>753439</v>
      </c>
      <c r="E62" s="193">
        <f t="shared" si="10"/>
        <v>0.4364675417965265</v>
      </c>
      <c r="F62" s="193">
        <f t="shared" si="5"/>
        <v>0.09297970244174171</v>
      </c>
      <c r="G62" s="192">
        <f>SUM(G60:G61)</f>
        <v>689344</v>
      </c>
      <c r="H62" s="194">
        <f>SUM(H60:H61)</f>
        <v>753439</v>
      </c>
      <c r="I62" s="192">
        <f>SUM(I60:I61)</f>
        <v>679561</v>
      </c>
      <c r="J62" s="193">
        <f t="shared" si="11"/>
        <v>0.4425861907267792</v>
      </c>
      <c r="K62" s="194">
        <f>SUM(K60:K61)</f>
        <v>812715</v>
      </c>
      <c r="L62" s="193">
        <f t="shared" si="12"/>
        <v>0.43760701709042743</v>
      </c>
      <c r="M62" s="193">
        <f t="shared" si="6"/>
        <v>0.19594120321795983</v>
      </c>
      <c r="N62" s="192">
        <f t="shared" si="7"/>
        <v>1368905</v>
      </c>
      <c r="O62" s="193">
        <f t="shared" si="13"/>
        <v>0.44634126380403705</v>
      </c>
      <c r="P62" s="194">
        <f t="shared" si="8"/>
        <v>1566154</v>
      </c>
      <c r="Q62" s="193">
        <f t="shared" si="14"/>
        <v>0.437058101244628</v>
      </c>
      <c r="R62" s="193">
        <f t="shared" si="9"/>
        <v>0.14409254111863132</v>
      </c>
    </row>
    <row r="63" spans="1:18" ht="15.75" thickBot="1">
      <c r="A63" s="186" t="s">
        <v>170</v>
      </c>
      <c r="B63" s="188">
        <v>-84830</v>
      </c>
      <c r="C63" s="189">
        <f t="shared" si="4"/>
        <v>-0.05538959788183596</v>
      </c>
      <c r="D63" s="190">
        <v>-96265</v>
      </c>
      <c r="E63" s="189">
        <f t="shared" si="10"/>
        <v>-0.05576635654783284</v>
      </c>
      <c r="F63" s="189">
        <f t="shared" si="5"/>
        <v>0.13479900978427442</v>
      </c>
      <c r="G63" s="188">
        <v>-84830</v>
      </c>
      <c r="H63" s="190">
        <v>-96265</v>
      </c>
      <c r="I63" s="188">
        <v>-78423</v>
      </c>
      <c r="J63" s="189">
        <f t="shared" si="11"/>
        <v>-0.05107552792959896</v>
      </c>
      <c r="K63" s="190">
        <v>-86818</v>
      </c>
      <c r="L63" s="189">
        <f t="shared" si="12"/>
        <v>-0.046747218901775814</v>
      </c>
      <c r="M63" s="189">
        <f t="shared" si="6"/>
        <v>0.107047677339556</v>
      </c>
      <c r="N63" s="188">
        <f t="shared" si="7"/>
        <v>-163253</v>
      </c>
      <c r="O63" s="189">
        <f t="shared" si="13"/>
        <v>-0.05322980801428913</v>
      </c>
      <c r="P63" s="190">
        <f t="shared" si="8"/>
        <v>-183083</v>
      </c>
      <c r="Q63" s="189">
        <f t="shared" si="14"/>
        <v>-0.0510919796840989</v>
      </c>
      <c r="R63" s="189">
        <f t="shared" si="9"/>
        <v>0.12146790564338787</v>
      </c>
    </row>
    <row r="64" spans="1:18" ht="15.75" thickBot="1">
      <c r="A64" s="186" t="s">
        <v>171</v>
      </c>
      <c r="B64" s="188">
        <v>-382688</v>
      </c>
      <c r="C64" s="189">
        <f t="shared" si="4"/>
        <v>-0.24987545012618226</v>
      </c>
      <c r="D64" s="190">
        <v>-436316</v>
      </c>
      <c r="E64" s="189">
        <f t="shared" si="10"/>
        <v>-0.25275804937956925</v>
      </c>
      <c r="F64" s="189">
        <f t="shared" si="5"/>
        <v>0.14013504473618196</v>
      </c>
      <c r="G64" s="188">
        <v>-382688</v>
      </c>
      <c r="H64" s="190">
        <v>-436316</v>
      </c>
      <c r="I64" s="188">
        <v>-403616</v>
      </c>
      <c r="J64" s="189">
        <f t="shared" si="11"/>
        <v>-0.26286803974386364</v>
      </c>
      <c r="K64" s="190">
        <v>-519884</v>
      </c>
      <c r="L64" s="189">
        <f t="shared" si="12"/>
        <v>-0.279931939822742</v>
      </c>
      <c r="M64" s="189">
        <f t="shared" si="6"/>
        <v>0.288065884404979</v>
      </c>
      <c r="N64" s="188">
        <f t="shared" si="7"/>
        <v>-786304</v>
      </c>
      <c r="O64" s="189">
        <f t="shared" si="13"/>
        <v>-0.2563800417809633</v>
      </c>
      <c r="P64" s="190">
        <f t="shared" si="8"/>
        <v>-956200</v>
      </c>
      <c r="Q64" s="189">
        <f t="shared" si="14"/>
        <v>-0.2668415471340068</v>
      </c>
      <c r="R64" s="189">
        <f t="shared" si="9"/>
        <v>0.21606910304411525</v>
      </c>
    </row>
    <row r="65" spans="1:18" ht="15.75" thickBot="1">
      <c r="A65" s="186" t="s">
        <v>172</v>
      </c>
      <c r="B65" s="188">
        <v>-29293</v>
      </c>
      <c r="C65" s="189">
        <f t="shared" si="4"/>
        <v>-0.019126812339415548</v>
      </c>
      <c r="D65" s="190">
        <v>-32449</v>
      </c>
      <c r="E65" s="189">
        <f t="shared" si="10"/>
        <v>-0.018797719873480785</v>
      </c>
      <c r="F65" s="189">
        <f t="shared" si="5"/>
        <v>0.10773905028505104</v>
      </c>
      <c r="G65" s="188">
        <v>-29293</v>
      </c>
      <c r="H65" s="190">
        <v>-32449</v>
      </c>
      <c r="I65" s="188">
        <v>-27305</v>
      </c>
      <c r="J65" s="189">
        <f t="shared" si="11"/>
        <v>-0.017783268812946455</v>
      </c>
      <c r="K65" s="190">
        <v>-32184</v>
      </c>
      <c r="L65" s="189">
        <f t="shared" si="12"/>
        <v>-0.017329499563854878</v>
      </c>
      <c r="M65" s="189">
        <f t="shared" si="6"/>
        <v>0.17868522248672405</v>
      </c>
      <c r="N65" s="188">
        <f t="shared" si="7"/>
        <v>-56598</v>
      </c>
      <c r="O65" s="189">
        <f t="shared" si="13"/>
        <v>-0.018454182612219906</v>
      </c>
      <c r="P65" s="190">
        <f t="shared" si="8"/>
        <v>-64633</v>
      </c>
      <c r="Q65" s="189">
        <f t="shared" si="14"/>
        <v>-0.01803678071105654</v>
      </c>
      <c r="R65" s="189">
        <f t="shared" si="9"/>
        <v>0.14196614721368248</v>
      </c>
    </row>
    <row r="66" spans="1:18" ht="15.75" thickBot="1">
      <c r="A66" s="186" t="s">
        <v>173</v>
      </c>
      <c r="B66" s="188">
        <v>1077</v>
      </c>
      <c r="C66" s="189">
        <f t="shared" si="4"/>
        <v>0.0007032252377547723</v>
      </c>
      <c r="D66" s="190">
        <v>8166</v>
      </c>
      <c r="E66" s="189">
        <f t="shared" si="10"/>
        <v>0.004730567366847795</v>
      </c>
      <c r="F66" s="189">
        <f t="shared" si="5"/>
        <v>6.582172701949861</v>
      </c>
      <c r="G66" s="188">
        <v>1077</v>
      </c>
      <c r="H66" s="190">
        <v>8166</v>
      </c>
      <c r="I66" s="188">
        <v>884</v>
      </c>
      <c r="J66" s="189">
        <f t="shared" si="11"/>
        <v>0.0005757337348707074</v>
      </c>
      <c r="K66" s="190">
        <v>-286</v>
      </c>
      <c r="L66" s="189">
        <f t="shared" si="12"/>
        <v>-0.00015399692006159876</v>
      </c>
      <c r="M66" s="189">
        <f t="shared" si="6"/>
        <v>-1.3235294117647058</v>
      </c>
      <c r="N66" s="188">
        <f t="shared" si="7"/>
        <v>1961</v>
      </c>
      <c r="O66" s="189">
        <f t="shared" si="13"/>
        <v>0.0006393980724153369</v>
      </c>
      <c r="P66" s="190">
        <f t="shared" si="8"/>
        <v>7880</v>
      </c>
      <c r="Q66" s="189">
        <f t="shared" si="14"/>
        <v>0.0021990288552771113</v>
      </c>
      <c r="R66" s="189">
        <f t="shared" si="9"/>
        <v>3.0183579806221315</v>
      </c>
    </row>
    <row r="67" spans="1:18" ht="15.75" thickBot="1">
      <c r="A67" s="186" t="s">
        <v>174</v>
      </c>
      <c r="B67" s="188">
        <v>2033</v>
      </c>
      <c r="C67" s="189">
        <f t="shared" si="4"/>
        <v>0.001327443740348609</v>
      </c>
      <c r="D67" s="190">
        <v>2206</v>
      </c>
      <c r="E67" s="189">
        <f t="shared" si="10"/>
        <v>0.0012779367635643198</v>
      </c>
      <c r="F67" s="189">
        <f t="shared" si="5"/>
        <v>0.08509591736350221</v>
      </c>
      <c r="G67" s="188">
        <v>2033</v>
      </c>
      <c r="H67" s="190">
        <v>2206</v>
      </c>
      <c r="I67" s="188">
        <v>-9538</v>
      </c>
      <c r="J67" s="189">
        <f t="shared" si="11"/>
        <v>-0.006211932537552949</v>
      </c>
      <c r="K67" s="190">
        <v>-116</v>
      </c>
      <c r="L67" s="189">
        <f t="shared" si="12"/>
        <v>-6.246028925575335E-05</v>
      </c>
      <c r="M67" s="189">
        <f t="shared" si="6"/>
        <v>-0.9878381211994128</v>
      </c>
      <c r="N67" s="188">
        <f t="shared" si="7"/>
        <v>-7505</v>
      </c>
      <c r="O67" s="189">
        <f t="shared" si="13"/>
        <v>-0.002447058915592607</v>
      </c>
      <c r="P67" s="190">
        <f t="shared" si="8"/>
        <v>2090</v>
      </c>
      <c r="Q67" s="189">
        <f t="shared" si="14"/>
        <v>0.0005832449628844114</v>
      </c>
      <c r="R67" s="189">
        <f t="shared" si="9"/>
        <v>-1.2784810126582278</v>
      </c>
    </row>
    <row r="68" spans="1:18" ht="15.75" thickBot="1">
      <c r="A68" s="182" t="s">
        <v>175</v>
      </c>
      <c r="B68" s="183">
        <f>SUM(B62:B67)</f>
        <v>195643</v>
      </c>
      <c r="C68" s="184">
        <f t="shared" si="4"/>
        <v>0.12774474948009</v>
      </c>
      <c r="D68" s="185">
        <f>SUM(D62:D67)</f>
        <v>198781</v>
      </c>
      <c r="E68" s="184">
        <f t="shared" si="10"/>
        <v>0.11515392012605577</v>
      </c>
      <c r="F68" s="184">
        <f t="shared" si="5"/>
        <v>0.016039418737189677</v>
      </c>
      <c r="G68" s="183">
        <f>SUM(G62:G67)</f>
        <v>195643</v>
      </c>
      <c r="H68" s="185">
        <f>SUM(H62:H67)</f>
        <v>198781</v>
      </c>
      <c r="I68" s="183">
        <f>SUM(I62:I67)</f>
        <v>161563</v>
      </c>
      <c r="J68" s="184">
        <f t="shared" si="11"/>
        <v>0.1052231554376879</v>
      </c>
      <c r="K68" s="185">
        <f>SUM(K62:K67)</f>
        <v>173427</v>
      </c>
      <c r="L68" s="184">
        <f t="shared" si="12"/>
        <v>0.09338190159273738</v>
      </c>
      <c r="M68" s="184">
        <f t="shared" si="6"/>
        <v>0.0734326547538731</v>
      </c>
      <c r="N68" s="183">
        <f t="shared" si="7"/>
        <v>357206</v>
      </c>
      <c r="O68" s="184">
        <f t="shared" si="13"/>
        <v>0.11646957055338746</v>
      </c>
      <c r="P68" s="185">
        <f t="shared" si="8"/>
        <v>372208</v>
      </c>
      <c r="Q68" s="184">
        <f t="shared" si="14"/>
        <v>0.10387006753362728</v>
      </c>
      <c r="R68" s="184">
        <f t="shared" si="9"/>
        <v>0.041998174722709024</v>
      </c>
    </row>
    <row r="69" spans="1:18" ht="15.75" thickBot="1">
      <c r="A69" s="186" t="s">
        <v>176</v>
      </c>
      <c r="B69" s="188">
        <v>3334</v>
      </c>
      <c r="C69" s="189">
        <f t="shared" si="4"/>
        <v>0.0021769293803847825</v>
      </c>
      <c r="D69" s="190">
        <v>3035</v>
      </c>
      <c r="E69" s="189">
        <f t="shared" si="10"/>
        <v>0.0017581768256653267</v>
      </c>
      <c r="F69" s="189">
        <f t="shared" si="5"/>
        <v>-0.08968206358728255</v>
      </c>
      <c r="G69" s="188">
        <v>3334</v>
      </c>
      <c r="H69" s="190">
        <v>3035</v>
      </c>
      <c r="I69" s="188">
        <v>2808</v>
      </c>
      <c r="J69" s="189">
        <f t="shared" si="11"/>
        <v>0.0018288012754716588</v>
      </c>
      <c r="K69" s="190">
        <v>1921</v>
      </c>
      <c r="L69" s="189">
        <f t="shared" si="12"/>
        <v>0.0010343639281060533</v>
      </c>
      <c r="M69" s="189">
        <f t="shared" si="6"/>
        <v>-0.3158831908831909</v>
      </c>
      <c r="N69" s="188">
        <f t="shared" si="7"/>
        <v>6142</v>
      </c>
      <c r="O69" s="189">
        <f t="shared" si="13"/>
        <v>0.0020026430192631303</v>
      </c>
      <c r="P69" s="190">
        <f t="shared" si="8"/>
        <v>4956</v>
      </c>
      <c r="Q69" s="189">
        <f t="shared" si="14"/>
        <v>0.0013830440363900207</v>
      </c>
      <c r="R69" s="189">
        <f t="shared" si="9"/>
        <v>-0.19309671116900032</v>
      </c>
    </row>
    <row r="70" spans="1:18" ht="15.75" thickBot="1">
      <c r="A70" s="186" t="s">
        <v>177</v>
      </c>
      <c r="B70" s="188">
        <v>-40751</v>
      </c>
      <c r="C70" s="189">
        <f t="shared" si="4"/>
        <v>-0.026608293095399</v>
      </c>
      <c r="D70" s="190">
        <v>-50910</v>
      </c>
      <c r="E70" s="189">
        <f t="shared" si="10"/>
        <v>-0.029492185237107667</v>
      </c>
      <c r="F70" s="189">
        <f t="shared" si="5"/>
        <v>0.24929449584059288</v>
      </c>
      <c r="G70" s="188">
        <v>-40751</v>
      </c>
      <c r="H70" s="190">
        <v>-50910</v>
      </c>
      <c r="I70" s="188">
        <v>-37491</v>
      </c>
      <c r="J70" s="189">
        <f t="shared" si="11"/>
        <v>-0.024417232414069786</v>
      </c>
      <c r="K70" s="190">
        <v>-59361</v>
      </c>
      <c r="L70" s="189">
        <f t="shared" si="12"/>
        <v>-0.031962976125092885</v>
      </c>
      <c r="M70" s="189">
        <f t="shared" si="6"/>
        <v>0.5833400016003841</v>
      </c>
      <c r="N70" s="188">
        <f t="shared" si="7"/>
        <v>-78242</v>
      </c>
      <c r="O70" s="189">
        <f t="shared" si="13"/>
        <v>-0.025511363580785713</v>
      </c>
      <c r="P70" s="190">
        <f t="shared" si="8"/>
        <v>-110271</v>
      </c>
      <c r="Q70" s="189">
        <f t="shared" si="14"/>
        <v>-0.03077272980967796</v>
      </c>
      <c r="R70" s="189">
        <f t="shared" si="9"/>
        <v>0.40935814524168607</v>
      </c>
    </row>
    <row r="71" spans="1:18" ht="15.75" thickBot="1">
      <c r="A71" s="186" t="s">
        <v>195</v>
      </c>
      <c r="B71" s="188">
        <v>43363</v>
      </c>
      <c r="C71" s="189">
        <f t="shared" si="4"/>
        <v>0.02831379385771605</v>
      </c>
      <c r="D71" s="190">
        <v>46468</v>
      </c>
      <c r="E71" s="189">
        <f t="shared" si="10"/>
        <v>0.026918932696875255</v>
      </c>
      <c r="F71" s="189">
        <f t="shared" si="5"/>
        <v>0.07160482438945645</v>
      </c>
      <c r="G71" s="188">
        <v>43363</v>
      </c>
      <c r="H71" s="190">
        <v>46468</v>
      </c>
      <c r="I71" s="188">
        <v>0</v>
      </c>
      <c r="J71" s="189">
        <f t="shared" si="11"/>
        <v>0</v>
      </c>
      <c r="K71" s="190">
        <v>494</v>
      </c>
      <c r="L71" s="189">
        <f t="shared" si="12"/>
        <v>0.0002659946801063979</v>
      </c>
      <c r="M71" s="189" t="s">
        <v>88</v>
      </c>
      <c r="N71" s="188">
        <f t="shared" si="7"/>
        <v>43363</v>
      </c>
      <c r="O71" s="189">
        <f t="shared" si="13"/>
        <v>0.01413881622343001</v>
      </c>
      <c r="P71" s="190">
        <f t="shared" si="8"/>
        <v>46962</v>
      </c>
      <c r="Q71" s="189">
        <f t="shared" si="14"/>
        <v>0.013105430596640063</v>
      </c>
      <c r="R71" s="189">
        <f t="shared" si="9"/>
        <v>0.0829970251135761</v>
      </c>
    </row>
    <row r="72" spans="1:18" ht="15.75" thickBot="1">
      <c r="A72" s="186" t="s">
        <v>178</v>
      </c>
      <c r="B72" s="188">
        <v>6535</v>
      </c>
      <c r="C72" s="189">
        <f t="shared" si="4"/>
        <v>0.004267016646914983</v>
      </c>
      <c r="D72" s="190">
        <v>5949</v>
      </c>
      <c r="E72" s="189">
        <f t="shared" si="10"/>
        <v>0.003446258298478757</v>
      </c>
      <c r="F72" s="189">
        <f t="shared" si="5"/>
        <v>-0.08967100229533283</v>
      </c>
      <c r="G72" s="188">
        <v>6535</v>
      </c>
      <c r="H72" s="190">
        <v>5949</v>
      </c>
      <c r="I72" s="188">
        <v>-7532</v>
      </c>
      <c r="J72" s="189">
        <f t="shared" si="11"/>
        <v>-0.00490545983150019</v>
      </c>
      <c r="K72" s="190">
        <v>6965</v>
      </c>
      <c r="L72" s="189">
        <f t="shared" si="12"/>
        <v>0.0037503096091924316</v>
      </c>
      <c r="M72" s="189">
        <f aca="true" t="shared" si="15" ref="M72:M81">(K72-I72)/I72</f>
        <v>-1.924721189591078</v>
      </c>
      <c r="N72" s="188">
        <f t="shared" si="7"/>
        <v>-997</v>
      </c>
      <c r="O72" s="189">
        <f t="shared" si="13"/>
        <v>-0.00032507897919331505</v>
      </c>
      <c r="P72" s="190">
        <f t="shared" si="8"/>
        <v>12914</v>
      </c>
      <c r="Q72" s="189">
        <f t="shared" si="14"/>
        <v>0.0036038399285594686</v>
      </c>
      <c r="R72" s="189">
        <f t="shared" si="9"/>
        <v>-13.952858575727182</v>
      </c>
    </row>
    <row r="73" spans="1:18" ht="15.75" thickBot="1">
      <c r="A73" s="186" t="s">
        <v>179</v>
      </c>
      <c r="B73" s="188">
        <v>-6192</v>
      </c>
      <c r="C73" s="189">
        <f t="shared" si="4"/>
        <v>-0.004043055405921587</v>
      </c>
      <c r="D73" s="190">
        <v>-4194</v>
      </c>
      <c r="E73" s="189">
        <f t="shared" si="10"/>
        <v>-0.002429586031907868</v>
      </c>
      <c r="F73" s="189">
        <f t="shared" si="5"/>
        <v>-0.3226744186046512</v>
      </c>
      <c r="G73" s="188">
        <v>-6192</v>
      </c>
      <c r="H73" s="190">
        <v>-4194</v>
      </c>
      <c r="I73" s="188">
        <v>-2161</v>
      </c>
      <c r="J73" s="189">
        <f t="shared" si="11"/>
        <v>-0.0014074214944067858</v>
      </c>
      <c r="K73" s="190">
        <v>-3172</v>
      </c>
      <c r="L73" s="189">
        <f t="shared" si="12"/>
        <v>-0.0017079658406831864</v>
      </c>
      <c r="M73" s="189">
        <f t="shared" si="15"/>
        <v>0.46783896344285053</v>
      </c>
      <c r="N73" s="188">
        <f t="shared" si="7"/>
        <v>-8353</v>
      </c>
      <c r="O73" s="189">
        <f t="shared" si="13"/>
        <v>-0.00272355537933978</v>
      </c>
      <c r="P73" s="190">
        <f t="shared" si="8"/>
        <v>-7366</v>
      </c>
      <c r="Q73" s="189">
        <f t="shared" si="14"/>
        <v>-0.002055589663448122</v>
      </c>
      <c r="R73" s="189">
        <f t="shared" si="9"/>
        <v>-0.11816113971028373</v>
      </c>
    </row>
    <row r="74" spans="1:18" ht="15.75" thickBot="1">
      <c r="A74" s="186" t="s">
        <v>180</v>
      </c>
      <c r="B74" s="187">
        <v>1468</v>
      </c>
      <c r="C74" s="189">
        <f t="shared" si="4"/>
        <v>0.0009585279935227536</v>
      </c>
      <c r="D74" s="195">
        <v>390</v>
      </c>
      <c r="E74" s="189">
        <f t="shared" si="10"/>
        <v>0.00022592717034908643</v>
      </c>
      <c r="F74" s="189">
        <f t="shared" si="5"/>
        <v>-0.7343324250681199</v>
      </c>
      <c r="G74" s="187">
        <v>1468</v>
      </c>
      <c r="H74" s="195">
        <v>390</v>
      </c>
      <c r="I74" s="187">
        <v>1360</v>
      </c>
      <c r="J74" s="189">
        <f t="shared" si="11"/>
        <v>0.000885744207493396</v>
      </c>
      <c r="K74" s="195">
        <v>758</v>
      </c>
      <c r="L74" s="189">
        <f t="shared" si="12"/>
        <v>0.00040814568324018134</v>
      </c>
      <c r="M74" s="189">
        <f t="shared" si="15"/>
        <v>-0.4426470588235294</v>
      </c>
      <c r="N74" s="187">
        <f t="shared" si="7"/>
        <v>2828</v>
      </c>
      <c r="O74" s="189">
        <f t="shared" si="13"/>
        <v>0.0009220896220247692</v>
      </c>
      <c r="P74" s="195">
        <f t="shared" si="8"/>
        <v>1148</v>
      </c>
      <c r="Q74" s="189">
        <f t="shared" si="14"/>
        <v>0.0003203661327231121</v>
      </c>
      <c r="R74" s="189">
        <f t="shared" si="9"/>
        <v>-0.594059405940594</v>
      </c>
    </row>
    <row r="75" spans="1:18" ht="15.75" thickBot="1">
      <c r="A75" s="186" t="s">
        <v>181</v>
      </c>
      <c r="B75" s="187">
        <v>3206</v>
      </c>
      <c r="C75" s="189">
        <f t="shared" si="4"/>
        <v>0.0020933520076525532</v>
      </c>
      <c r="D75" s="195" t="s">
        <v>159</v>
      </c>
      <c r="E75" s="189" t="s">
        <v>88</v>
      </c>
      <c r="F75" s="189" t="s">
        <v>88</v>
      </c>
      <c r="G75" s="187">
        <v>3206</v>
      </c>
      <c r="H75" s="195" t="s">
        <v>159</v>
      </c>
      <c r="I75" s="187">
        <v>557</v>
      </c>
      <c r="J75" s="189">
        <f t="shared" si="11"/>
        <v>0.00036276435556898643</v>
      </c>
      <c r="K75" s="195">
        <v>62</v>
      </c>
      <c r="L75" s="189">
        <f t="shared" si="12"/>
        <v>3.338394770566127E-05</v>
      </c>
      <c r="M75" s="189">
        <f t="shared" si="15"/>
        <v>-0.8886894075403949</v>
      </c>
      <c r="N75" s="187">
        <f t="shared" si="7"/>
        <v>3763</v>
      </c>
      <c r="O75" s="189">
        <f t="shared" si="13"/>
        <v>0.0012269530578780787</v>
      </c>
      <c r="P75" s="195">
        <v>0</v>
      </c>
      <c r="Q75" s="189">
        <f t="shared" si="14"/>
        <v>0</v>
      </c>
      <c r="R75" s="189">
        <f t="shared" si="9"/>
        <v>-1</v>
      </c>
    </row>
    <row r="76" spans="1:18" ht="15.75" thickBot="1">
      <c r="A76" s="191" t="s">
        <v>182</v>
      </c>
      <c r="B76" s="192">
        <f>SUM(B68:B75)</f>
        <v>206606</v>
      </c>
      <c r="C76" s="193">
        <f t="shared" si="4"/>
        <v>0.1349030208649605</v>
      </c>
      <c r="D76" s="194">
        <f>SUM(D68:D75)</f>
        <v>199519</v>
      </c>
      <c r="E76" s="193">
        <f t="shared" si="10"/>
        <v>0.11558144384840865</v>
      </c>
      <c r="F76" s="193">
        <f aca="true" t="shared" si="16" ref="F76:F81">(D76-B76)/B76</f>
        <v>-0.03430200478204892</v>
      </c>
      <c r="G76" s="192">
        <f>SUM(G68:G75)</f>
        <v>206606</v>
      </c>
      <c r="H76" s="194">
        <f>SUM(H68:H75)</f>
        <v>199519</v>
      </c>
      <c r="I76" s="192">
        <f>SUM(I68:I75)</f>
        <v>119104</v>
      </c>
      <c r="J76" s="193">
        <f t="shared" si="11"/>
        <v>0.07757035153624517</v>
      </c>
      <c r="K76" s="194">
        <f>SUM(K68:K75)</f>
        <v>121094</v>
      </c>
      <c r="L76" s="193">
        <f t="shared" si="12"/>
        <v>0.06520315747531204</v>
      </c>
      <c r="M76" s="193">
        <f t="shared" si="15"/>
        <v>0.016708087049973133</v>
      </c>
      <c r="N76" s="192">
        <f t="shared" si="7"/>
        <v>325710</v>
      </c>
      <c r="O76" s="193">
        <f t="shared" si="13"/>
        <v>0.10620007453666463</v>
      </c>
      <c r="P76" s="194">
        <f aca="true" t="shared" si="17" ref="P76:P81">+H76+K76</f>
        <v>320613</v>
      </c>
      <c r="Q76" s="193">
        <f t="shared" si="14"/>
        <v>0.08947173075849751</v>
      </c>
      <c r="R76" s="193">
        <f t="shared" si="9"/>
        <v>-0.015648890116975223</v>
      </c>
    </row>
    <row r="77" spans="1:18" ht="15.75" thickBot="1">
      <c r="A77" s="186" t="s">
        <v>183</v>
      </c>
      <c r="B77" s="188">
        <v>-36515</v>
      </c>
      <c r="C77" s="189">
        <f t="shared" si="4"/>
        <v>-0.02384240441654179</v>
      </c>
      <c r="D77" s="190">
        <v>-51436</v>
      </c>
      <c r="E77" s="189">
        <f t="shared" si="10"/>
        <v>-0.02979689726686054</v>
      </c>
      <c r="F77" s="189">
        <f t="shared" si="16"/>
        <v>0.4086265918115843</v>
      </c>
      <c r="G77" s="188">
        <v>-36515</v>
      </c>
      <c r="H77" s="190">
        <v>-51436</v>
      </c>
      <c r="I77" s="188">
        <v>-18667</v>
      </c>
      <c r="J77" s="189">
        <f t="shared" si="11"/>
        <v>-0.01215749053035237</v>
      </c>
      <c r="K77" s="190">
        <v>-38426</v>
      </c>
      <c r="L77" s="189">
        <f t="shared" si="12"/>
        <v>-0.020690509266737742</v>
      </c>
      <c r="M77" s="189">
        <f t="shared" si="15"/>
        <v>1.0584989553757969</v>
      </c>
      <c r="N77" s="188">
        <f t="shared" si="7"/>
        <v>-55182</v>
      </c>
      <c r="O77" s="189">
        <f t="shared" si="13"/>
        <v>-0.01799248568690623</v>
      </c>
      <c r="P77" s="190">
        <f t="shared" si="17"/>
        <v>-89862</v>
      </c>
      <c r="Q77" s="189">
        <f t="shared" si="14"/>
        <v>-0.02507730088742535</v>
      </c>
      <c r="R77" s="189">
        <f t="shared" si="9"/>
        <v>0.6284658040665434</v>
      </c>
    </row>
    <row r="78" spans="1:18" ht="15.75" thickBot="1">
      <c r="A78" s="196" t="s">
        <v>184</v>
      </c>
      <c r="B78" s="197">
        <v>-10883</v>
      </c>
      <c r="C78" s="198">
        <f t="shared" si="4"/>
        <v>-0.007106035526912894</v>
      </c>
      <c r="D78" s="199">
        <v>3407</v>
      </c>
      <c r="E78" s="198">
        <f t="shared" si="10"/>
        <v>0.0019736765881521474</v>
      </c>
      <c r="F78" s="198">
        <f t="shared" si="16"/>
        <v>-1.3130570614720205</v>
      </c>
      <c r="G78" s="197">
        <v>-10883</v>
      </c>
      <c r="H78" s="199">
        <v>3407</v>
      </c>
      <c r="I78" s="197">
        <v>1248</v>
      </c>
      <c r="J78" s="198">
        <f t="shared" si="11"/>
        <v>0.0008128005668762928</v>
      </c>
      <c r="K78" s="199">
        <v>1408</v>
      </c>
      <c r="L78" s="198">
        <f t="shared" si="12"/>
        <v>0.0007581386833801785</v>
      </c>
      <c r="M78" s="198">
        <f t="shared" si="15"/>
        <v>0.1282051282051282</v>
      </c>
      <c r="N78" s="197">
        <f t="shared" si="7"/>
        <v>-9635</v>
      </c>
      <c r="O78" s="198">
        <f t="shared" si="13"/>
        <v>-0.0031415606464669913</v>
      </c>
      <c r="P78" s="199">
        <f t="shared" si="17"/>
        <v>4815</v>
      </c>
      <c r="Q78" s="198">
        <f t="shared" si="14"/>
        <v>0.0013436959312384887</v>
      </c>
      <c r="R78" s="198">
        <f t="shared" si="9"/>
        <v>-1.4997405293201869</v>
      </c>
    </row>
    <row r="79" spans="1:18" ht="15.75" thickBot="1">
      <c r="A79" s="191" t="s">
        <v>185</v>
      </c>
      <c r="B79" s="192">
        <f>SUM(B76:B78)</f>
        <v>159208</v>
      </c>
      <c r="C79" s="193">
        <f t="shared" si="4"/>
        <v>0.10395458092150583</v>
      </c>
      <c r="D79" s="194">
        <f>SUM(D76:D78)</f>
        <v>151490</v>
      </c>
      <c r="E79" s="193">
        <f t="shared" si="10"/>
        <v>0.08775822316970026</v>
      </c>
      <c r="F79" s="193">
        <f t="shared" si="16"/>
        <v>-0.04847746344404804</v>
      </c>
      <c r="G79" s="192">
        <f>SUM(G76:G78)</f>
        <v>159208</v>
      </c>
      <c r="H79" s="194">
        <f>SUM(H76:H78)</f>
        <v>151490</v>
      </c>
      <c r="I79" s="192">
        <f>SUM(I76:I78)</f>
        <v>101685</v>
      </c>
      <c r="J79" s="193">
        <f t="shared" si="11"/>
        <v>0.0662256615727691</v>
      </c>
      <c r="K79" s="194">
        <f>SUM(K76:K78)</f>
        <v>84076</v>
      </c>
      <c r="L79" s="193">
        <f t="shared" si="12"/>
        <v>0.04527078689195447</v>
      </c>
      <c r="M79" s="193">
        <f t="shared" si="15"/>
        <v>-0.1731720509416335</v>
      </c>
      <c r="N79" s="192">
        <f t="shared" si="7"/>
        <v>260893</v>
      </c>
      <c r="O79" s="193">
        <f t="shared" si="13"/>
        <v>0.08506602820329141</v>
      </c>
      <c r="P79" s="194">
        <f t="shared" si="17"/>
        <v>235566</v>
      </c>
      <c r="Q79" s="193">
        <f t="shared" si="14"/>
        <v>0.06573812580231066</v>
      </c>
      <c r="R79" s="193">
        <f t="shared" si="9"/>
        <v>-0.09707811248289529</v>
      </c>
    </row>
    <row r="80" spans="1:18" ht="15.75" thickBot="1">
      <c r="A80" s="186" t="s">
        <v>186</v>
      </c>
      <c r="B80" s="187">
        <v>254</v>
      </c>
      <c r="C80" s="189">
        <f t="shared" si="4"/>
        <v>0.0001658488490155173</v>
      </c>
      <c r="D80" s="195">
        <v>-304</v>
      </c>
      <c r="E80" s="189">
        <f t="shared" si="10"/>
        <v>-0.00017610733278492893</v>
      </c>
      <c r="F80" s="189">
        <f t="shared" si="16"/>
        <v>-2.1968503937007875</v>
      </c>
      <c r="G80" s="187">
        <v>254</v>
      </c>
      <c r="H80" s="195">
        <v>-304</v>
      </c>
      <c r="I80" s="187">
        <v>-8532</v>
      </c>
      <c r="J80" s="189">
        <f t="shared" si="11"/>
        <v>-0.0055567423370100405</v>
      </c>
      <c r="K80" s="195">
        <v>-4010</v>
      </c>
      <c r="L80" s="189">
        <f t="shared" si="12"/>
        <v>-0.0021591875854790597</v>
      </c>
      <c r="M80" s="189">
        <f t="shared" si="15"/>
        <v>-0.5300046882325363</v>
      </c>
      <c r="N80" s="187">
        <f t="shared" si="7"/>
        <v>-8278</v>
      </c>
      <c r="O80" s="189">
        <f t="shared" si="13"/>
        <v>-0.002699101093041386</v>
      </c>
      <c r="P80" s="195">
        <f t="shared" si="17"/>
        <v>-4314</v>
      </c>
      <c r="Q80" s="189">
        <f t="shared" si="14"/>
        <v>-0.0012038845788915555</v>
      </c>
      <c r="R80" s="189">
        <f t="shared" si="9"/>
        <v>-0.4788596279294516</v>
      </c>
    </row>
    <row r="81" spans="1:18" ht="15">
      <c r="A81" s="200" t="s">
        <v>187</v>
      </c>
      <c r="B81" s="203">
        <f>SUM(B79:B80)</f>
        <v>159462</v>
      </c>
      <c r="C81" s="202">
        <f t="shared" si="4"/>
        <v>0.10412042977052134</v>
      </c>
      <c r="D81" s="203">
        <f>SUM(D79:D80)</f>
        <v>151186</v>
      </c>
      <c r="E81" s="202">
        <f t="shared" si="10"/>
        <v>0.08758211583691534</v>
      </c>
      <c r="F81" s="202">
        <f t="shared" si="16"/>
        <v>-0.05189951210946809</v>
      </c>
      <c r="G81" s="203">
        <f>SUM(G79:G80)</f>
        <v>159462</v>
      </c>
      <c r="H81" s="203">
        <f>SUM(H79:H80)</f>
        <v>151186</v>
      </c>
      <c r="I81" s="203">
        <f>SUM(I79:I80)</f>
        <v>93153</v>
      </c>
      <c r="J81" s="202">
        <f t="shared" si="11"/>
        <v>0.06066891923575906</v>
      </c>
      <c r="K81" s="203">
        <f>SUM(K79:K80)</f>
        <v>80066</v>
      </c>
      <c r="L81" s="202">
        <f t="shared" si="12"/>
        <v>0.04311159930647541</v>
      </c>
      <c r="M81" s="202">
        <f t="shared" si="15"/>
        <v>-0.14048930254527497</v>
      </c>
      <c r="N81" s="203">
        <f t="shared" si="7"/>
        <v>252615</v>
      </c>
      <c r="O81" s="202">
        <f t="shared" si="13"/>
        <v>0.08236692711025002</v>
      </c>
      <c r="P81" s="203">
        <f t="shared" si="17"/>
        <v>231252</v>
      </c>
      <c r="Q81" s="202">
        <f t="shared" si="14"/>
        <v>0.0645342412234191</v>
      </c>
      <c r="R81" s="202">
        <f t="shared" si="9"/>
        <v>-0.08456742473724838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06"/>
      <c r="O82" s="207"/>
      <c r="P82" s="209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12"/>
      <c r="O83" s="213"/>
      <c r="P83" s="215"/>
      <c r="Q83" s="213"/>
      <c r="R83" s="213"/>
    </row>
    <row r="84" spans="1:18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10"/>
        <v>0.0874691522517408</v>
      </c>
      <c r="F84" s="189">
        <f>(D84-B84)/B84</f>
        <v>-0.04853995740229624</v>
      </c>
      <c r="G84" s="188">
        <f>+G81-G85</f>
        <v>158694</v>
      </c>
      <c r="H84" s="217">
        <f>+H81-H85</f>
        <v>150991</v>
      </c>
      <c r="I84" s="188">
        <f>+I81-I85</f>
        <v>92533</v>
      </c>
      <c r="J84" s="189">
        <f t="shared" si="11"/>
        <v>0.06026512408234295</v>
      </c>
      <c r="K84" s="217">
        <f>+K81-K85</f>
        <v>79293</v>
      </c>
      <c r="L84" s="189">
        <f t="shared" si="12"/>
        <v>0.042695376861693536</v>
      </c>
      <c r="M84" s="189">
        <f>(K84-I84)/I84</f>
        <v>-0.14308408891962868</v>
      </c>
      <c r="N84" s="188">
        <f>+G84+I84</f>
        <v>251227</v>
      </c>
      <c r="O84" s="189">
        <f t="shared" si="13"/>
        <v>0.08191435978515442</v>
      </c>
      <c r="P84" s="217">
        <f>+H84+K84</f>
        <v>230284</v>
      </c>
      <c r="Q84" s="189">
        <f t="shared" si="14"/>
        <v>0.06426410671429368</v>
      </c>
      <c r="R84" s="189">
        <f>(P84-N84)/N84</f>
        <v>-0.08336285510713419</v>
      </c>
    </row>
    <row r="85" spans="1:18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10"/>
        <v>0.00011296358517454322</v>
      </c>
      <c r="F85" s="198">
        <f>(D85-B85)/B85</f>
        <v>-0.74609375</v>
      </c>
      <c r="G85" s="219">
        <v>768</v>
      </c>
      <c r="H85" s="220">
        <v>195</v>
      </c>
      <c r="I85" s="219">
        <v>620</v>
      </c>
      <c r="J85" s="198">
        <f t="shared" si="11"/>
        <v>0.000403795153416107</v>
      </c>
      <c r="K85" s="220">
        <v>773</v>
      </c>
      <c r="L85" s="198">
        <f t="shared" si="12"/>
        <v>0.0004162224447818736</v>
      </c>
      <c r="M85" s="198">
        <f>(K85-I85)/I85</f>
        <v>0.2467741935483871</v>
      </c>
      <c r="N85" s="219">
        <f>+G85+I85</f>
        <v>1388</v>
      </c>
      <c r="O85" s="198">
        <f t="shared" si="13"/>
        <v>0.0004525673250956081</v>
      </c>
      <c r="P85" s="220">
        <f>+H85+K85</f>
        <v>968</v>
      </c>
      <c r="Q85" s="198">
        <f t="shared" si="14"/>
        <v>0.00027013450912541164</v>
      </c>
      <c r="R85" s="198">
        <f>(P85-N85)/N85</f>
        <v>-0.3025936599423631</v>
      </c>
    </row>
    <row r="86" spans="1:18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10"/>
        <v>0.08758211583691534</v>
      </c>
      <c r="F86" s="193">
        <f>(D86-B86)/B86</f>
        <v>-0.05189951210946809</v>
      </c>
      <c r="G86" s="192">
        <f>SUM(G84:G85)</f>
        <v>159462</v>
      </c>
      <c r="H86" s="222">
        <f>SUM(H84:H85)</f>
        <v>151186</v>
      </c>
      <c r="I86" s="192">
        <f>SUM(I84:I85)</f>
        <v>93153</v>
      </c>
      <c r="J86" s="193">
        <f t="shared" si="11"/>
        <v>0.06066891923575906</v>
      </c>
      <c r="K86" s="222">
        <f>SUM(K84:K85)</f>
        <v>80066</v>
      </c>
      <c r="L86" s="193">
        <f t="shared" si="12"/>
        <v>0.04311159930647541</v>
      </c>
      <c r="M86" s="193">
        <f>(K86-I86)/I86</f>
        <v>-0.14048930254527497</v>
      </c>
      <c r="N86" s="192">
        <f>+G86+I86</f>
        <v>252615</v>
      </c>
      <c r="O86" s="193">
        <f t="shared" si="13"/>
        <v>0.08236692711025002</v>
      </c>
      <c r="P86" s="222">
        <f>+H86+K86</f>
        <v>231252</v>
      </c>
      <c r="Q86" s="193">
        <f t="shared" si="14"/>
        <v>0.0645342412234191</v>
      </c>
      <c r="R86" s="193">
        <f>(P86-N86)/N86</f>
        <v>-0.08456742473724838</v>
      </c>
    </row>
    <row r="87" spans="1:18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10"/>
        <v>0.13608694140955382</v>
      </c>
      <c r="F87" s="202">
        <f>(D87-B87)/B87</f>
        <v>-0.008667763851964383</v>
      </c>
      <c r="G87" s="203">
        <v>236970</v>
      </c>
      <c r="H87" s="203">
        <v>234916</v>
      </c>
      <c r="I87" s="203">
        <v>200071</v>
      </c>
      <c r="J87" s="202">
        <f t="shared" si="11"/>
        <v>0.1303027421598612</v>
      </c>
      <c r="K87" s="203">
        <v>223967</v>
      </c>
      <c r="L87" s="202">
        <f t="shared" si="12"/>
        <v>0.12059520348054577</v>
      </c>
      <c r="M87" s="202">
        <f>(K87-I87)/I87</f>
        <v>0.1194375996521235</v>
      </c>
      <c r="N87" s="203">
        <f>+G87+I87</f>
        <v>437041</v>
      </c>
      <c r="O87" s="202">
        <f t="shared" si="13"/>
        <v>0.14250034317515106</v>
      </c>
      <c r="P87" s="203">
        <f>+H87+K87</f>
        <v>458883</v>
      </c>
      <c r="Q87" s="202">
        <f t="shared" si="14"/>
        <v>0.1280579896187978</v>
      </c>
      <c r="R87" s="202">
        <f>(P87-N87)/N87</f>
        <v>0.04997700444580715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8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0.8515625" style="143" bestFit="1" customWidth="1"/>
    <col min="2" max="12" width="11.421875" style="143" customWidth="1"/>
    <col min="13" max="13" width="9.28125" style="143" customWidth="1"/>
    <col min="14" max="16" width="11.421875" style="143" customWidth="1"/>
    <col min="17" max="17" width="9.57421875" style="143" bestFit="1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119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10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</row>
    <row r="10" spans="1:10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</row>
    <row r="11" spans="1:10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</row>
    <row r="12" spans="1:10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</row>
    <row r="13" spans="1:10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</row>
    <row r="14" spans="1:10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</row>
    <row r="15" spans="1:10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  <c r="H17" s="157">
        <v>23124</v>
      </c>
      <c r="I17" s="158">
        <v>29491</v>
      </c>
      <c r="J17" s="159">
        <f aca="true" t="shared" si="2" ref="J17:J28">(I17-H17)/H17</f>
        <v>0.27534163639508735</v>
      </c>
    </row>
    <row r="18" spans="1:10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  <c r="H18" s="157">
        <v>4185</v>
      </c>
      <c r="I18" s="158">
        <v>0</v>
      </c>
      <c r="J18" s="159">
        <f t="shared" si="2"/>
        <v>-1</v>
      </c>
    </row>
    <row r="19" spans="1:10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  <c r="H19" s="157">
        <v>83323</v>
      </c>
      <c r="I19" s="158">
        <v>101811</v>
      </c>
      <c r="J19" s="159">
        <f t="shared" si="2"/>
        <v>0.2218835135556809</v>
      </c>
    </row>
    <row r="20" spans="1:10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  <c r="H20" s="157">
        <v>4016462</v>
      </c>
      <c r="I20" s="158">
        <v>3564491</v>
      </c>
      <c r="J20" s="159">
        <f t="shared" si="2"/>
        <v>-0.11252963429007917</v>
      </c>
    </row>
    <row r="21" spans="1:10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  <c r="H21" s="157">
        <v>2963335</v>
      </c>
      <c r="I21" s="158">
        <v>3335183</v>
      </c>
      <c r="J21" s="159">
        <f t="shared" si="2"/>
        <v>0.125482944047838</v>
      </c>
    </row>
    <row r="22" spans="1:10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  <c r="H22" s="157">
        <v>96280</v>
      </c>
      <c r="I22" s="158">
        <v>97061</v>
      </c>
      <c r="J22" s="159">
        <f t="shared" si="2"/>
        <v>0.008111757374324886</v>
      </c>
    </row>
    <row r="23" spans="1:10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  <c r="H23" s="157">
        <v>1373072</v>
      </c>
      <c r="I23" s="158">
        <v>2001447</v>
      </c>
      <c r="J23" s="159">
        <f t="shared" si="2"/>
        <v>0.45764169686658823</v>
      </c>
    </row>
    <row r="24" spans="1:10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  <c r="H24" s="157">
        <v>766829</v>
      </c>
      <c r="I24" s="158">
        <v>1233087</v>
      </c>
      <c r="J24" s="159">
        <f t="shared" si="2"/>
        <v>0.6080338641339855</v>
      </c>
    </row>
    <row r="25" spans="1:10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  <c r="H25" s="157">
        <v>297783</v>
      </c>
      <c r="I25" s="158">
        <v>360477</v>
      </c>
      <c r="J25" s="159">
        <f t="shared" si="2"/>
        <v>0.2105358600054402</v>
      </c>
    </row>
    <row r="26" spans="1:10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  <c r="H26" s="162">
        <v>32348</v>
      </c>
      <c r="I26" s="163">
        <v>38591</v>
      </c>
      <c r="J26" s="167">
        <f t="shared" si="2"/>
        <v>0.19299493013478422</v>
      </c>
    </row>
    <row r="27" spans="1:10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  <c r="H27" s="165">
        <f>SUM(H17:H26)</f>
        <v>9656741</v>
      </c>
      <c r="I27" s="166">
        <f>SUM(I17:I26)</f>
        <v>10761639</v>
      </c>
      <c r="J27" s="168">
        <f t="shared" si="2"/>
        <v>0.11441727597333304</v>
      </c>
    </row>
    <row r="28" spans="1:10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  <c r="H28" s="165">
        <f>+H15+H27</f>
        <v>11817386</v>
      </c>
      <c r="I28" s="166">
        <f>+I15+I27</f>
        <v>13317881</v>
      </c>
      <c r="J28" s="168">
        <f t="shared" si="2"/>
        <v>0.1269735117393982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455480</v>
      </c>
      <c r="C31" s="158">
        <v>708303</v>
      </c>
      <c r="D31" s="159">
        <f aca="true" t="shared" si="3" ref="D31:D37">(C31-B31)/B31</f>
        <v>0.5550693773601475</v>
      </c>
      <c r="E31" s="157">
        <v>455480</v>
      </c>
      <c r="F31" s="158">
        <v>788166</v>
      </c>
      <c r="G31" s="159">
        <f aca="true" t="shared" si="4" ref="G31:G37">(F31-E31)/E31</f>
        <v>0.7304074822165627</v>
      </c>
      <c r="H31" s="157">
        <v>455480</v>
      </c>
      <c r="I31" s="158">
        <v>962314</v>
      </c>
      <c r="J31" s="159">
        <f aca="true" t="shared" si="5" ref="J31:J37">(I31-H31)/H31</f>
        <v>1.1127469921840696</v>
      </c>
    </row>
    <row r="32" spans="1:10" ht="15.75" thickBot="1">
      <c r="A32" s="155" t="s">
        <v>152</v>
      </c>
      <c r="B32" s="157">
        <v>656458</v>
      </c>
      <c r="C32" s="158">
        <v>829817</v>
      </c>
      <c r="D32" s="159">
        <f t="shared" si="3"/>
        <v>0.2640823936946461</v>
      </c>
      <c r="E32" s="157">
        <v>656458</v>
      </c>
      <c r="F32" s="158">
        <v>783029</v>
      </c>
      <c r="G32" s="159">
        <f t="shared" si="4"/>
        <v>0.19280898397155644</v>
      </c>
      <c r="H32" s="157">
        <v>656458</v>
      </c>
      <c r="I32" s="158">
        <v>826429</v>
      </c>
      <c r="J32" s="159">
        <f t="shared" si="5"/>
        <v>0.25892136282900047</v>
      </c>
    </row>
    <row r="33" spans="1:10" ht="15.75" thickBot="1">
      <c r="A33" s="155" t="s">
        <v>153</v>
      </c>
      <c r="B33" s="157">
        <v>150217</v>
      </c>
      <c r="C33" s="158">
        <v>180907</v>
      </c>
      <c r="D33" s="159">
        <f t="shared" si="3"/>
        <v>0.20430443957741135</v>
      </c>
      <c r="E33" s="157">
        <v>150217</v>
      </c>
      <c r="F33" s="158">
        <v>183780</v>
      </c>
      <c r="G33" s="159">
        <f t="shared" si="4"/>
        <v>0.22343010444889727</v>
      </c>
      <c r="H33" s="157">
        <v>150217</v>
      </c>
      <c r="I33" s="158">
        <v>210538</v>
      </c>
      <c r="J33" s="159">
        <f t="shared" si="5"/>
        <v>0.4015590778673519</v>
      </c>
    </row>
    <row r="34" spans="1:10" ht="15.75" thickBot="1">
      <c r="A34" s="155" t="s">
        <v>154</v>
      </c>
      <c r="B34" s="157">
        <v>137300</v>
      </c>
      <c r="C34" s="158">
        <v>114638</v>
      </c>
      <c r="D34" s="159">
        <f t="shared" si="3"/>
        <v>-0.16505462490895847</v>
      </c>
      <c r="E34" s="157">
        <v>137300</v>
      </c>
      <c r="F34" s="158">
        <v>133356</v>
      </c>
      <c r="G34" s="159">
        <f t="shared" si="4"/>
        <v>-0.028725418790968682</v>
      </c>
      <c r="H34" s="157">
        <v>137300</v>
      </c>
      <c r="I34" s="158">
        <v>177986</v>
      </c>
      <c r="J34" s="159">
        <f t="shared" si="5"/>
        <v>0.2963292061179898</v>
      </c>
    </row>
    <row r="35" spans="1:10" ht="15.75" thickBot="1">
      <c r="A35" s="155" t="s">
        <v>155</v>
      </c>
      <c r="B35" s="157">
        <v>2417</v>
      </c>
      <c r="C35" s="158">
        <v>3919</v>
      </c>
      <c r="D35" s="159">
        <f t="shared" si="3"/>
        <v>0.6214315266859743</v>
      </c>
      <c r="E35" s="157">
        <v>2417</v>
      </c>
      <c r="F35" s="158">
        <v>3371</v>
      </c>
      <c r="G35" s="159">
        <f t="shared" si="4"/>
        <v>0.39470417873396774</v>
      </c>
      <c r="H35" s="157">
        <v>2417</v>
      </c>
      <c r="I35" s="158">
        <v>3025</v>
      </c>
      <c r="J35" s="159">
        <f t="shared" si="5"/>
        <v>0.2515515101365329</v>
      </c>
    </row>
    <row r="36" spans="1:10" ht="15.75" thickBot="1">
      <c r="A36" s="160" t="s">
        <v>35</v>
      </c>
      <c r="B36" s="162">
        <v>13885</v>
      </c>
      <c r="C36" s="163">
        <v>24077</v>
      </c>
      <c r="D36" s="167">
        <f t="shared" si="3"/>
        <v>0.734029528267915</v>
      </c>
      <c r="E36" s="162">
        <v>13885</v>
      </c>
      <c r="F36" s="163">
        <v>17127</v>
      </c>
      <c r="G36" s="167">
        <f t="shared" si="4"/>
        <v>0.23348937702556716</v>
      </c>
      <c r="H36" s="162">
        <v>13885</v>
      </c>
      <c r="I36" s="163">
        <v>19917</v>
      </c>
      <c r="J36" s="167">
        <f t="shared" si="5"/>
        <v>0.4344256391789701</v>
      </c>
    </row>
    <row r="37" spans="1:10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3"/>
        <v>0.3149580047988461</v>
      </c>
      <c r="E37" s="165">
        <f>SUM(E31:E36)</f>
        <v>1415757</v>
      </c>
      <c r="F37" s="166">
        <f>SUM(F31:F36)</f>
        <v>1908829</v>
      </c>
      <c r="G37" s="168">
        <f t="shared" si="4"/>
        <v>0.3482744567040813</v>
      </c>
      <c r="H37" s="165">
        <f>SUM(H31:H36)</f>
        <v>1415757</v>
      </c>
      <c r="I37" s="166">
        <f>SUM(I31:I36)</f>
        <v>2200209</v>
      </c>
      <c r="J37" s="168">
        <f t="shared" si="5"/>
        <v>0.5540866123211823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</row>
    <row r="40" spans="1:10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</row>
    <row r="41" spans="1:10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</row>
    <row r="42" spans="1:10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</row>
    <row r="43" spans="1:10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</row>
    <row r="44" spans="1:10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</row>
    <row r="45" spans="1:10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</row>
    <row r="48" spans="1:10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</row>
    <row r="49" spans="1:10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</row>
    <row r="50" spans="1:10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120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27" s="261" customFormat="1" ht="15.75" customHeight="1" thickBot="1">
      <c r="A58" s="262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56" t="s">
        <v>98</v>
      </c>
      <c r="R58" s="263" t="s">
        <v>118</v>
      </c>
      <c r="S58" s="256" t="s">
        <v>98</v>
      </c>
      <c r="T58" s="256" t="s">
        <v>99</v>
      </c>
      <c r="U58" s="256" t="s">
        <v>129</v>
      </c>
      <c r="V58" s="256" t="s">
        <v>98</v>
      </c>
      <c r="W58" s="263" t="s">
        <v>130</v>
      </c>
      <c r="X58" s="256" t="s">
        <v>98</v>
      </c>
      <c r="Y58" s="256" t="s">
        <v>99</v>
      </c>
      <c r="Z58" s="260"/>
      <c r="AA58" s="260"/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32" ht="15.75" thickBot="1">
      <c r="A60" s="182" t="s">
        <v>169</v>
      </c>
      <c r="B60" s="183">
        <v>1531515</v>
      </c>
      <c r="C60" s="184">
        <f aca="true" t="shared" si="6" ref="C60:C81">+B60/$B$60</f>
        <v>1</v>
      </c>
      <c r="D60" s="185">
        <v>1726220</v>
      </c>
      <c r="E60" s="184">
        <f>+D60/$D$60</f>
        <v>1</v>
      </c>
      <c r="F60" s="184">
        <f aca="true" t="shared" si="7" ref="F60:F74"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8" ref="J60:J81">+I60/$I$60</f>
        <v>1</v>
      </c>
      <c r="K60" s="184">
        <f aca="true" t="shared" si="9" ref="K60:K70"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4">
        <f aca="true" t="shared" si="10" ref="Q60:Q81">+P60/$P$60</f>
        <v>1</v>
      </c>
      <c r="R60" s="185">
        <v>2099201</v>
      </c>
      <c r="S60" s="184">
        <f aca="true" t="shared" si="11" ref="S60:S81">+R60/$R$60</f>
        <v>1</v>
      </c>
      <c r="T60" s="184">
        <f aca="true" t="shared" si="12" ref="T60:T70">(R60-P60)/P60</f>
        <v>0.29029147100041797</v>
      </c>
      <c r="U60" s="183">
        <v>4693867</v>
      </c>
      <c r="V60" s="184">
        <f aca="true" t="shared" si="13" ref="V60:V81">U60/$U$60</f>
        <v>1</v>
      </c>
      <c r="W60" s="185">
        <v>5682601</v>
      </c>
      <c r="X60" s="184">
        <f aca="true" t="shared" si="14" ref="X60:X81">+W60/$W$60</f>
        <v>1</v>
      </c>
      <c r="Y60" s="184">
        <f aca="true" t="shared" si="15" ref="Y60:Y70">(W60-U60)/U60</f>
        <v>0.21064380392542012</v>
      </c>
      <c r="AA60" s="178"/>
      <c r="AB60" s="178"/>
      <c r="AC60" s="178"/>
      <c r="AD60" s="178"/>
      <c r="AE60" s="178"/>
      <c r="AF60" s="178"/>
    </row>
    <row r="61" spans="1:32" ht="15.75" thickBot="1">
      <c r="A61" s="186" t="s">
        <v>45</v>
      </c>
      <c r="B61" s="188">
        <v>-842171</v>
      </c>
      <c r="C61" s="189">
        <f t="shared" si="6"/>
        <v>-0.5498940591505797</v>
      </c>
      <c r="D61" s="190">
        <v>-972781</v>
      </c>
      <c r="E61" s="189">
        <f aca="true" t="shared" si="16" ref="E61:E87">+D61/$D$60</f>
        <v>-0.5635324582034735</v>
      </c>
      <c r="F61" s="189">
        <f t="shared" si="7"/>
        <v>0.1550872685001027</v>
      </c>
      <c r="G61" s="188">
        <v>-1698042</v>
      </c>
      <c r="H61" s="189">
        <f aca="true" t="shared" si="17" ref="H61:H87">+G61/$G$60</f>
        <v>-0.553658736195963</v>
      </c>
      <c r="I61" s="190">
        <v>-2017246</v>
      </c>
      <c r="J61" s="189">
        <f t="shared" si="8"/>
        <v>-0.562941898755372</v>
      </c>
      <c r="K61" s="189">
        <f t="shared" si="9"/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89">
        <f t="shared" si="10"/>
        <v>-0.5584189757332875</v>
      </c>
      <c r="R61" s="190">
        <v>-1187912</v>
      </c>
      <c r="S61" s="189">
        <f t="shared" si="11"/>
        <v>-0.5658876877440512</v>
      </c>
      <c r="T61" s="189">
        <f t="shared" si="12"/>
        <v>0.3075487918036594</v>
      </c>
      <c r="U61" s="188">
        <v>-2606545</v>
      </c>
      <c r="V61" s="189">
        <f t="shared" si="13"/>
        <v>-0.5553086612807734</v>
      </c>
      <c r="W61" s="190">
        <v>-3205158</v>
      </c>
      <c r="X61" s="189">
        <f t="shared" si="14"/>
        <v>-0.5640300981891919</v>
      </c>
      <c r="Y61" s="189">
        <f t="shared" si="15"/>
        <v>0.22965765026116947</v>
      </c>
      <c r="AA61" s="178"/>
      <c r="AB61" s="178"/>
      <c r="AC61" s="178"/>
      <c r="AD61" s="178"/>
      <c r="AE61" s="178"/>
      <c r="AF61" s="178"/>
    </row>
    <row r="62" spans="1:32" ht="15.75" thickBot="1">
      <c r="A62" s="191" t="s">
        <v>95</v>
      </c>
      <c r="B62" s="192">
        <f>SUM(B60:B61)</f>
        <v>689344</v>
      </c>
      <c r="C62" s="193">
        <f t="shared" si="6"/>
        <v>0.45010594084942035</v>
      </c>
      <c r="D62" s="194">
        <f>SUM(D60:D61)</f>
        <v>753439</v>
      </c>
      <c r="E62" s="193">
        <f t="shared" si="16"/>
        <v>0.4364675417965265</v>
      </c>
      <c r="F62" s="193">
        <f t="shared" si="7"/>
        <v>0.09297970244174171</v>
      </c>
      <c r="G62" s="192">
        <f>SUM(G60:G61)</f>
        <v>1368905</v>
      </c>
      <c r="H62" s="193">
        <f t="shared" si="17"/>
        <v>0.44634126380403705</v>
      </c>
      <c r="I62" s="194">
        <f>SUM(I60:I61)</f>
        <v>1566154</v>
      </c>
      <c r="J62" s="193">
        <f t="shared" si="8"/>
        <v>0.437058101244628</v>
      </c>
      <c r="K62" s="193">
        <f t="shared" si="9"/>
        <v>0.14409254111863132</v>
      </c>
      <c r="L62" s="192">
        <f>SUM(L60:L61)</f>
        <v>689344</v>
      </c>
      <c r="M62" s="194">
        <f>SUM(M60:M61)</f>
        <v>753439</v>
      </c>
      <c r="N62" s="192">
        <f>SUM(N60:N61)</f>
        <v>679561</v>
      </c>
      <c r="O62" s="194">
        <f>SUM(O60:O61)</f>
        <v>812715</v>
      </c>
      <c r="P62" s="192">
        <f>SUM(P60:P61)</f>
        <v>718417</v>
      </c>
      <c r="Q62" s="193">
        <f t="shared" si="10"/>
        <v>0.4415810242667126</v>
      </c>
      <c r="R62" s="194">
        <f>SUM(R60:R61)</f>
        <v>911289</v>
      </c>
      <c r="S62" s="193">
        <f t="shared" si="11"/>
        <v>0.4341123122559488</v>
      </c>
      <c r="T62" s="193">
        <f t="shared" si="12"/>
        <v>0.268468034581587</v>
      </c>
      <c r="U62" s="192">
        <f>SUM(U60:U61)</f>
        <v>2087322</v>
      </c>
      <c r="V62" s="193">
        <f t="shared" si="13"/>
        <v>0.4446913387192266</v>
      </c>
      <c r="W62" s="194">
        <f>SUM(W60:W61)</f>
        <v>2477443</v>
      </c>
      <c r="X62" s="193">
        <f t="shared" si="14"/>
        <v>0.43596990181080814</v>
      </c>
      <c r="Y62" s="193">
        <f t="shared" si="15"/>
        <v>0.18690024826069002</v>
      </c>
      <c r="AA62" s="178"/>
      <c r="AB62" s="178"/>
      <c r="AC62" s="178"/>
      <c r="AD62" s="178"/>
      <c r="AE62" s="178"/>
      <c r="AF62" s="178"/>
    </row>
    <row r="63" spans="1:32" ht="15.75" thickBot="1">
      <c r="A63" s="186" t="s">
        <v>170</v>
      </c>
      <c r="B63" s="188">
        <v>-84830</v>
      </c>
      <c r="C63" s="189">
        <f t="shared" si="6"/>
        <v>-0.05538959788183596</v>
      </c>
      <c r="D63" s="190">
        <v>-96265</v>
      </c>
      <c r="E63" s="189">
        <f t="shared" si="16"/>
        <v>-0.05576635654783284</v>
      </c>
      <c r="F63" s="189">
        <f t="shared" si="7"/>
        <v>0.13479900978427442</v>
      </c>
      <c r="G63" s="188">
        <v>-163253</v>
      </c>
      <c r="H63" s="189">
        <f t="shared" si="17"/>
        <v>-0.05322980801428913</v>
      </c>
      <c r="I63" s="190">
        <v>-183083</v>
      </c>
      <c r="J63" s="189">
        <f t="shared" si="8"/>
        <v>-0.0510919796840989</v>
      </c>
      <c r="K63" s="189">
        <f t="shared" si="9"/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89">
        <f t="shared" si="10"/>
        <v>-0.050015981117694785</v>
      </c>
      <c r="R63" s="190">
        <v>-95398</v>
      </c>
      <c r="S63" s="189">
        <f t="shared" si="11"/>
        <v>-0.04544490975375869</v>
      </c>
      <c r="T63" s="189">
        <f t="shared" si="12"/>
        <v>0.17236887381408839</v>
      </c>
      <c r="U63" s="188">
        <v>-244625</v>
      </c>
      <c r="V63" s="189">
        <f t="shared" si="13"/>
        <v>-0.05211587801699537</v>
      </c>
      <c r="W63" s="190">
        <v>-278481</v>
      </c>
      <c r="X63" s="189">
        <f t="shared" si="14"/>
        <v>-0.0490059041625481</v>
      </c>
      <c r="Y63" s="189">
        <f t="shared" si="15"/>
        <v>0.13839959121103731</v>
      </c>
      <c r="AA63" s="178"/>
      <c r="AB63" s="178"/>
      <c r="AC63" s="178"/>
      <c r="AD63" s="178"/>
      <c r="AE63" s="178"/>
      <c r="AF63" s="178"/>
    </row>
    <row r="64" spans="1:32" ht="15.75" thickBot="1">
      <c r="A64" s="186" t="s">
        <v>171</v>
      </c>
      <c r="B64" s="188">
        <v>-382688</v>
      </c>
      <c r="C64" s="189">
        <f t="shared" si="6"/>
        <v>-0.24987545012618226</v>
      </c>
      <c r="D64" s="190">
        <v>-436316</v>
      </c>
      <c r="E64" s="189">
        <f t="shared" si="16"/>
        <v>-0.25275804937956925</v>
      </c>
      <c r="F64" s="189">
        <f t="shared" si="7"/>
        <v>0.14013504473618196</v>
      </c>
      <c r="G64" s="188">
        <v>-786304</v>
      </c>
      <c r="H64" s="189">
        <f t="shared" si="17"/>
        <v>-0.2563800417809633</v>
      </c>
      <c r="I64" s="190">
        <v>-956200</v>
      </c>
      <c r="J64" s="189">
        <f t="shared" si="8"/>
        <v>-0.2668415471340068</v>
      </c>
      <c r="K64" s="189">
        <f t="shared" si="9"/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89">
        <f t="shared" si="10"/>
        <v>-0.26436948344110345</v>
      </c>
      <c r="R64" s="190">
        <v>-561107</v>
      </c>
      <c r="S64" s="189">
        <f t="shared" si="11"/>
        <v>-0.2672955091008436</v>
      </c>
      <c r="T64" s="189">
        <f t="shared" si="12"/>
        <v>0.30457233997042604</v>
      </c>
      <c r="U64" s="188">
        <v>-1216412</v>
      </c>
      <c r="V64" s="189">
        <f t="shared" si="13"/>
        <v>-0.2591492260006515</v>
      </c>
      <c r="W64" s="190">
        <v>-1517307</v>
      </c>
      <c r="X64" s="189">
        <f t="shared" si="14"/>
        <v>-0.26700924453432506</v>
      </c>
      <c r="Y64" s="189">
        <f t="shared" si="15"/>
        <v>0.24736273565206526</v>
      </c>
      <c r="AA64" s="178"/>
      <c r="AB64" s="178"/>
      <c r="AC64" s="178"/>
      <c r="AD64" s="178"/>
      <c r="AE64" s="178"/>
      <c r="AF64" s="178"/>
    </row>
    <row r="65" spans="1:32" ht="15.75" thickBot="1">
      <c r="A65" s="186" t="s">
        <v>172</v>
      </c>
      <c r="B65" s="188">
        <v>-29293</v>
      </c>
      <c r="C65" s="189">
        <f t="shared" si="6"/>
        <v>-0.019126812339415548</v>
      </c>
      <c r="D65" s="190">
        <v>-32449</v>
      </c>
      <c r="E65" s="189">
        <f t="shared" si="16"/>
        <v>-0.018797719873480785</v>
      </c>
      <c r="F65" s="189">
        <f t="shared" si="7"/>
        <v>0.10773905028505104</v>
      </c>
      <c r="G65" s="188">
        <v>-56598</v>
      </c>
      <c r="H65" s="189">
        <f t="shared" si="17"/>
        <v>-0.018454182612219906</v>
      </c>
      <c r="I65" s="190">
        <v>-64633</v>
      </c>
      <c r="J65" s="189">
        <f t="shared" si="8"/>
        <v>-0.01803678071105654</v>
      </c>
      <c r="K65" s="189">
        <f t="shared" si="9"/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89">
        <f t="shared" si="10"/>
        <v>-0.019236348437538416</v>
      </c>
      <c r="R65" s="190">
        <v>-31887</v>
      </c>
      <c r="S65" s="189">
        <f t="shared" si="11"/>
        <v>-0.0151900651724156</v>
      </c>
      <c r="T65" s="189">
        <f t="shared" si="12"/>
        <v>0.01888420245398773</v>
      </c>
      <c r="U65" s="188">
        <v>-87894</v>
      </c>
      <c r="V65" s="189">
        <f t="shared" si="13"/>
        <v>-0.01872528556944626</v>
      </c>
      <c r="W65" s="190">
        <v>-96520</v>
      </c>
      <c r="X65" s="189">
        <f t="shared" si="14"/>
        <v>-0.016985179849861004</v>
      </c>
      <c r="Y65" s="189">
        <f t="shared" si="15"/>
        <v>0.09814094249891915</v>
      </c>
      <c r="AA65" s="178"/>
      <c r="AB65" s="178"/>
      <c r="AC65" s="178"/>
      <c r="AD65" s="178"/>
      <c r="AE65" s="178"/>
      <c r="AF65" s="178"/>
    </row>
    <row r="66" spans="1:32" ht="15.75" thickBot="1">
      <c r="A66" s="186" t="s">
        <v>173</v>
      </c>
      <c r="B66" s="188">
        <v>1077</v>
      </c>
      <c r="C66" s="189">
        <f t="shared" si="6"/>
        <v>0.0007032252377547723</v>
      </c>
      <c r="D66" s="190">
        <v>8166</v>
      </c>
      <c r="E66" s="189">
        <f t="shared" si="16"/>
        <v>0.004730567366847795</v>
      </c>
      <c r="F66" s="189">
        <f t="shared" si="7"/>
        <v>6.582172701949861</v>
      </c>
      <c r="G66" s="188">
        <v>1961</v>
      </c>
      <c r="H66" s="189">
        <f t="shared" si="17"/>
        <v>0.0006393980724153369</v>
      </c>
      <c r="I66" s="190">
        <v>7880</v>
      </c>
      <c r="J66" s="189">
        <f t="shared" si="8"/>
        <v>0.0021990288552771113</v>
      </c>
      <c r="K66" s="189">
        <f t="shared" si="9"/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89">
        <f t="shared" si="10"/>
        <v>0.0011082290462960686</v>
      </c>
      <c r="R66" s="190">
        <v>-4707</v>
      </c>
      <c r="S66" s="189">
        <f t="shared" si="11"/>
        <v>-0.002242281706230132</v>
      </c>
      <c r="T66" s="189">
        <f t="shared" si="12"/>
        <v>-3.610648918469218</v>
      </c>
      <c r="U66" s="188">
        <v>3764</v>
      </c>
      <c r="V66" s="189">
        <f t="shared" si="13"/>
        <v>0.0008018974546999308</v>
      </c>
      <c r="W66" s="190">
        <v>3173</v>
      </c>
      <c r="X66" s="189">
        <f t="shared" si="14"/>
        <v>0.0005583710698674779</v>
      </c>
      <c r="Y66" s="189">
        <f t="shared" si="15"/>
        <v>-0.15701381509032944</v>
      </c>
      <c r="AA66" s="178"/>
      <c r="AB66" s="178"/>
      <c r="AC66" s="178"/>
      <c r="AD66" s="178"/>
      <c r="AE66" s="178"/>
      <c r="AF66" s="178"/>
    </row>
    <row r="67" spans="1:32" ht="15.75" thickBot="1">
      <c r="A67" s="186" t="s">
        <v>174</v>
      </c>
      <c r="B67" s="188">
        <v>2033</v>
      </c>
      <c r="C67" s="189">
        <f t="shared" si="6"/>
        <v>0.001327443740348609</v>
      </c>
      <c r="D67" s="190">
        <v>2206</v>
      </c>
      <c r="E67" s="189">
        <f t="shared" si="16"/>
        <v>0.0012779367635643198</v>
      </c>
      <c r="F67" s="189">
        <f t="shared" si="7"/>
        <v>0.08509591736350221</v>
      </c>
      <c r="G67" s="188">
        <v>-7505</v>
      </c>
      <c r="H67" s="189">
        <f t="shared" si="17"/>
        <v>-0.002447058915592607</v>
      </c>
      <c r="I67" s="190">
        <v>2090</v>
      </c>
      <c r="J67" s="189">
        <f t="shared" si="8"/>
        <v>0.0005832449628844114</v>
      </c>
      <c r="K67" s="189">
        <f t="shared" si="9"/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89">
        <f t="shared" si="10"/>
        <v>-0.005447102500430261</v>
      </c>
      <c r="R67" s="190">
        <v>-3726</v>
      </c>
      <c r="S67" s="189">
        <f t="shared" si="11"/>
        <v>-0.0017749610447022463</v>
      </c>
      <c r="T67" s="189">
        <f t="shared" si="12"/>
        <v>-0.5795531482735274</v>
      </c>
      <c r="U67" s="188">
        <v>-16367</v>
      </c>
      <c r="V67" s="189">
        <f t="shared" si="13"/>
        <v>-0.0034868904466189604</v>
      </c>
      <c r="W67" s="190">
        <v>-1636</v>
      </c>
      <c r="X67" s="189">
        <f t="shared" si="14"/>
        <v>-0.00028789633479457737</v>
      </c>
      <c r="Y67" s="189">
        <f t="shared" si="15"/>
        <v>-0.900042768986375</v>
      </c>
      <c r="AA67" s="178"/>
      <c r="AB67" s="178"/>
      <c r="AC67" s="178"/>
      <c r="AD67" s="178"/>
      <c r="AE67" s="178"/>
      <c r="AF67" s="178"/>
    </row>
    <row r="68" spans="1:32" ht="15.75" thickBot="1">
      <c r="A68" s="182" t="s">
        <v>175</v>
      </c>
      <c r="B68" s="183">
        <f>SUM(B62:B67)</f>
        <v>195643</v>
      </c>
      <c r="C68" s="184">
        <f t="shared" si="6"/>
        <v>0.12774474948009</v>
      </c>
      <c r="D68" s="185">
        <f>SUM(D62:D67)</f>
        <v>198781</v>
      </c>
      <c r="E68" s="184">
        <f t="shared" si="16"/>
        <v>0.11515392012605577</v>
      </c>
      <c r="F68" s="184">
        <f t="shared" si="7"/>
        <v>0.016039418737189677</v>
      </c>
      <c r="G68" s="183">
        <f>SUM(G62:G67)</f>
        <v>357206</v>
      </c>
      <c r="H68" s="184">
        <f t="shared" si="17"/>
        <v>0.11646957055338746</v>
      </c>
      <c r="I68" s="185">
        <f>SUM(I62:I67)</f>
        <v>372208</v>
      </c>
      <c r="J68" s="184">
        <f t="shared" si="8"/>
        <v>0.10387006753362728</v>
      </c>
      <c r="K68" s="184">
        <f t="shared" si="9"/>
        <v>0.041998174722709024</v>
      </c>
      <c r="L68" s="183">
        <f>SUM(L62:L67)</f>
        <v>195643</v>
      </c>
      <c r="M68" s="185">
        <f>SUM(M62:M67)</f>
        <v>198781</v>
      </c>
      <c r="N68" s="183">
        <f>SUM(N62:N67)</f>
        <v>161563</v>
      </c>
      <c r="O68" s="185">
        <f>SUM(O62:O67)</f>
        <v>173427</v>
      </c>
      <c r="P68" s="183">
        <f>SUM(P62:P67)</f>
        <v>168582</v>
      </c>
      <c r="Q68" s="184">
        <f t="shared" si="10"/>
        <v>0.10362033781624173</v>
      </c>
      <c r="R68" s="185">
        <f>SUM(R62:R67)</f>
        <v>214464</v>
      </c>
      <c r="S68" s="184">
        <f t="shared" si="11"/>
        <v>0.10216458547799853</v>
      </c>
      <c r="T68" s="184">
        <f t="shared" si="12"/>
        <v>0.2721642880022778</v>
      </c>
      <c r="U68" s="183">
        <f>SUM(U62:U67)</f>
        <v>525788</v>
      </c>
      <c r="V68" s="184">
        <f t="shared" si="13"/>
        <v>0.11201595614021445</v>
      </c>
      <c r="W68" s="185">
        <f>SUM(W62:W67)</f>
        <v>586672</v>
      </c>
      <c r="X68" s="184">
        <f t="shared" si="14"/>
        <v>0.10324004799914686</v>
      </c>
      <c r="Y68" s="184">
        <f t="shared" si="15"/>
        <v>0.11579571994796382</v>
      </c>
      <c r="AA68" s="178"/>
      <c r="AB68" s="178"/>
      <c r="AC68" s="178"/>
      <c r="AD68" s="178"/>
      <c r="AE68" s="178"/>
      <c r="AF68" s="178"/>
    </row>
    <row r="69" spans="1:32" ht="15.75" thickBot="1">
      <c r="A69" s="186" t="s">
        <v>176</v>
      </c>
      <c r="B69" s="188">
        <v>3334</v>
      </c>
      <c r="C69" s="189">
        <f t="shared" si="6"/>
        <v>0.0021769293803847825</v>
      </c>
      <c r="D69" s="190">
        <v>3035</v>
      </c>
      <c r="E69" s="189">
        <f t="shared" si="16"/>
        <v>0.0017581768256653267</v>
      </c>
      <c r="F69" s="189">
        <f t="shared" si="7"/>
        <v>-0.08968206358728255</v>
      </c>
      <c r="G69" s="188">
        <v>6142</v>
      </c>
      <c r="H69" s="189">
        <f t="shared" si="17"/>
        <v>0.0020026430192631303</v>
      </c>
      <c r="I69" s="190">
        <v>4956</v>
      </c>
      <c r="J69" s="189">
        <f t="shared" si="8"/>
        <v>0.0013830440363900207</v>
      </c>
      <c r="K69" s="189">
        <f t="shared" si="9"/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89">
        <f t="shared" si="10"/>
        <v>0.0010289381161950187</v>
      </c>
      <c r="R69" s="190">
        <v>2291</v>
      </c>
      <c r="S69" s="189">
        <f t="shared" si="11"/>
        <v>0.0010913676203469797</v>
      </c>
      <c r="T69" s="189">
        <f t="shared" si="12"/>
        <v>0.3685782556750299</v>
      </c>
      <c r="U69" s="188">
        <v>7816</v>
      </c>
      <c r="V69" s="189">
        <f t="shared" si="13"/>
        <v>0.0016651515690580922</v>
      </c>
      <c r="W69" s="190">
        <v>7247</v>
      </c>
      <c r="X69" s="189">
        <f t="shared" si="14"/>
        <v>0.0012752962947776907</v>
      </c>
      <c r="Y69" s="189">
        <f t="shared" si="15"/>
        <v>-0.07279938587512794</v>
      </c>
      <c r="AA69" s="178"/>
      <c r="AB69" s="178"/>
      <c r="AC69" s="178"/>
      <c r="AD69" s="178"/>
      <c r="AE69" s="178"/>
      <c r="AF69" s="178"/>
    </row>
    <row r="70" spans="1:32" ht="15.75" thickBot="1">
      <c r="A70" s="186" t="s">
        <v>177</v>
      </c>
      <c r="B70" s="188">
        <v>-40751</v>
      </c>
      <c r="C70" s="189">
        <f t="shared" si="6"/>
        <v>-0.026608293095399</v>
      </c>
      <c r="D70" s="190">
        <v>-50910</v>
      </c>
      <c r="E70" s="189">
        <f t="shared" si="16"/>
        <v>-0.029492185237107667</v>
      </c>
      <c r="F70" s="189">
        <f t="shared" si="7"/>
        <v>0.24929449584059288</v>
      </c>
      <c r="G70" s="188">
        <v>-78242</v>
      </c>
      <c r="H70" s="189">
        <f t="shared" si="17"/>
        <v>-0.025511363580785713</v>
      </c>
      <c r="I70" s="190">
        <v>-110271</v>
      </c>
      <c r="J70" s="189">
        <f t="shared" si="8"/>
        <v>-0.03077272980967796</v>
      </c>
      <c r="K70" s="189">
        <f t="shared" si="9"/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89">
        <f t="shared" si="10"/>
        <v>-0.026860570894696727</v>
      </c>
      <c r="R70" s="190">
        <v>-60813</v>
      </c>
      <c r="S70" s="189">
        <f t="shared" si="11"/>
        <v>-0.02896959366921033</v>
      </c>
      <c r="T70" s="189">
        <f t="shared" si="12"/>
        <v>0.39160183066361554</v>
      </c>
      <c r="U70" s="188">
        <v>-121942</v>
      </c>
      <c r="V70" s="189">
        <f t="shared" si="13"/>
        <v>-0.025979006222374857</v>
      </c>
      <c r="W70" s="190">
        <v>-171084</v>
      </c>
      <c r="X70" s="189">
        <f t="shared" si="14"/>
        <v>-0.03010663602811459</v>
      </c>
      <c r="Y70" s="189">
        <f t="shared" si="15"/>
        <v>0.40299486641190074</v>
      </c>
      <c r="AA70" s="178"/>
      <c r="AB70" s="178"/>
      <c r="AC70" s="178"/>
      <c r="AD70" s="178"/>
      <c r="AE70" s="178"/>
      <c r="AF70" s="178"/>
    </row>
    <row r="71" spans="1:32" ht="15.75" thickBot="1">
      <c r="A71" s="186" t="s">
        <v>195</v>
      </c>
      <c r="B71" s="188">
        <v>43363</v>
      </c>
      <c r="C71" s="189">
        <f t="shared" si="6"/>
        <v>0.02831379385771605</v>
      </c>
      <c r="D71" s="190">
        <v>46468</v>
      </c>
      <c r="E71" s="189">
        <f t="shared" si="16"/>
        <v>0.026918932696875255</v>
      </c>
      <c r="F71" s="189">
        <f t="shared" si="7"/>
        <v>0.07160482438945645</v>
      </c>
      <c r="G71" s="188">
        <v>43363</v>
      </c>
      <c r="H71" s="189">
        <f t="shared" si="17"/>
        <v>0.01413881622343001</v>
      </c>
      <c r="I71" s="190">
        <v>46962</v>
      </c>
      <c r="J71" s="189">
        <f t="shared" si="8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89">
        <f t="shared" si="10"/>
        <v>1.843975118629066E-06</v>
      </c>
      <c r="R71" s="190">
        <v>0</v>
      </c>
      <c r="S71" s="189">
        <f t="shared" si="11"/>
        <v>0</v>
      </c>
      <c r="T71" s="189" t="s">
        <v>88</v>
      </c>
      <c r="U71" s="188">
        <v>43366</v>
      </c>
      <c r="V71" s="189">
        <f t="shared" si="13"/>
        <v>0.009238864245620934</v>
      </c>
      <c r="W71" s="190">
        <v>46962</v>
      </c>
      <c r="X71" s="189">
        <f t="shared" si="14"/>
        <v>0.008264173395246297</v>
      </c>
      <c r="Y71" s="189" t="s">
        <v>88</v>
      </c>
      <c r="AA71" s="178"/>
      <c r="AB71" s="178"/>
      <c r="AC71" s="178"/>
      <c r="AD71" s="178"/>
      <c r="AE71" s="178"/>
      <c r="AF71" s="178"/>
    </row>
    <row r="72" spans="1:32" ht="15.75" thickBot="1">
      <c r="A72" s="186" t="s">
        <v>178</v>
      </c>
      <c r="B72" s="188">
        <v>6535</v>
      </c>
      <c r="C72" s="189">
        <f t="shared" si="6"/>
        <v>0.004267016646914983</v>
      </c>
      <c r="D72" s="190">
        <v>5949</v>
      </c>
      <c r="E72" s="189">
        <f t="shared" si="16"/>
        <v>0.003446258298478757</v>
      </c>
      <c r="F72" s="189">
        <f t="shared" si="7"/>
        <v>-0.08967100229533283</v>
      </c>
      <c r="G72" s="188">
        <v>-997</v>
      </c>
      <c r="H72" s="189">
        <f t="shared" si="17"/>
        <v>-0.00032507897919331505</v>
      </c>
      <c r="I72" s="190">
        <v>12914</v>
      </c>
      <c r="J72" s="189">
        <f t="shared" si="8"/>
        <v>0.0036038399285594686</v>
      </c>
      <c r="K72" s="189">
        <f aca="true" t="shared" si="18" ref="K72:K81"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89">
        <f t="shared" si="10"/>
        <v>-0.0012563617141592702</v>
      </c>
      <c r="R72" s="190">
        <v>1857</v>
      </c>
      <c r="S72" s="189">
        <f t="shared" si="11"/>
        <v>0.0008846222920053868</v>
      </c>
      <c r="T72" s="189">
        <f aca="true" t="shared" si="19" ref="T72:T81">(R72-P72)/P72</f>
        <v>-1.9085127201565557</v>
      </c>
      <c r="U72" s="188">
        <v>-3041</v>
      </c>
      <c r="V72" s="189">
        <f t="shared" si="13"/>
        <v>-0.0006478666736829143</v>
      </c>
      <c r="W72" s="190">
        <v>14771</v>
      </c>
      <c r="X72" s="189">
        <f t="shared" si="14"/>
        <v>0.0025993378736251234</v>
      </c>
      <c r="Y72" s="189">
        <f aca="true" t="shared" si="20" ref="Y72:Y81">(W72-U72)/U72</f>
        <v>-5.857283788227557</v>
      </c>
      <c r="AA72" s="178"/>
      <c r="AB72" s="178"/>
      <c r="AC72" s="178"/>
      <c r="AD72" s="178"/>
      <c r="AE72" s="178"/>
      <c r="AF72" s="178"/>
    </row>
    <row r="73" spans="1:32" ht="15.75" thickBot="1">
      <c r="A73" s="186" t="s">
        <v>179</v>
      </c>
      <c r="B73" s="188">
        <v>-6192</v>
      </c>
      <c r="C73" s="189">
        <f t="shared" si="6"/>
        <v>-0.004043055405921587</v>
      </c>
      <c r="D73" s="190">
        <v>-4194</v>
      </c>
      <c r="E73" s="189">
        <f t="shared" si="16"/>
        <v>-0.002429586031907868</v>
      </c>
      <c r="F73" s="189">
        <f t="shared" si="7"/>
        <v>-0.3226744186046512</v>
      </c>
      <c r="G73" s="188">
        <v>-8353</v>
      </c>
      <c r="H73" s="189">
        <f t="shared" si="17"/>
        <v>-0.00272355537933978</v>
      </c>
      <c r="I73" s="190">
        <v>-7366</v>
      </c>
      <c r="J73" s="189">
        <f t="shared" si="8"/>
        <v>-0.002055589663448122</v>
      </c>
      <c r="K73" s="189">
        <f t="shared" si="18"/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89">
        <f t="shared" si="10"/>
        <v>-0.00215868020554176</v>
      </c>
      <c r="R73" s="190">
        <v>-10010</v>
      </c>
      <c r="S73" s="189">
        <f t="shared" si="11"/>
        <v>-0.004768480960136738</v>
      </c>
      <c r="T73" s="189">
        <f t="shared" si="19"/>
        <v>1.8502277904328017</v>
      </c>
      <c r="U73" s="188">
        <v>-11865</v>
      </c>
      <c r="V73" s="189">
        <f t="shared" si="13"/>
        <v>-0.0025277665515448136</v>
      </c>
      <c r="W73" s="190">
        <v>-17376</v>
      </c>
      <c r="X73" s="189">
        <f t="shared" si="14"/>
        <v>-0.0030577547147864156</v>
      </c>
      <c r="Y73" s="189">
        <f t="shared" si="20"/>
        <v>0.46447534766118836</v>
      </c>
      <c r="AA73" s="178"/>
      <c r="AB73" s="178"/>
      <c r="AC73" s="178"/>
      <c r="AD73" s="178"/>
      <c r="AE73" s="178"/>
      <c r="AF73" s="178"/>
    </row>
    <row r="74" spans="1:32" ht="15.75" thickBot="1">
      <c r="A74" s="186" t="s">
        <v>180</v>
      </c>
      <c r="B74" s="187">
        <v>1468</v>
      </c>
      <c r="C74" s="189">
        <f t="shared" si="6"/>
        <v>0.0009585279935227536</v>
      </c>
      <c r="D74" s="195">
        <v>390</v>
      </c>
      <c r="E74" s="189">
        <f t="shared" si="16"/>
        <v>0.00022592717034908643</v>
      </c>
      <c r="F74" s="189">
        <f t="shared" si="7"/>
        <v>-0.7343324250681199</v>
      </c>
      <c r="G74" s="187">
        <v>2828</v>
      </c>
      <c r="H74" s="189">
        <f t="shared" si="17"/>
        <v>0.0009220896220247692</v>
      </c>
      <c r="I74" s="195">
        <v>1148</v>
      </c>
      <c r="J74" s="189">
        <f t="shared" si="8"/>
        <v>0.0003203661327231121</v>
      </c>
      <c r="K74" s="189">
        <f t="shared" si="18"/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89">
        <f t="shared" si="10"/>
        <v>0.0005458166351142035</v>
      </c>
      <c r="R74" s="195">
        <v>703</v>
      </c>
      <c r="S74" s="189">
        <f t="shared" si="11"/>
        <v>0.0003348893221754372</v>
      </c>
      <c r="T74" s="189">
        <f t="shared" si="19"/>
        <v>-0.20833333333333334</v>
      </c>
      <c r="U74" s="187">
        <v>3716</v>
      </c>
      <c r="V74" s="189">
        <f t="shared" si="13"/>
        <v>0.0007916713447568924</v>
      </c>
      <c r="W74" s="195">
        <v>1851</v>
      </c>
      <c r="X74" s="189">
        <f t="shared" si="14"/>
        <v>0.0003257311220689258</v>
      </c>
      <c r="Y74" s="189">
        <f t="shared" si="20"/>
        <v>-0.5018837459634015</v>
      </c>
      <c r="AA74" s="178"/>
      <c r="AB74" s="178"/>
      <c r="AC74" s="178"/>
      <c r="AD74" s="178"/>
      <c r="AE74" s="178"/>
      <c r="AF74" s="178"/>
    </row>
    <row r="75" spans="1:32" ht="15.75" thickBot="1">
      <c r="A75" s="186" t="s">
        <v>181</v>
      </c>
      <c r="B75" s="187">
        <v>3206</v>
      </c>
      <c r="C75" s="189">
        <f t="shared" si="6"/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17"/>
        <v>0.0012269530578780787</v>
      </c>
      <c r="I75" s="195">
        <v>62</v>
      </c>
      <c r="J75" s="189">
        <f t="shared" si="8"/>
        <v>1.7302003683652397E-05</v>
      </c>
      <c r="K75" s="189">
        <f t="shared" si="18"/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89">
        <f t="shared" si="10"/>
        <v>0</v>
      </c>
      <c r="R75" s="195">
        <v>20</v>
      </c>
      <c r="S75" s="189">
        <f t="shared" si="11"/>
        <v>9.527434485787687E-06</v>
      </c>
      <c r="T75" s="189" t="e">
        <f t="shared" si="19"/>
        <v>#DIV/0!</v>
      </c>
      <c r="U75" s="187">
        <v>3763</v>
      </c>
      <c r="V75" s="189">
        <f t="shared" si="13"/>
        <v>0.0008016844107427842</v>
      </c>
      <c r="W75" s="195">
        <v>82</v>
      </c>
      <c r="X75" s="189">
        <f t="shared" si="14"/>
        <v>1.443001189068175E-05</v>
      </c>
      <c r="Y75" s="189">
        <f t="shared" si="20"/>
        <v>-0.9782088758968908</v>
      </c>
      <c r="AA75" s="178"/>
      <c r="AB75" s="178"/>
      <c r="AC75" s="178"/>
      <c r="AD75" s="178"/>
      <c r="AE75" s="178"/>
      <c r="AF75" s="178"/>
    </row>
    <row r="76" spans="1:32" ht="15.75" thickBot="1">
      <c r="A76" s="191" t="s">
        <v>182</v>
      </c>
      <c r="B76" s="192">
        <f>SUM(B68:B75)</f>
        <v>206606</v>
      </c>
      <c r="C76" s="193">
        <f t="shared" si="6"/>
        <v>0.1349030208649605</v>
      </c>
      <c r="D76" s="194">
        <f>SUM(D68:D75)</f>
        <v>199519</v>
      </c>
      <c r="E76" s="193">
        <f t="shared" si="16"/>
        <v>0.11558144384840865</v>
      </c>
      <c r="F76" s="193">
        <f aca="true" t="shared" si="21" ref="F76:F81">(D76-B76)/B76</f>
        <v>-0.03430200478204892</v>
      </c>
      <c r="G76" s="192">
        <f>SUM(G68:G75)</f>
        <v>325710</v>
      </c>
      <c r="H76" s="193">
        <f t="shared" si="17"/>
        <v>0.10620007453666463</v>
      </c>
      <c r="I76" s="194">
        <f>SUM(I68:I75)</f>
        <v>320613</v>
      </c>
      <c r="J76" s="193">
        <f t="shared" si="8"/>
        <v>0.08947173075849751</v>
      </c>
      <c r="K76" s="193">
        <f t="shared" si="18"/>
        <v>-0.015648890116975223</v>
      </c>
      <c r="L76" s="192">
        <f>SUM(L68:L75)</f>
        <v>206606</v>
      </c>
      <c r="M76" s="194">
        <f>SUM(M68:M75)</f>
        <v>199519</v>
      </c>
      <c r="N76" s="192">
        <f>SUM(N68:N75)</f>
        <v>119104</v>
      </c>
      <c r="O76" s="194">
        <f>SUM(O68:O75)</f>
        <v>121094</v>
      </c>
      <c r="P76" s="192">
        <f>SUM(P68:P75)</f>
        <v>121891</v>
      </c>
      <c r="Q76" s="193">
        <f t="shared" si="10"/>
        <v>0.07492132372827183</v>
      </c>
      <c r="R76" s="194">
        <f>SUM(R68:R75)</f>
        <v>148512</v>
      </c>
      <c r="S76" s="193">
        <f t="shared" si="11"/>
        <v>0.07074691751766506</v>
      </c>
      <c r="T76" s="193">
        <f t="shared" si="19"/>
        <v>0.2184000459426865</v>
      </c>
      <c r="U76" s="192">
        <f>SUM(U68:U75)</f>
        <v>447601</v>
      </c>
      <c r="V76" s="193">
        <f t="shared" si="13"/>
        <v>0.09535868826279058</v>
      </c>
      <c r="W76" s="194">
        <f>SUM(W68:W75)</f>
        <v>469125</v>
      </c>
      <c r="X76" s="193">
        <f t="shared" si="14"/>
        <v>0.08255462595385459</v>
      </c>
      <c r="Y76" s="193">
        <f t="shared" si="20"/>
        <v>0.04808747076078918</v>
      </c>
      <c r="AA76" s="178"/>
      <c r="AB76" s="178"/>
      <c r="AC76" s="178"/>
      <c r="AD76" s="178"/>
      <c r="AE76" s="178"/>
      <c r="AF76" s="178"/>
    </row>
    <row r="77" spans="1:32" ht="15.75" thickBot="1">
      <c r="A77" s="186" t="s">
        <v>183</v>
      </c>
      <c r="B77" s="188">
        <v>-36515</v>
      </c>
      <c r="C77" s="189">
        <f t="shared" si="6"/>
        <v>-0.02384240441654179</v>
      </c>
      <c r="D77" s="190">
        <v>-51436</v>
      </c>
      <c r="E77" s="189">
        <f t="shared" si="16"/>
        <v>-0.02979689726686054</v>
      </c>
      <c r="F77" s="189">
        <f t="shared" si="21"/>
        <v>0.4086265918115843</v>
      </c>
      <c r="G77" s="188">
        <v>-55182</v>
      </c>
      <c r="H77" s="189">
        <f t="shared" si="17"/>
        <v>-0.01799248568690623</v>
      </c>
      <c r="I77" s="190">
        <v>-89862</v>
      </c>
      <c r="J77" s="189">
        <f t="shared" si="8"/>
        <v>-0.02507730088742535</v>
      </c>
      <c r="K77" s="189">
        <f t="shared" si="18"/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89">
        <f t="shared" si="10"/>
        <v>-0.02066727312959457</v>
      </c>
      <c r="R77" s="190">
        <v>-47784</v>
      </c>
      <c r="S77" s="189">
        <f t="shared" si="11"/>
        <v>-0.022762946473443943</v>
      </c>
      <c r="T77" s="189">
        <f t="shared" si="19"/>
        <v>0.4211277658815132</v>
      </c>
      <c r="U77" s="188">
        <v>-88806</v>
      </c>
      <c r="V77" s="189">
        <f t="shared" si="13"/>
        <v>-0.01891958165836399</v>
      </c>
      <c r="W77" s="190">
        <v>-137646</v>
      </c>
      <c r="X77" s="189">
        <f t="shared" si="14"/>
        <v>-0.024222358740302197</v>
      </c>
      <c r="Y77" s="189">
        <f t="shared" si="20"/>
        <v>0.5499628403486251</v>
      </c>
      <c r="AA77" s="178"/>
      <c r="AB77" s="178"/>
      <c r="AC77" s="178"/>
      <c r="AD77" s="178"/>
      <c r="AE77" s="178"/>
      <c r="AF77" s="178"/>
    </row>
    <row r="78" spans="1:32" ht="15.75" thickBot="1">
      <c r="A78" s="196" t="s">
        <v>184</v>
      </c>
      <c r="B78" s="197">
        <v>-10883</v>
      </c>
      <c r="C78" s="198">
        <f t="shared" si="6"/>
        <v>-0.007106035526912894</v>
      </c>
      <c r="D78" s="199">
        <v>3407</v>
      </c>
      <c r="E78" s="198">
        <f t="shared" si="16"/>
        <v>0.0019736765881521474</v>
      </c>
      <c r="F78" s="198">
        <f t="shared" si="21"/>
        <v>-1.3130570614720205</v>
      </c>
      <c r="G78" s="197">
        <v>-9635</v>
      </c>
      <c r="H78" s="198">
        <f t="shared" si="17"/>
        <v>-0.0031415606464669913</v>
      </c>
      <c r="I78" s="199">
        <v>4815</v>
      </c>
      <c r="J78" s="198">
        <f t="shared" si="8"/>
        <v>0.0013436959312384887</v>
      </c>
      <c r="K78" s="198">
        <f t="shared" si="18"/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8">
        <f t="shared" si="10"/>
        <v>-0.007539399601701374</v>
      </c>
      <c r="R78" s="199">
        <v>-3491</v>
      </c>
      <c r="S78" s="198">
        <f t="shared" si="11"/>
        <v>-0.0016630136894942409</v>
      </c>
      <c r="T78" s="198">
        <f t="shared" si="19"/>
        <v>-0.7153921408772216</v>
      </c>
      <c r="U78" s="197">
        <v>-21901</v>
      </c>
      <c r="V78" s="198">
        <f t="shared" si="13"/>
        <v>-0.0046658757054684336</v>
      </c>
      <c r="W78" s="199">
        <v>1324</v>
      </c>
      <c r="X78" s="198">
        <f t="shared" si="14"/>
        <v>0.00023299189930808093</v>
      </c>
      <c r="Y78" s="198">
        <f t="shared" si="20"/>
        <v>-1.0604538605543126</v>
      </c>
      <c r="AA78" s="178"/>
      <c r="AB78" s="178"/>
      <c r="AC78" s="178"/>
      <c r="AD78" s="178"/>
      <c r="AE78" s="178"/>
      <c r="AF78" s="178"/>
    </row>
    <row r="79" spans="1:32" ht="15.75" thickBot="1">
      <c r="A79" s="191" t="s">
        <v>185</v>
      </c>
      <c r="B79" s="192">
        <f>SUM(B76:B78)</f>
        <v>159208</v>
      </c>
      <c r="C79" s="193">
        <f t="shared" si="6"/>
        <v>0.10395458092150583</v>
      </c>
      <c r="D79" s="194">
        <f>SUM(D76:D78)</f>
        <v>151490</v>
      </c>
      <c r="E79" s="193">
        <f t="shared" si="16"/>
        <v>0.08775822316970026</v>
      </c>
      <c r="F79" s="193">
        <f t="shared" si="21"/>
        <v>-0.04847746344404804</v>
      </c>
      <c r="G79" s="192">
        <f>SUM(G76:G78)</f>
        <v>260893</v>
      </c>
      <c r="H79" s="193">
        <f t="shared" si="17"/>
        <v>0.08506602820329141</v>
      </c>
      <c r="I79" s="194">
        <f>SUM(I76:I78)</f>
        <v>235566</v>
      </c>
      <c r="J79" s="193">
        <f t="shared" si="8"/>
        <v>0.06573812580231066</v>
      </c>
      <c r="K79" s="193">
        <f t="shared" si="18"/>
        <v>-0.09707811248289529</v>
      </c>
      <c r="L79" s="192">
        <f>SUM(L76:L78)</f>
        <v>159208</v>
      </c>
      <c r="M79" s="194">
        <f>SUM(M76:M78)</f>
        <v>151490</v>
      </c>
      <c r="N79" s="192">
        <f>SUM(N76:N78)</f>
        <v>101685</v>
      </c>
      <c r="O79" s="194">
        <f>SUM(O76:O78)</f>
        <v>84076</v>
      </c>
      <c r="P79" s="192">
        <f>SUM(P76:P78)</f>
        <v>76001</v>
      </c>
      <c r="Q79" s="193">
        <f t="shared" si="10"/>
        <v>0.04671465099697588</v>
      </c>
      <c r="R79" s="194">
        <f>SUM(R76:R78)</f>
        <v>97237</v>
      </c>
      <c r="S79" s="193">
        <f t="shared" si="11"/>
        <v>0.04632095735472687</v>
      </c>
      <c r="T79" s="193">
        <f t="shared" si="19"/>
        <v>0.2794173760871567</v>
      </c>
      <c r="U79" s="192">
        <f>SUM(U76:U78)</f>
        <v>336894</v>
      </c>
      <c r="V79" s="193">
        <f t="shared" si="13"/>
        <v>0.07177323089895815</v>
      </c>
      <c r="W79" s="194">
        <f>SUM(W76:W78)</f>
        <v>332803</v>
      </c>
      <c r="X79" s="193">
        <f t="shared" si="14"/>
        <v>0.058565259112860465</v>
      </c>
      <c r="Y79" s="193">
        <f t="shared" si="20"/>
        <v>-0.012143285425089197</v>
      </c>
      <c r="AA79" s="178"/>
      <c r="AB79" s="178"/>
      <c r="AC79" s="178"/>
      <c r="AD79" s="178"/>
      <c r="AE79" s="178"/>
      <c r="AF79" s="178"/>
    </row>
    <row r="80" spans="1:32" ht="15.75" thickBot="1">
      <c r="A80" s="186" t="s">
        <v>186</v>
      </c>
      <c r="B80" s="187">
        <v>254</v>
      </c>
      <c r="C80" s="189">
        <f t="shared" si="6"/>
        <v>0.0001658488490155173</v>
      </c>
      <c r="D80" s="195">
        <v>-304</v>
      </c>
      <c r="E80" s="189">
        <f t="shared" si="16"/>
        <v>-0.00017610733278492893</v>
      </c>
      <c r="F80" s="189">
        <f t="shared" si="21"/>
        <v>-2.1968503937007875</v>
      </c>
      <c r="G80" s="187">
        <v>-8278</v>
      </c>
      <c r="H80" s="189">
        <f t="shared" si="17"/>
        <v>-0.002699101093041386</v>
      </c>
      <c r="I80" s="195">
        <v>-4314</v>
      </c>
      <c r="J80" s="189">
        <f t="shared" si="8"/>
        <v>-0.0012038845788915555</v>
      </c>
      <c r="K80" s="189">
        <f t="shared" si="18"/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89">
        <f t="shared" si="10"/>
        <v>-0.0014776387283947582</v>
      </c>
      <c r="R80" s="195">
        <v>-446</v>
      </c>
      <c r="S80" s="189">
        <f t="shared" si="11"/>
        <v>-0.00021246178903306544</v>
      </c>
      <c r="T80" s="189">
        <f t="shared" si="19"/>
        <v>-0.8144758735440932</v>
      </c>
      <c r="U80" s="187">
        <v>-10682</v>
      </c>
      <c r="V80" s="189">
        <f t="shared" si="13"/>
        <v>-0.0022757355502403456</v>
      </c>
      <c r="W80" s="195">
        <v>-4760</v>
      </c>
      <c r="X80" s="189">
        <f t="shared" si="14"/>
        <v>-0.0008376445926785991</v>
      </c>
      <c r="Y80" s="189">
        <f t="shared" si="20"/>
        <v>-0.5543905635648755</v>
      </c>
      <c r="AA80" s="178"/>
      <c r="AB80" s="178"/>
      <c r="AC80" s="178"/>
      <c r="AD80" s="178"/>
      <c r="AE80" s="178"/>
      <c r="AF80" s="178"/>
    </row>
    <row r="81" spans="1:32" ht="15">
      <c r="A81" s="200" t="s">
        <v>187</v>
      </c>
      <c r="B81" s="203">
        <f>SUM(B79:B80)</f>
        <v>159462</v>
      </c>
      <c r="C81" s="202">
        <f t="shared" si="6"/>
        <v>0.10412042977052134</v>
      </c>
      <c r="D81" s="203">
        <f>SUM(D79:D80)</f>
        <v>151186</v>
      </c>
      <c r="E81" s="202">
        <f t="shared" si="16"/>
        <v>0.08758211583691534</v>
      </c>
      <c r="F81" s="202">
        <f t="shared" si="21"/>
        <v>-0.05189951210946809</v>
      </c>
      <c r="G81" s="203">
        <f>SUM(G79:G80)</f>
        <v>252615</v>
      </c>
      <c r="H81" s="202">
        <f t="shared" si="17"/>
        <v>0.08236692711025002</v>
      </c>
      <c r="I81" s="203">
        <f>SUM(I79:I80)</f>
        <v>231252</v>
      </c>
      <c r="J81" s="202">
        <f t="shared" si="8"/>
        <v>0.0645342412234191</v>
      </c>
      <c r="K81" s="202">
        <f t="shared" si="18"/>
        <v>-0.08456742473724838</v>
      </c>
      <c r="L81" s="203">
        <f>SUM(L79:L80)</f>
        <v>159462</v>
      </c>
      <c r="M81" s="203">
        <f>SUM(M79:M80)</f>
        <v>151186</v>
      </c>
      <c r="N81" s="203">
        <f>SUM(N79:N80)</f>
        <v>93153</v>
      </c>
      <c r="O81" s="203">
        <f>SUM(O79:O80)</f>
        <v>80066</v>
      </c>
      <c r="P81" s="203">
        <f>SUM(P79:P80)</f>
        <v>73597</v>
      </c>
      <c r="Q81" s="202">
        <f t="shared" si="10"/>
        <v>0.04523701226858112</v>
      </c>
      <c r="R81" s="203">
        <f>SUM(R79:R80)</f>
        <v>96791</v>
      </c>
      <c r="S81" s="202">
        <f t="shared" si="11"/>
        <v>0.046108495565693804</v>
      </c>
      <c r="T81" s="202">
        <f t="shared" si="19"/>
        <v>0.31514871530089544</v>
      </c>
      <c r="U81" s="203">
        <f>SUM(U79:U80)</f>
        <v>326212</v>
      </c>
      <c r="V81" s="202">
        <f t="shared" si="13"/>
        <v>0.06949749534871781</v>
      </c>
      <c r="W81" s="203">
        <f>SUM(W79:W80)</f>
        <v>328043</v>
      </c>
      <c r="X81" s="202">
        <f t="shared" si="14"/>
        <v>0.057727614520181866</v>
      </c>
      <c r="Y81" s="202">
        <f t="shared" si="20"/>
        <v>0.005612914301129327</v>
      </c>
      <c r="AA81" s="178"/>
      <c r="AB81" s="178"/>
      <c r="AC81" s="178"/>
      <c r="AD81" s="178"/>
      <c r="AE81" s="178"/>
      <c r="AF81" s="178"/>
    </row>
    <row r="82" spans="1:32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7"/>
      <c r="R82" s="209"/>
      <c r="S82" s="207"/>
      <c r="T82" s="207"/>
      <c r="U82" s="206"/>
      <c r="V82" s="207"/>
      <c r="W82" s="209"/>
      <c r="X82" s="207"/>
      <c r="Y82" s="207"/>
      <c r="AA82" s="178"/>
      <c r="AB82" s="178"/>
      <c r="AC82" s="178"/>
      <c r="AD82" s="178"/>
      <c r="AE82" s="178"/>
      <c r="AF82" s="178"/>
    </row>
    <row r="83" spans="1:32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3"/>
      <c r="R83" s="215"/>
      <c r="S83" s="213"/>
      <c r="T83" s="213"/>
      <c r="U83" s="212"/>
      <c r="V83" s="213"/>
      <c r="W83" s="215"/>
      <c r="X83" s="213"/>
      <c r="Y83" s="213"/>
      <c r="AA83" s="178"/>
      <c r="AB83" s="178"/>
      <c r="AC83" s="178"/>
      <c r="AD83" s="178"/>
      <c r="AE83" s="178"/>
      <c r="AF83" s="178"/>
    </row>
    <row r="84" spans="1:32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16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17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>+L81-L85</f>
        <v>158694</v>
      </c>
      <c r="M84" s="217">
        <f>+M81-M85</f>
        <v>150991</v>
      </c>
      <c r="N84" s="188">
        <f>+N81-N85</f>
        <v>92533</v>
      </c>
      <c r="O84" s="217">
        <f>+O81-O85</f>
        <v>79293</v>
      </c>
      <c r="P84" s="188">
        <f>+P81-P85</f>
        <v>73285</v>
      </c>
      <c r="Q84" s="189">
        <f>+P84/$P$60</f>
        <v>0.0450452388562437</v>
      </c>
      <c r="R84" s="217">
        <v>95871</v>
      </c>
      <c r="S84" s="189">
        <f>+R84/$R$60</f>
        <v>0.04567023357934757</v>
      </c>
      <c r="T84" s="189">
        <f>(R84-P84)/P84</f>
        <v>0.3081940369789179</v>
      </c>
      <c r="U84" s="188">
        <f>+U81-U85</f>
        <v>324512</v>
      </c>
      <c r="V84" s="189">
        <f>U84/$U$60</f>
        <v>0.06913532062156853</v>
      </c>
      <c r="W84" s="217">
        <f>+W81-W85</f>
        <v>326155</v>
      </c>
      <c r="X84" s="189">
        <f>+W84/$W$60</f>
        <v>0.05739537229518666</v>
      </c>
      <c r="Y84" s="189">
        <f>(W84-U84)/U84</f>
        <v>0.005062986884922591</v>
      </c>
      <c r="AA84" s="178"/>
      <c r="AB84" s="178"/>
      <c r="AC84" s="178"/>
      <c r="AD84" s="178"/>
      <c r="AE84" s="178"/>
      <c r="AF84" s="178"/>
    </row>
    <row r="85" spans="1:32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16"/>
        <v>0.00011296358517454322</v>
      </c>
      <c r="F85" s="198">
        <f>(D85-B85)/B85</f>
        <v>-0.74609375</v>
      </c>
      <c r="G85" s="219">
        <v>1388</v>
      </c>
      <c r="H85" s="198">
        <f t="shared" si="17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198">
        <f>+P85/$P$60</f>
        <v>0.00019177341233742287</v>
      </c>
      <c r="R85" s="220">
        <v>920</v>
      </c>
      <c r="S85" s="198">
        <f>+R85/$R$60</f>
        <v>0.00043826198634623365</v>
      </c>
      <c r="T85" s="198">
        <f>(R85-P85)/P85</f>
        <v>1.9487179487179487</v>
      </c>
      <c r="U85" s="219">
        <v>1700</v>
      </c>
      <c r="V85" s="198">
        <f>U85/$U$60</f>
        <v>0.00036217472714927796</v>
      </c>
      <c r="W85" s="220">
        <v>1888</v>
      </c>
      <c r="X85" s="198">
        <f>+W85/$W$60</f>
        <v>0.00033224222499520905</v>
      </c>
      <c r="Y85" s="198">
        <f>(W85-U85)/U85</f>
        <v>0.11058823529411765</v>
      </c>
      <c r="AA85" s="178"/>
      <c r="AB85" s="178"/>
      <c r="AC85" s="178"/>
      <c r="AD85" s="178"/>
      <c r="AE85" s="178"/>
      <c r="AF85" s="178"/>
    </row>
    <row r="86" spans="1:32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16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17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193">
        <f>+P86/$P$60</f>
        <v>0.04523701226858112</v>
      </c>
      <c r="R86" s="222">
        <f>SUM(R84:R85)</f>
        <v>96791</v>
      </c>
      <c r="S86" s="193">
        <f>+R86/$R$60</f>
        <v>0.046108495565693804</v>
      </c>
      <c r="T86" s="193">
        <f>(R86-P86)/P86</f>
        <v>0.31514871530089544</v>
      </c>
      <c r="U86" s="192">
        <f>SUM(U84:U85)</f>
        <v>326212</v>
      </c>
      <c r="V86" s="193">
        <f>U86/$U$60</f>
        <v>0.06949749534871781</v>
      </c>
      <c r="W86" s="222">
        <f>SUM(W84:W85)</f>
        <v>328043</v>
      </c>
      <c r="X86" s="193">
        <f>+W86/$W$60</f>
        <v>0.057727614520181866</v>
      </c>
      <c r="Y86" s="193">
        <f>(W86-U86)/U86</f>
        <v>0.005612914301129327</v>
      </c>
      <c r="AA86" s="178"/>
      <c r="AB86" s="178"/>
      <c r="AC86" s="178"/>
      <c r="AD86" s="178"/>
      <c r="AE86" s="178"/>
      <c r="AF86" s="178"/>
    </row>
    <row r="87" spans="1:32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16"/>
        <v>0.13608694140955382</v>
      </c>
      <c r="F87" s="202">
        <f>(D87-B87)/B87</f>
        <v>-0.008667763851964383</v>
      </c>
      <c r="G87" s="203">
        <v>437041</v>
      </c>
      <c r="H87" s="202">
        <f t="shared" si="17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2">
        <f>+P87/$P$60</f>
        <v>0.12786307870085806</v>
      </c>
      <c r="R87" s="203">
        <v>270787</v>
      </c>
      <c r="S87" s="202">
        <f>+R87/$R$60</f>
        <v>0.12899527010514952</v>
      </c>
      <c r="T87" s="202">
        <f>(R87-P87)/P87</f>
        <v>0.3017166371026281</v>
      </c>
      <c r="U87" s="203">
        <v>645064</v>
      </c>
      <c r="V87" s="202">
        <f>U87/$U$60</f>
        <v>0.13742698717283638</v>
      </c>
      <c r="W87" s="203">
        <v>729670</v>
      </c>
      <c r="X87" s="202">
        <f>+W87/$W$60</f>
        <v>0.1284042289789482</v>
      </c>
      <c r="Y87" s="202">
        <f>(W87-U87)/U87</f>
        <v>0.1311590787890814</v>
      </c>
      <c r="AA87" s="178"/>
      <c r="AB87" s="178"/>
      <c r="AC87" s="178"/>
      <c r="AD87" s="178"/>
      <c r="AE87" s="178"/>
      <c r="AF87" s="178"/>
    </row>
    <row r="88" ht="15">
      <c r="AZ88" s="17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88"/>
  <sheetViews>
    <sheetView zoomScalePageLayoutView="0" workbookViewId="0" topLeftCell="O43">
      <selection activeCell="A2" sqref="A2"/>
    </sheetView>
  </sheetViews>
  <sheetFormatPr defaultColWidth="11.421875" defaultRowHeight="12.75"/>
  <cols>
    <col min="1" max="1" width="56.28125" style="143" bestFit="1" customWidth="1"/>
    <col min="2" max="16" width="11.421875" style="143" customWidth="1"/>
    <col min="17" max="17" width="10.57421875" style="143" bestFit="1" customWidth="1"/>
    <col min="18" max="18" width="11.421875" style="143" customWidth="1"/>
    <col min="19" max="19" width="10.00390625" style="143" bestFit="1" customWidth="1"/>
    <col min="20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190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.75">
      <c r="A4" s="145"/>
      <c r="B4" s="253"/>
      <c r="C4" s="253"/>
      <c r="D4" s="253"/>
      <c r="E4" s="253"/>
    </row>
    <row r="5" spans="1:5" ht="15.75" thickBot="1">
      <c r="A5" s="223"/>
      <c r="B5" s="253"/>
      <c r="C5" s="265"/>
      <c r="D5" s="253"/>
      <c r="E5" s="265"/>
    </row>
    <row r="6" spans="1:13" ht="24" customHeight="1" thickBot="1">
      <c r="A6" s="266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  <c r="K6" s="266" t="s">
        <v>91</v>
      </c>
      <c r="L6" s="248" t="s">
        <v>202</v>
      </c>
      <c r="M6" s="148" t="s">
        <v>92</v>
      </c>
    </row>
    <row r="7" spans="1:13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  <c r="K7" s="150"/>
      <c r="L7" s="151"/>
      <c r="M7" s="150"/>
    </row>
    <row r="8" spans="1:13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  <c r="K8" s="153"/>
      <c r="L8" s="154"/>
      <c r="M8" s="153"/>
    </row>
    <row r="9" spans="1:13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  <c r="K9" s="157">
        <v>391863</v>
      </c>
      <c r="L9" s="158">
        <v>286064</v>
      </c>
      <c r="M9" s="159">
        <f>(L9-K9)/K9</f>
        <v>-0.2699897668317754</v>
      </c>
    </row>
    <row r="10" spans="1:13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  <c r="K10" s="157">
        <v>739808</v>
      </c>
      <c r="L10" s="158">
        <v>878280</v>
      </c>
      <c r="M10" s="159">
        <f>(L10-K10)/K10</f>
        <v>0.1871728881006964</v>
      </c>
    </row>
    <row r="11" spans="1:13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  <c r="K11" s="157">
        <v>841852</v>
      </c>
      <c r="L11" s="158">
        <v>1032969</v>
      </c>
      <c r="M11" s="159">
        <f>(L11-K11)/K11</f>
        <v>0.22701971367888893</v>
      </c>
    </row>
    <row r="12" spans="1:13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  <c r="K12" s="157">
        <v>47770</v>
      </c>
      <c r="L12" s="158">
        <v>53119</v>
      </c>
      <c r="M12" s="159">
        <f>(L12-K12)/K12</f>
        <v>0.11197404228595352</v>
      </c>
    </row>
    <row r="13" spans="1:13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  <c r="K13" s="157">
        <v>139352</v>
      </c>
      <c r="L13" s="158">
        <v>220762</v>
      </c>
      <c r="M13" s="159">
        <f>(L13-K13)/K13</f>
        <v>0.5842040300820943</v>
      </c>
    </row>
    <row r="14" spans="1:13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  <c r="K14" s="162">
        <v>0</v>
      </c>
      <c r="L14" s="163">
        <v>71679</v>
      </c>
      <c r="M14" s="159" t="s">
        <v>88</v>
      </c>
    </row>
    <row r="15" spans="1:13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  <c r="K15" s="165">
        <f>SUM(K9:K14)</f>
        <v>2160645</v>
      </c>
      <c r="L15" s="166">
        <f>SUM(L9:L14)</f>
        <v>2542873</v>
      </c>
      <c r="M15" s="159">
        <f>(L15-K15)/K15</f>
        <v>0.17690458173369525</v>
      </c>
    </row>
    <row r="16" spans="1:13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  <c r="K16" s="153"/>
      <c r="L16" s="154"/>
      <c r="M16" s="153"/>
    </row>
    <row r="17" spans="1:13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  <c r="H17" s="157">
        <v>23124</v>
      </c>
      <c r="I17" s="158">
        <v>29491</v>
      </c>
      <c r="J17" s="159">
        <f aca="true" t="shared" si="2" ref="J17:J28">(I17-H17)/H17</f>
        <v>0.27534163639508735</v>
      </c>
      <c r="K17" s="157">
        <v>23124</v>
      </c>
      <c r="L17" s="158">
        <v>26729</v>
      </c>
      <c r="M17" s="159">
        <f aca="true" t="shared" si="3" ref="M17:M28">(L17-K17)/K17</f>
        <v>0.15589863345441965</v>
      </c>
    </row>
    <row r="18" spans="1:13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  <c r="H18" s="157">
        <v>4185</v>
      </c>
      <c r="I18" s="158">
        <v>0</v>
      </c>
      <c r="J18" s="159">
        <f t="shared" si="2"/>
        <v>-1</v>
      </c>
      <c r="K18" s="157">
        <v>4185</v>
      </c>
      <c r="L18" s="158">
        <v>5699</v>
      </c>
      <c r="M18" s="159">
        <f t="shared" si="3"/>
        <v>0.36176821983273594</v>
      </c>
    </row>
    <row r="19" spans="1:13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  <c r="H19" s="157">
        <v>83323</v>
      </c>
      <c r="I19" s="158">
        <v>101811</v>
      </c>
      <c r="J19" s="159">
        <f t="shared" si="2"/>
        <v>0.2218835135556809</v>
      </c>
      <c r="K19" s="157">
        <v>83323</v>
      </c>
      <c r="L19" s="158">
        <v>109021</v>
      </c>
      <c r="M19" s="159">
        <f t="shared" si="3"/>
        <v>0.3084142433661774</v>
      </c>
    </row>
    <row r="20" spans="1:13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  <c r="H20" s="157">
        <v>4016462</v>
      </c>
      <c r="I20" s="158">
        <v>3564491</v>
      </c>
      <c r="J20" s="159">
        <f t="shared" si="2"/>
        <v>-0.11252963429007917</v>
      </c>
      <c r="K20" s="157">
        <v>4016462</v>
      </c>
      <c r="L20" s="158">
        <v>3418149</v>
      </c>
      <c r="M20" s="159">
        <f t="shared" si="3"/>
        <v>-0.1489651837861282</v>
      </c>
    </row>
    <row r="21" spans="1:13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  <c r="H21" s="157">
        <v>2963335</v>
      </c>
      <c r="I21" s="158">
        <v>3335183</v>
      </c>
      <c r="J21" s="159">
        <f t="shared" si="2"/>
        <v>0.125482944047838</v>
      </c>
      <c r="K21" s="157">
        <v>2963335</v>
      </c>
      <c r="L21" s="158">
        <v>3383722</v>
      </c>
      <c r="M21" s="159">
        <f t="shared" si="3"/>
        <v>0.14186279985219355</v>
      </c>
    </row>
    <row r="22" spans="1:13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  <c r="H22" s="157">
        <v>96280</v>
      </c>
      <c r="I22" s="158">
        <v>97061</v>
      </c>
      <c r="J22" s="159">
        <f t="shared" si="2"/>
        <v>0.008111757374324886</v>
      </c>
      <c r="K22" s="157">
        <v>96280</v>
      </c>
      <c r="L22" s="158">
        <v>82393</v>
      </c>
      <c r="M22" s="159">
        <f t="shared" si="3"/>
        <v>-0.14423556294142087</v>
      </c>
    </row>
    <row r="23" spans="1:13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  <c r="H23" s="157">
        <v>1373072</v>
      </c>
      <c r="I23" s="158">
        <v>2001447</v>
      </c>
      <c r="J23" s="159">
        <f t="shared" si="2"/>
        <v>0.45764169686658823</v>
      </c>
      <c r="K23" s="157">
        <v>1373072</v>
      </c>
      <c r="L23" s="158">
        <v>2033403</v>
      </c>
      <c r="M23" s="159">
        <f t="shared" si="3"/>
        <v>0.48091505762261555</v>
      </c>
    </row>
    <row r="24" spans="1:13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  <c r="H24" s="157">
        <v>766829</v>
      </c>
      <c r="I24" s="158">
        <v>1233087</v>
      </c>
      <c r="J24" s="159">
        <f t="shared" si="2"/>
        <v>0.6080338641339855</v>
      </c>
      <c r="K24" s="157">
        <v>766829</v>
      </c>
      <c r="L24" s="158">
        <v>1179957</v>
      </c>
      <c r="M24" s="159">
        <f t="shared" si="3"/>
        <v>0.5387485345494236</v>
      </c>
    </row>
    <row r="25" spans="1:13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  <c r="H25" s="157">
        <v>297783</v>
      </c>
      <c r="I25" s="158">
        <v>360477</v>
      </c>
      <c r="J25" s="159">
        <f t="shared" si="2"/>
        <v>0.2105358600054402</v>
      </c>
      <c r="K25" s="157">
        <v>297783</v>
      </c>
      <c r="L25" s="158">
        <v>355461</v>
      </c>
      <c r="M25" s="159">
        <f t="shared" si="3"/>
        <v>0.19369137929297509</v>
      </c>
    </row>
    <row r="26" spans="1:13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  <c r="H26" s="162">
        <v>32348</v>
      </c>
      <c r="I26" s="163">
        <v>38591</v>
      </c>
      <c r="J26" s="167">
        <f t="shared" si="2"/>
        <v>0.19299493013478422</v>
      </c>
      <c r="K26" s="162">
        <v>32348</v>
      </c>
      <c r="L26" s="163">
        <v>40645</v>
      </c>
      <c r="M26" s="167">
        <f t="shared" si="3"/>
        <v>0.25649190058117965</v>
      </c>
    </row>
    <row r="27" spans="1:13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  <c r="H27" s="165">
        <f>SUM(H17:H26)</f>
        <v>9656741</v>
      </c>
      <c r="I27" s="166">
        <f>SUM(I17:I26)</f>
        <v>10761639</v>
      </c>
      <c r="J27" s="168">
        <f t="shared" si="2"/>
        <v>0.11441727597333304</v>
      </c>
      <c r="K27" s="165">
        <f>SUM(K17:K26)</f>
        <v>9656741</v>
      </c>
      <c r="L27" s="166">
        <f>SUM(L17:L26)</f>
        <v>10635179</v>
      </c>
      <c r="M27" s="168">
        <f t="shared" si="3"/>
        <v>0.10132176062296794</v>
      </c>
    </row>
    <row r="28" spans="1:13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  <c r="H28" s="165">
        <f>+H15+H27</f>
        <v>11817386</v>
      </c>
      <c r="I28" s="166">
        <f>+I15+I27</f>
        <v>13317881</v>
      </c>
      <c r="J28" s="168">
        <f t="shared" si="2"/>
        <v>0.1269735117393982</v>
      </c>
      <c r="K28" s="165">
        <f>+K15+K27</f>
        <v>11817386</v>
      </c>
      <c r="L28" s="166">
        <f>+L15+L27</f>
        <v>13178052</v>
      </c>
      <c r="M28" s="168">
        <f t="shared" si="3"/>
        <v>0.11514103034292017</v>
      </c>
    </row>
    <row r="29" spans="1:13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  <c r="K29" s="169"/>
      <c r="L29" s="170"/>
      <c r="M29" s="169"/>
    </row>
    <row r="30" spans="1:13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  <c r="K30" s="171"/>
      <c r="L30" s="154"/>
      <c r="M30" s="171"/>
    </row>
    <row r="31" spans="1:13" ht="15.75" thickBot="1">
      <c r="A31" s="155" t="s">
        <v>151</v>
      </c>
      <c r="B31" s="157">
        <v>455480</v>
      </c>
      <c r="C31" s="158">
        <v>708303</v>
      </c>
      <c r="D31" s="159">
        <f aca="true" t="shared" si="4" ref="D31:D37">(C31-B31)/B31</f>
        <v>0.5550693773601475</v>
      </c>
      <c r="E31" s="157">
        <v>455480</v>
      </c>
      <c r="F31" s="158">
        <v>788166</v>
      </c>
      <c r="G31" s="159">
        <f aca="true" t="shared" si="5" ref="G31:G37">(F31-E31)/E31</f>
        <v>0.7304074822165627</v>
      </c>
      <c r="H31" s="157">
        <v>455480</v>
      </c>
      <c r="I31" s="158">
        <v>962314</v>
      </c>
      <c r="J31" s="159">
        <f aca="true" t="shared" si="6" ref="J31:J37">(I31-H31)/H31</f>
        <v>1.1127469921840696</v>
      </c>
      <c r="K31" s="157">
        <v>455480</v>
      </c>
      <c r="L31" s="158">
        <v>1059660</v>
      </c>
      <c r="M31" s="159">
        <f aca="true" t="shared" si="7" ref="M31:M37">(L31-K31)/K31</f>
        <v>1.3264687801879336</v>
      </c>
    </row>
    <row r="32" spans="1:13" ht="15.75" thickBot="1">
      <c r="A32" s="155" t="s">
        <v>152</v>
      </c>
      <c r="B32" s="157">
        <v>656458</v>
      </c>
      <c r="C32" s="158">
        <v>829817</v>
      </c>
      <c r="D32" s="159">
        <f t="shared" si="4"/>
        <v>0.2640823936946461</v>
      </c>
      <c r="E32" s="157">
        <v>656458</v>
      </c>
      <c r="F32" s="158">
        <v>783029</v>
      </c>
      <c r="G32" s="159">
        <f t="shared" si="5"/>
        <v>0.19280898397155644</v>
      </c>
      <c r="H32" s="157">
        <v>656458</v>
      </c>
      <c r="I32" s="158">
        <v>826429</v>
      </c>
      <c r="J32" s="159">
        <f t="shared" si="6"/>
        <v>0.25892136282900047</v>
      </c>
      <c r="K32" s="157">
        <v>656458</v>
      </c>
      <c r="L32" s="158">
        <v>825435</v>
      </c>
      <c r="M32" s="159">
        <f t="shared" si="7"/>
        <v>0.25740717608742675</v>
      </c>
    </row>
    <row r="33" spans="1:13" ht="15.75" thickBot="1">
      <c r="A33" s="155" t="s">
        <v>153</v>
      </c>
      <c r="B33" s="157">
        <v>150217</v>
      </c>
      <c r="C33" s="158">
        <v>180907</v>
      </c>
      <c r="D33" s="159">
        <f t="shared" si="4"/>
        <v>0.20430443957741135</v>
      </c>
      <c r="E33" s="157">
        <v>150217</v>
      </c>
      <c r="F33" s="158">
        <v>183780</v>
      </c>
      <c r="G33" s="159">
        <f t="shared" si="5"/>
        <v>0.22343010444889727</v>
      </c>
      <c r="H33" s="157">
        <v>150217</v>
      </c>
      <c r="I33" s="158">
        <v>210538</v>
      </c>
      <c r="J33" s="159">
        <f t="shared" si="6"/>
        <v>0.4015590778673519</v>
      </c>
      <c r="K33" s="157">
        <v>150217</v>
      </c>
      <c r="L33" s="158">
        <v>172323</v>
      </c>
      <c r="M33" s="159">
        <f t="shared" si="7"/>
        <v>0.1471604412283563</v>
      </c>
    </row>
    <row r="34" spans="1:13" ht="15.75" thickBot="1">
      <c r="A34" s="155" t="s">
        <v>154</v>
      </c>
      <c r="B34" s="157">
        <v>137300</v>
      </c>
      <c r="C34" s="158">
        <v>114638</v>
      </c>
      <c r="D34" s="159">
        <f t="shared" si="4"/>
        <v>-0.16505462490895847</v>
      </c>
      <c r="E34" s="157">
        <v>137300</v>
      </c>
      <c r="F34" s="158">
        <v>133356</v>
      </c>
      <c r="G34" s="159">
        <f t="shared" si="5"/>
        <v>-0.028725418790968682</v>
      </c>
      <c r="H34" s="157">
        <v>137300</v>
      </c>
      <c r="I34" s="158">
        <v>177986</v>
      </c>
      <c r="J34" s="159">
        <f t="shared" si="6"/>
        <v>0.2963292061179898</v>
      </c>
      <c r="K34" s="157">
        <v>137300</v>
      </c>
      <c r="L34" s="158">
        <v>160628</v>
      </c>
      <c r="M34" s="159">
        <f t="shared" si="7"/>
        <v>0.16990531682447196</v>
      </c>
    </row>
    <row r="35" spans="1:13" ht="15.75" thickBot="1">
      <c r="A35" s="155" t="s">
        <v>155</v>
      </c>
      <c r="B35" s="157">
        <v>2417</v>
      </c>
      <c r="C35" s="158">
        <v>3919</v>
      </c>
      <c r="D35" s="159">
        <f t="shared" si="4"/>
        <v>0.6214315266859743</v>
      </c>
      <c r="E35" s="157">
        <v>2417</v>
      </c>
      <c r="F35" s="158">
        <v>3371</v>
      </c>
      <c r="G35" s="159">
        <f t="shared" si="5"/>
        <v>0.39470417873396774</v>
      </c>
      <c r="H35" s="157">
        <v>2417</v>
      </c>
      <c r="I35" s="158">
        <v>3025</v>
      </c>
      <c r="J35" s="159">
        <f t="shared" si="6"/>
        <v>0.2515515101365329</v>
      </c>
      <c r="K35" s="157">
        <v>2417</v>
      </c>
      <c r="L35" s="158">
        <v>4415</v>
      </c>
      <c r="M35" s="159">
        <f t="shared" si="7"/>
        <v>0.8266446007447249</v>
      </c>
    </row>
    <row r="36" spans="1:13" ht="15.75" thickBot="1">
      <c r="A36" s="160" t="s">
        <v>35</v>
      </c>
      <c r="B36" s="162">
        <v>13885</v>
      </c>
      <c r="C36" s="163">
        <v>24077</v>
      </c>
      <c r="D36" s="167">
        <f t="shared" si="4"/>
        <v>0.734029528267915</v>
      </c>
      <c r="E36" s="162">
        <v>13885</v>
      </c>
      <c r="F36" s="163">
        <v>17127</v>
      </c>
      <c r="G36" s="167">
        <f t="shared" si="5"/>
        <v>0.23348937702556716</v>
      </c>
      <c r="H36" s="162">
        <v>13885</v>
      </c>
      <c r="I36" s="163">
        <v>19917</v>
      </c>
      <c r="J36" s="167">
        <f t="shared" si="6"/>
        <v>0.4344256391789701</v>
      </c>
      <c r="K36" s="162">
        <v>13885</v>
      </c>
      <c r="L36" s="163">
        <v>26641</v>
      </c>
      <c r="M36" s="167">
        <f t="shared" si="7"/>
        <v>0.9186892329852359</v>
      </c>
    </row>
    <row r="37" spans="1:13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4"/>
        <v>0.3149580047988461</v>
      </c>
      <c r="E37" s="165">
        <f>SUM(E31:E36)</f>
        <v>1415757</v>
      </c>
      <c r="F37" s="166">
        <f>SUM(F31:F36)</f>
        <v>1908829</v>
      </c>
      <c r="G37" s="168">
        <f t="shared" si="5"/>
        <v>0.3482744567040813</v>
      </c>
      <c r="H37" s="165">
        <f>SUM(H31:H36)</f>
        <v>1415757</v>
      </c>
      <c r="I37" s="166">
        <f>SUM(I31:I36)</f>
        <v>2200209</v>
      </c>
      <c r="J37" s="168">
        <f t="shared" si="6"/>
        <v>0.5540866123211823</v>
      </c>
      <c r="K37" s="165">
        <f>SUM(K31:K36)</f>
        <v>1415757</v>
      </c>
      <c r="L37" s="166">
        <f>SUM(L31:L36)</f>
        <v>2249102</v>
      </c>
      <c r="M37" s="168">
        <f t="shared" si="7"/>
        <v>0.588621493660282</v>
      </c>
    </row>
    <row r="38" spans="1:13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  <c r="K38" s="153"/>
      <c r="L38" s="154"/>
      <c r="M38" s="153"/>
    </row>
    <row r="39" spans="1:13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  <c r="K39" s="157">
        <v>1688797</v>
      </c>
      <c r="L39" s="158">
        <v>2034604</v>
      </c>
      <c r="M39" s="159">
        <f>(L39-K39)/K39</f>
        <v>0.20476528558494597</v>
      </c>
    </row>
    <row r="40" spans="1:13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  <c r="K40" s="156">
        <v>159</v>
      </c>
      <c r="L40" s="172">
        <v>159</v>
      </c>
      <c r="M40" s="159">
        <f>(L40-K40)/K40</f>
        <v>0</v>
      </c>
    </row>
    <row r="41" spans="1:13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  <c r="K41" s="157">
        <v>209287</v>
      </c>
      <c r="L41" s="158">
        <v>211533</v>
      </c>
      <c r="M41" s="159">
        <f>(L41-K41)/K41</f>
        <v>0.01073167468595756</v>
      </c>
    </row>
    <row r="42" spans="1:13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  <c r="K42" s="157">
        <v>471713</v>
      </c>
      <c r="L42" s="158">
        <v>639810</v>
      </c>
      <c r="M42" s="159">
        <f>(L42-K42)/K42</f>
        <v>0.35635439345534253</v>
      </c>
    </row>
    <row r="43" spans="1:13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  <c r="K43" s="161" t="s">
        <v>159</v>
      </c>
      <c r="L43" s="158" t="s">
        <v>159</v>
      </c>
      <c r="M43" s="167" t="s">
        <v>88</v>
      </c>
    </row>
    <row r="44" spans="1:13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  <c r="K44" s="165">
        <f>SUM(K39:K43)</f>
        <v>2369956</v>
      </c>
      <c r="L44" s="166">
        <f>SUM(L39:L43)</f>
        <v>2886106</v>
      </c>
      <c r="M44" s="168">
        <f>(L44-K44)/K44</f>
        <v>0.21778885346394616</v>
      </c>
    </row>
    <row r="45" spans="1:13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  <c r="K45" s="165">
        <f>+K37+K44</f>
        <v>3785713</v>
      </c>
      <c r="L45" s="166">
        <f>+L37+L44</f>
        <v>5135208</v>
      </c>
      <c r="M45" s="168">
        <f>(L45-K45)/K45</f>
        <v>0.35647049842394285</v>
      </c>
    </row>
    <row r="46" spans="1:13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  <c r="K46" s="169"/>
      <c r="L46" s="170"/>
      <c r="M46" s="169"/>
    </row>
    <row r="47" spans="1:13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  <c r="K47" s="165">
        <v>8001755</v>
      </c>
      <c r="L47" s="166">
        <v>8008485</v>
      </c>
      <c r="M47" s="168">
        <f>(L47-K47)/K47</f>
        <v>0.0008410654912578554</v>
      </c>
    </row>
    <row r="48" spans="1:13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  <c r="K48" s="162">
        <v>29918</v>
      </c>
      <c r="L48" s="163">
        <v>34359</v>
      </c>
      <c r="M48" s="167">
        <f>(L48-K48)/K48</f>
        <v>0.14843906678253893</v>
      </c>
    </row>
    <row r="49" spans="1:13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  <c r="K49" s="165">
        <f>SUM(K47:K48)</f>
        <v>8031673</v>
      </c>
      <c r="L49" s="166">
        <f>SUM(L47:L48)</f>
        <v>8042844</v>
      </c>
      <c r="M49" s="168">
        <f>(L49-K49)/K49</f>
        <v>0.001390868378232032</v>
      </c>
    </row>
    <row r="50" spans="1:13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  <c r="K50" s="176">
        <f>+K45+K49</f>
        <v>11817386</v>
      </c>
      <c r="L50" s="166">
        <f>+L45+L49</f>
        <v>13178052</v>
      </c>
      <c r="M50" s="177">
        <f>(L50-K50)/K50</f>
        <v>0.11514103034292017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191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.75">
      <c r="A56" s="145"/>
      <c r="B56" s="253"/>
      <c r="C56" s="253"/>
      <c r="D56" s="253"/>
      <c r="E56" s="253"/>
    </row>
    <row r="57" spans="1:5" ht="15.75" thickBot="1">
      <c r="A57" s="146"/>
      <c r="B57" s="253"/>
      <c r="C57" s="253"/>
      <c r="D57" s="253"/>
      <c r="E57" s="253"/>
    </row>
    <row r="58" spans="1:27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63" t="s">
        <v>118</v>
      </c>
      <c r="R58" s="256" t="s">
        <v>125</v>
      </c>
      <c r="S58" s="256" t="s">
        <v>98</v>
      </c>
      <c r="T58" s="263" t="s">
        <v>126</v>
      </c>
      <c r="U58" s="256" t="s">
        <v>98</v>
      </c>
      <c r="V58" s="256" t="s">
        <v>99</v>
      </c>
      <c r="W58" s="256" t="s">
        <v>127</v>
      </c>
      <c r="X58" s="256" t="s">
        <v>98</v>
      </c>
      <c r="Y58" s="263" t="s">
        <v>128</v>
      </c>
      <c r="Z58" s="256" t="s">
        <v>98</v>
      </c>
      <c r="AA58" s="256" t="s">
        <v>99</v>
      </c>
    </row>
    <row r="59" spans="1:27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81"/>
      <c r="R59" s="147"/>
      <c r="S59" s="147"/>
      <c r="T59" s="181"/>
      <c r="U59" s="147"/>
      <c r="V59" s="147"/>
      <c r="W59" s="147"/>
      <c r="X59" s="147"/>
      <c r="Y59" s="181"/>
      <c r="Z59" s="147"/>
      <c r="AA59" s="147"/>
    </row>
    <row r="60" spans="1:27" ht="15.75" thickBot="1">
      <c r="A60" s="182" t="s">
        <v>169</v>
      </c>
      <c r="B60" s="183">
        <v>1531515</v>
      </c>
      <c r="C60" s="184">
        <f aca="true" t="shared" si="8" ref="C60:C81">+B60/$B$60</f>
        <v>1</v>
      </c>
      <c r="D60" s="185">
        <v>1726220</v>
      </c>
      <c r="E60" s="184">
        <f>+D60/$D$60</f>
        <v>1</v>
      </c>
      <c r="F60" s="184">
        <f aca="true" t="shared" si="9" ref="F60:F74"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10" ref="J60:J81">+I60/$I$60</f>
        <v>1</v>
      </c>
      <c r="K60" s="184">
        <f aca="true" t="shared" si="11" ref="K60:K70"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5">
        <v>2099201</v>
      </c>
      <c r="R60" s="183">
        <f aca="true" t="shared" si="12" ref="R60:R81">+W60-L60-N60-P60</f>
        <v>1787946</v>
      </c>
      <c r="S60" s="184">
        <f aca="true" t="shared" si="13" ref="S60:S81">+R60/$R$60</f>
        <v>1</v>
      </c>
      <c r="T60" s="185">
        <f aca="true" t="shared" si="14" ref="T60:T81">+Y60-M60-O60-Q60</f>
        <v>2262816</v>
      </c>
      <c r="U60" s="184">
        <f aca="true" t="shared" si="15" ref="U60:U81">+T60/$T$60</f>
        <v>1</v>
      </c>
      <c r="V60" s="184">
        <f aca="true" t="shared" si="16" ref="V60:V81">(T60-R60)/R60</f>
        <v>0.265595269655795</v>
      </c>
      <c r="W60" s="183">
        <v>6481813</v>
      </c>
      <c r="X60" s="184">
        <f aca="true" t="shared" si="17" ref="X60:X81">+W60/$W$60</f>
        <v>1</v>
      </c>
      <c r="Y60" s="185">
        <v>7945417</v>
      </c>
      <c r="Z60" s="184">
        <f aca="true" t="shared" si="18" ref="Z60:Z81">+Y60/$Y$60</f>
        <v>1</v>
      </c>
      <c r="AA60" s="184">
        <f aca="true" t="shared" si="19" ref="AA60:AA81">(Y60-W60)/W60</f>
        <v>0.22580163914016033</v>
      </c>
    </row>
    <row r="61" spans="1:27" ht="15.75" thickBot="1">
      <c r="A61" s="186" t="s">
        <v>45</v>
      </c>
      <c r="B61" s="188">
        <v>-842171</v>
      </c>
      <c r="C61" s="189">
        <f t="shared" si="8"/>
        <v>-0.5498940591505797</v>
      </c>
      <c r="D61" s="190">
        <v>-972781</v>
      </c>
      <c r="E61" s="189">
        <f aca="true" t="shared" si="20" ref="E61:E87">+D61/$D$60</f>
        <v>-0.5635324582034735</v>
      </c>
      <c r="F61" s="189">
        <f t="shared" si="9"/>
        <v>0.1550872685001027</v>
      </c>
      <c r="G61" s="188">
        <v>-1698042</v>
      </c>
      <c r="H61" s="189">
        <f aca="true" t="shared" si="21" ref="H61:H87">+G61/$G$60</f>
        <v>-0.553658736195963</v>
      </c>
      <c r="I61" s="190">
        <v>-2017246</v>
      </c>
      <c r="J61" s="189">
        <f t="shared" si="10"/>
        <v>-0.562941898755372</v>
      </c>
      <c r="K61" s="189">
        <f t="shared" si="11"/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90">
        <v>-1187912</v>
      </c>
      <c r="R61" s="188">
        <f t="shared" si="12"/>
        <v>-1012172</v>
      </c>
      <c r="S61" s="189">
        <f t="shared" si="13"/>
        <v>-0.5661088198413151</v>
      </c>
      <c r="T61" s="190">
        <f t="shared" si="14"/>
        <v>-1302008</v>
      </c>
      <c r="U61" s="189">
        <f t="shared" si="15"/>
        <v>-0.5753927849193218</v>
      </c>
      <c r="V61" s="189">
        <f t="shared" si="16"/>
        <v>0.28635054121236314</v>
      </c>
      <c r="W61" s="188">
        <v>-3618717</v>
      </c>
      <c r="X61" s="189">
        <f t="shared" si="17"/>
        <v>-0.5582877815203864</v>
      </c>
      <c r="Y61" s="190">
        <v>-4507166</v>
      </c>
      <c r="Z61" s="189">
        <f t="shared" si="18"/>
        <v>-0.5672661359372327</v>
      </c>
      <c r="AA61" s="189">
        <f t="shared" si="19"/>
        <v>0.2455149159218585</v>
      </c>
    </row>
    <row r="62" spans="1:27" ht="15.75" thickBot="1">
      <c r="A62" s="191" t="s">
        <v>95</v>
      </c>
      <c r="B62" s="192">
        <f>SUM(B60:B61)</f>
        <v>689344</v>
      </c>
      <c r="C62" s="193">
        <f t="shared" si="8"/>
        <v>0.45010594084942035</v>
      </c>
      <c r="D62" s="194">
        <f>SUM(D60:D61)</f>
        <v>753439</v>
      </c>
      <c r="E62" s="193">
        <f t="shared" si="20"/>
        <v>0.4364675417965265</v>
      </c>
      <c r="F62" s="193">
        <f t="shared" si="9"/>
        <v>0.09297970244174171</v>
      </c>
      <c r="G62" s="192">
        <f>SUM(G60:G61)</f>
        <v>1368905</v>
      </c>
      <c r="H62" s="193">
        <f t="shared" si="21"/>
        <v>0.44634126380403705</v>
      </c>
      <c r="I62" s="194">
        <f>SUM(I60:I61)</f>
        <v>1566154</v>
      </c>
      <c r="J62" s="193">
        <f t="shared" si="10"/>
        <v>0.437058101244628</v>
      </c>
      <c r="K62" s="193">
        <f t="shared" si="11"/>
        <v>0.14409254111863132</v>
      </c>
      <c r="L62" s="192">
        <f aca="true" t="shared" si="22" ref="L62:Q62">SUM(L60:L61)</f>
        <v>689344</v>
      </c>
      <c r="M62" s="194">
        <f t="shared" si="22"/>
        <v>753439</v>
      </c>
      <c r="N62" s="192">
        <f t="shared" si="22"/>
        <v>679561</v>
      </c>
      <c r="O62" s="194">
        <f t="shared" si="22"/>
        <v>812715</v>
      </c>
      <c r="P62" s="192">
        <f t="shared" si="22"/>
        <v>718417</v>
      </c>
      <c r="Q62" s="194">
        <f t="shared" si="22"/>
        <v>911289</v>
      </c>
      <c r="R62" s="192">
        <f t="shared" si="12"/>
        <v>775774</v>
      </c>
      <c r="S62" s="193">
        <f t="shared" si="13"/>
        <v>0.4338911801586849</v>
      </c>
      <c r="T62" s="194">
        <f t="shared" si="14"/>
        <v>960808</v>
      </c>
      <c r="U62" s="193">
        <f t="shared" si="15"/>
        <v>0.4246072150806782</v>
      </c>
      <c r="V62" s="193">
        <f t="shared" si="16"/>
        <v>0.23851534080801884</v>
      </c>
      <c r="W62" s="192">
        <f>SUM(W60:W61)</f>
        <v>2863096</v>
      </c>
      <c r="X62" s="193">
        <f t="shared" si="17"/>
        <v>0.44171221847961367</v>
      </c>
      <c r="Y62" s="194">
        <f>SUM(Y60:Y61)</f>
        <v>3438251</v>
      </c>
      <c r="Z62" s="193">
        <f t="shared" si="18"/>
        <v>0.43273386406276726</v>
      </c>
      <c r="AA62" s="193">
        <f t="shared" si="19"/>
        <v>0.2008856845875933</v>
      </c>
    </row>
    <row r="63" spans="1:27" ht="15.75" thickBot="1">
      <c r="A63" s="186" t="s">
        <v>170</v>
      </c>
      <c r="B63" s="188">
        <v>-84830</v>
      </c>
      <c r="C63" s="189">
        <f t="shared" si="8"/>
        <v>-0.05538959788183596</v>
      </c>
      <c r="D63" s="190">
        <v>-96265</v>
      </c>
      <c r="E63" s="189">
        <f t="shared" si="20"/>
        <v>-0.05576635654783284</v>
      </c>
      <c r="F63" s="189">
        <f t="shared" si="9"/>
        <v>0.13479900978427442</v>
      </c>
      <c r="G63" s="188">
        <v>-163253</v>
      </c>
      <c r="H63" s="189">
        <f t="shared" si="21"/>
        <v>-0.05322980801428913</v>
      </c>
      <c r="I63" s="190">
        <v>-183083</v>
      </c>
      <c r="J63" s="189">
        <f t="shared" si="10"/>
        <v>-0.0510919796840989</v>
      </c>
      <c r="K63" s="189">
        <f t="shared" si="11"/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90">
        <v>-95398</v>
      </c>
      <c r="R63" s="188">
        <f t="shared" si="12"/>
        <v>-83743</v>
      </c>
      <c r="S63" s="189">
        <f t="shared" si="13"/>
        <v>-0.046837544310622356</v>
      </c>
      <c r="T63" s="190">
        <f t="shared" si="14"/>
        <v>-93329</v>
      </c>
      <c r="U63" s="189">
        <f t="shared" si="15"/>
        <v>-0.04124462616492017</v>
      </c>
      <c r="V63" s="189">
        <f t="shared" si="16"/>
        <v>0.11446926907323597</v>
      </c>
      <c r="W63" s="188">
        <v>-328368</v>
      </c>
      <c r="X63" s="189">
        <f t="shared" si="17"/>
        <v>-0.05065990024704508</v>
      </c>
      <c r="Y63" s="190">
        <v>-371810</v>
      </c>
      <c r="Z63" s="189">
        <f t="shared" si="18"/>
        <v>-0.04679553005210425</v>
      </c>
      <c r="AA63" s="189">
        <f t="shared" si="19"/>
        <v>0.13229669151683476</v>
      </c>
    </row>
    <row r="64" spans="1:27" ht="15.75" thickBot="1">
      <c r="A64" s="186" t="s">
        <v>171</v>
      </c>
      <c r="B64" s="188">
        <v>-382688</v>
      </c>
      <c r="C64" s="189">
        <f t="shared" si="8"/>
        <v>-0.24987545012618226</v>
      </c>
      <c r="D64" s="190">
        <v>-436316</v>
      </c>
      <c r="E64" s="189">
        <f t="shared" si="20"/>
        <v>-0.25275804937956925</v>
      </c>
      <c r="F64" s="189">
        <f t="shared" si="9"/>
        <v>0.14013504473618196</v>
      </c>
      <c r="G64" s="188">
        <v>-786304</v>
      </c>
      <c r="H64" s="189">
        <f t="shared" si="21"/>
        <v>-0.2563800417809633</v>
      </c>
      <c r="I64" s="190">
        <v>-956200</v>
      </c>
      <c r="J64" s="189">
        <f t="shared" si="10"/>
        <v>-0.2668415471340068</v>
      </c>
      <c r="K64" s="189">
        <f t="shared" si="11"/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90">
        <v>-561107</v>
      </c>
      <c r="R64" s="188">
        <f t="shared" si="12"/>
        <v>-492903</v>
      </c>
      <c r="S64" s="189">
        <f t="shared" si="13"/>
        <v>-0.27568114473255906</v>
      </c>
      <c r="T64" s="190">
        <f t="shared" si="14"/>
        <v>-627195</v>
      </c>
      <c r="U64" s="189">
        <f t="shared" si="15"/>
        <v>-0.2771745471129778</v>
      </c>
      <c r="V64" s="189">
        <f t="shared" si="16"/>
        <v>0.2724511719344374</v>
      </c>
      <c r="W64" s="188">
        <v>-1709315</v>
      </c>
      <c r="X64" s="189">
        <f t="shared" si="17"/>
        <v>-0.2637093973553387</v>
      </c>
      <c r="Y64" s="190">
        <v>-2144502</v>
      </c>
      <c r="Z64" s="189">
        <f t="shared" si="18"/>
        <v>-0.2699042731174462</v>
      </c>
      <c r="AA64" s="189">
        <f t="shared" si="19"/>
        <v>0.25459730944852177</v>
      </c>
    </row>
    <row r="65" spans="1:27" ht="15.75" thickBot="1">
      <c r="A65" s="186" t="s">
        <v>172</v>
      </c>
      <c r="B65" s="188">
        <v>-29293</v>
      </c>
      <c r="C65" s="189">
        <f t="shared" si="8"/>
        <v>-0.019126812339415548</v>
      </c>
      <c r="D65" s="190">
        <v>-32449</v>
      </c>
      <c r="E65" s="189">
        <f t="shared" si="20"/>
        <v>-0.018797719873480785</v>
      </c>
      <c r="F65" s="189">
        <f t="shared" si="9"/>
        <v>0.10773905028505104</v>
      </c>
      <c r="G65" s="188">
        <v>-56598</v>
      </c>
      <c r="H65" s="189">
        <f t="shared" si="21"/>
        <v>-0.018454182612219906</v>
      </c>
      <c r="I65" s="190">
        <v>-64633</v>
      </c>
      <c r="J65" s="189">
        <f t="shared" si="10"/>
        <v>-0.01803678071105654</v>
      </c>
      <c r="K65" s="189">
        <f t="shared" si="11"/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90">
        <v>-31887</v>
      </c>
      <c r="R65" s="188">
        <f t="shared" si="12"/>
        <v>-47197</v>
      </c>
      <c r="S65" s="189">
        <f t="shared" si="13"/>
        <v>-0.026397329673267536</v>
      </c>
      <c r="T65" s="190">
        <f t="shared" si="14"/>
        <v>-40926</v>
      </c>
      <c r="U65" s="189">
        <f t="shared" si="15"/>
        <v>-0.01808631369055195</v>
      </c>
      <c r="V65" s="189">
        <f t="shared" si="16"/>
        <v>-0.13286861453058457</v>
      </c>
      <c r="W65" s="188">
        <v>-135091</v>
      </c>
      <c r="X65" s="189">
        <f t="shared" si="17"/>
        <v>-0.020841545413297174</v>
      </c>
      <c r="Y65" s="190">
        <v>-137446</v>
      </c>
      <c r="Z65" s="189">
        <f t="shared" si="18"/>
        <v>-0.017298777395824538</v>
      </c>
      <c r="AA65" s="189">
        <f t="shared" si="19"/>
        <v>0.017432693517702883</v>
      </c>
    </row>
    <row r="66" spans="1:27" ht="15.75" thickBot="1">
      <c r="A66" s="186" t="s">
        <v>173</v>
      </c>
      <c r="B66" s="188">
        <v>1077</v>
      </c>
      <c r="C66" s="189">
        <f t="shared" si="8"/>
        <v>0.0007032252377547723</v>
      </c>
      <c r="D66" s="190">
        <v>8166</v>
      </c>
      <c r="E66" s="189">
        <f t="shared" si="20"/>
        <v>0.004730567366847795</v>
      </c>
      <c r="F66" s="189">
        <f t="shared" si="9"/>
        <v>6.582172701949861</v>
      </c>
      <c r="G66" s="188">
        <v>1961</v>
      </c>
      <c r="H66" s="189">
        <f t="shared" si="21"/>
        <v>0.0006393980724153369</v>
      </c>
      <c r="I66" s="190">
        <v>7880</v>
      </c>
      <c r="J66" s="189">
        <f t="shared" si="10"/>
        <v>0.0021990288552771113</v>
      </c>
      <c r="K66" s="189">
        <f t="shared" si="11"/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90">
        <v>-4707</v>
      </c>
      <c r="R66" s="188">
        <f t="shared" si="12"/>
        <v>7642</v>
      </c>
      <c r="S66" s="189">
        <f t="shared" si="13"/>
        <v>0.004274178302924137</v>
      </c>
      <c r="T66" s="190">
        <f t="shared" si="14"/>
        <v>-554</v>
      </c>
      <c r="U66" s="189">
        <f t="shared" si="15"/>
        <v>-0.0002448276837356639</v>
      </c>
      <c r="V66" s="189">
        <f t="shared" si="16"/>
        <v>-1.0724941114891389</v>
      </c>
      <c r="W66" s="188">
        <v>11406</v>
      </c>
      <c r="X66" s="189">
        <f t="shared" si="17"/>
        <v>0.0017596928513673566</v>
      </c>
      <c r="Y66" s="190">
        <v>2619</v>
      </c>
      <c r="Z66" s="189">
        <f t="shared" si="18"/>
        <v>0.00032962398323461186</v>
      </c>
      <c r="AA66" s="189">
        <f t="shared" si="19"/>
        <v>-0.7703840084166228</v>
      </c>
    </row>
    <row r="67" spans="1:27" ht="15.75" thickBot="1">
      <c r="A67" s="186" t="s">
        <v>174</v>
      </c>
      <c r="B67" s="188">
        <v>2033</v>
      </c>
      <c r="C67" s="189">
        <f t="shared" si="8"/>
        <v>0.001327443740348609</v>
      </c>
      <c r="D67" s="190">
        <v>2206</v>
      </c>
      <c r="E67" s="189">
        <f t="shared" si="20"/>
        <v>0.0012779367635643198</v>
      </c>
      <c r="F67" s="189">
        <f t="shared" si="9"/>
        <v>0.08509591736350221</v>
      </c>
      <c r="G67" s="188">
        <v>-7505</v>
      </c>
      <c r="H67" s="189">
        <f t="shared" si="21"/>
        <v>-0.002447058915592607</v>
      </c>
      <c r="I67" s="190">
        <v>2090</v>
      </c>
      <c r="J67" s="189">
        <f t="shared" si="10"/>
        <v>0.0005832449628844114</v>
      </c>
      <c r="K67" s="189">
        <f t="shared" si="11"/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90">
        <v>-3726</v>
      </c>
      <c r="R67" s="188">
        <f t="shared" si="12"/>
        <v>-9258</v>
      </c>
      <c r="S67" s="189">
        <f t="shared" si="13"/>
        <v>-0.0051780087318073365</v>
      </c>
      <c r="T67" s="190">
        <f t="shared" si="14"/>
        <v>-2791</v>
      </c>
      <c r="U67" s="189">
        <f t="shared" si="15"/>
        <v>-0.0012334188904444727</v>
      </c>
      <c r="V67" s="189">
        <f t="shared" si="16"/>
        <v>-0.6985310002160294</v>
      </c>
      <c r="W67" s="188">
        <v>-25625</v>
      </c>
      <c r="X67" s="189">
        <f t="shared" si="17"/>
        <v>-0.003953369219383528</v>
      </c>
      <c r="Y67" s="190">
        <v>-4427</v>
      </c>
      <c r="Z67" s="189">
        <f t="shared" si="18"/>
        <v>-0.0005571765459257834</v>
      </c>
      <c r="AA67" s="189">
        <f t="shared" si="19"/>
        <v>-0.8272390243902439</v>
      </c>
    </row>
    <row r="68" spans="1:27" ht="15.75" thickBot="1">
      <c r="A68" s="182" t="s">
        <v>175</v>
      </c>
      <c r="B68" s="183">
        <f>SUM(B62:B67)</f>
        <v>195643</v>
      </c>
      <c r="C68" s="184">
        <f t="shared" si="8"/>
        <v>0.12774474948009</v>
      </c>
      <c r="D68" s="185">
        <f>SUM(D62:D67)</f>
        <v>198781</v>
      </c>
      <c r="E68" s="184">
        <f t="shared" si="20"/>
        <v>0.11515392012605577</v>
      </c>
      <c r="F68" s="184">
        <f t="shared" si="9"/>
        <v>0.016039418737189677</v>
      </c>
      <c r="G68" s="183">
        <f>SUM(G62:G67)</f>
        <v>357206</v>
      </c>
      <c r="H68" s="184">
        <f t="shared" si="21"/>
        <v>0.11646957055338746</v>
      </c>
      <c r="I68" s="185">
        <f>SUM(I62:I67)</f>
        <v>372208</v>
      </c>
      <c r="J68" s="184">
        <f t="shared" si="10"/>
        <v>0.10387006753362728</v>
      </c>
      <c r="K68" s="184">
        <f t="shared" si="11"/>
        <v>0.041998174722709024</v>
      </c>
      <c r="L68" s="183">
        <f aca="true" t="shared" si="23" ref="L68:Q68">SUM(L62:L67)</f>
        <v>195643</v>
      </c>
      <c r="M68" s="185">
        <f t="shared" si="23"/>
        <v>198781</v>
      </c>
      <c r="N68" s="183">
        <f t="shared" si="23"/>
        <v>161563</v>
      </c>
      <c r="O68" s="185">
        <f t="shared" si="23"/>
        <v>173427</v>
      </c>
      <c r="P68" s="183">
        <f t="shared" si="23"/>
        <v>168582</v>
      </c>
      <c r="Q68" s="185">
        <f t="shared" si="23"/>
        <v>214464</v>
      </c>
      <c r="R68" s="183">
        <f t="shared" si="12"/>
        <v>150315</v>
      </c>
      <c r="S68" s="184">
        <f t="shared" si="13"/>
        <v>0.08407133101335275</v>
      </c>
      <c r="T68" s="185">
        <f t="shared" si="14"/>
        <v>196013</v>
      </c>
      <c r="U68" s="184">
        <f t="shared" si="15"/>
        <v>0.08662348153804816</v>
      </c>
      <c r="V68" s="184">
        <f t="shared" si="16"/>
        <v>0.30401490203905135</v>
      </c>
      <c r="W68" s="183">
        <f>SUM(W62:W67)</f>
        <v>676103</v>
      </c>
      <c r="X68" s="184">
        <f t="shared" si="17"/>
        <v>0.10430769909591653</v>
      </c>
      <c r="Y68" s="185">
        <f>SUM(Y62:Y67)</f>
        <v>782685</v>
      </c>
      <c r="Z68" s="184">
        <f t="shared" si="18"/>
        <v>0.0985077309347011</v>
      </c>
      <c r="AA68" s="184">
        <f t="shared" si="19"/>
        <v>0.15764166110784894</v>
      </c>
    </row>
    <row r="69" spans="1:27" ht="15.75" thickBot="1">
      <c r="A69" s="186" t="s">
        <v>176</v>
      </c>
      <c r="B69" s="188">
        <v>3334</v>
      </c>
      <c r="C69" s="189">
        <f t="shared" si="8"/>
        <v>0.0021769293803847825</v>
      </c>
      <c r="D69" s="190">
        <v>3035</v>
      </c>
      <c r="E69" s="189">
        <f t="shared" si="20"/>
        <v>0.0017581768256653267</v>
      </c>
      <c r="F69" s="189">
        <f t="shared" si="9"/>
        <v>-0.08968206358728255</v>
      </c>
      <c r="G69" s="188">
        <v>6142</v>
      </c>
      <c r="H69" s="189">
        <f t="shared" si="21"/>
        <v>0.0020026430192631303</v>
      </c>
      <c r="I69" s="190">
        <v>4956</v>
      </c>
      <c r="J69" s="189">
        <f t="shared" si="10"/>
        <v>0.0013830440363900207</v>
      </c>
      <c r="K69" s="189">
        <f t="shared" si="11"/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90">
        <v>2291</v>
      </c>
      <c r="R69" s="188">
        <f t="shared" si="12"/>
        <v>4056</v>
      </c>
      <c r="S69" s="189">
        <f t="shared" si="13"/>
        <v>0.0022685248883355536</v>
      </c>
      <c r="T69" s="190">
        <f t="shared" si="14"/>
        <v>2581</v>
      </c>
      <c r="U69" s="189">
        <f t="shared" si="15"/>
        <v>0.0011406141727829395</v>
      </c>
      <c r="V69" s="189">
        <f t="shared" si="16"/>
        <v>-0.3636587771203156</v>
      </c>
      <c r="W69" s="188">
        <v>11872</v>
      </c>
      <c r="X69" s="189">
        <f t="shared" si="17"/>
        <v>0.0018315863169764384</v>
      </c>
      <c r="Y69" s="190">
        <v>9828</v>
      </c>
      <c r="Z69" s="189">
        <f t="shared" si="18"/>
        <v>0.0012369394834783373</v>
      </c>
      <c r="AA69" s="189">
        <f t="shared" si="19"/>
        <v>-0.1721698113207547</v>
      </c>
    </row>
    <row r="70" spans="1:27" ht="15.75" thickBot="1">
      <c r="A70" s="186" t="s">
        <v>177</v>
      </c>
      <c r="B70" s="188">
        <v>-40751</v>
      </c>
      <c r="C70" s="189">
        <f t="shared" si="8"/>
        <v>-0.026608293095399</v>
      </c>
      <c r="D70" s="190">
        <v>-50910</v>
      </c>
      <c r="E70" s="189">
        <f t="shared" si="20"/>
        <v>-0.029492185237107667</v>
      </c>
      <c r="F70" s="189">
        <f t="shared" si="9"/>
        <v>0.24929449584059288</v>
      </c>
      <c r="G70" s="188">
        <v>-78242</v>
      </c>
      <c r="H70" s="189">
        <f t="shared" si="21"/>
        <v>-0.025511363580785713</v>
      </c>
      <c r="I70" s="190">
        <v>-110271</v>
      </c>
      <c r="J70" s="189">
        <f t="shared" si="10"/>
        <v>-0.03077272980967796</v>
      </c>
      <c r="K70" s="189">
        <f t="shared" si="11"/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90">
        <v>-60813</v>
      </c>
      <c r="R70" s="188">
        <f t="shared" si="12"/>
        <v>-48706</v>
      </c>
      <c r="S70" s="189">
        <f t="shared" si="13"/>
        <v>-0.0272413148942977</v>
      </c>
      <c r="T70" s="190">
        <f t="shared" si="14"/>
        <v>-63812</v>
      </c>
      <c r="U70" s="189">
        <f t="shared" si="15"/>
        <v>-0.028200260206751235</v>
      </c>
      <c r="V70" s="189">
        <f t="shared" si="16"/>
        <v>0.3101465938488071</v>
      </c>
      <c r="W70" s="188">
        <v>-170648</v>
      </c>
      <c r="X70" s="189">
        <f t="shared" si="17"/>
        <v>-0.02632720197265796</v>
      </c>
      <c r="Y70" s="190">
        <v>-234896</v>
      </c>
      <c r="Z70" s="189">
        <f t="shared" si="18"/>
        <v>-0.02956370949441672</v>
      </c>
      <c r="AA70" s="189">
        <f t="shared" si="19"/>
        <v>0.37649430406450707</v>
      </c>
    </row>
    <row r="71" spans="1:27" ht="15.75" thickBot="1">
      <c r="A71" s="186" t="s">
        <v>195</v>
      </c>
      <c r="B71" s="188">
        <v>43363</v>
      </c>
      <c r="C71" s="189">
        <f t="shared" si="8"/>
        <v>0.02831379385771605</v>
      </c>
      <c r="D71" s="190">
        <v>46468</v>
      </c>
      <c r="E71" s="189">
        <f t="shared" si="20"/>
        <v>0.026918932696875255</v>
      </c>
      <c r="F71" s="189">
        <f t="shared" si="9"/>
        <v>0.07160482438945645</v>
      </c>
      <c r="G71" s="188">
        <v>43363</v>
      </c>
      <c r="H71" s="189">
        <f t="shared" si="21"/>
        <v>0.01413881622343001</v>
      </c>
      <c r="I71" s="190">
        <v>46962</v>
      </c>
      <c r="J71" s="189">
        <f t="shared" si="10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90">
        <v>0</v>
      </c>
      <c r="R71" s="188">
        <f t="shared" si="12"/>
        <v>29</v>
      </c>
      <c r="S71" s="189">
        <f t="shared" si="13"/>
        <v>1.621972923119602E-05</v>
      </c>
      <c r="T71" s="190">
        <f t="shared" si="14"/>
        <v>54</v>
      </c>
      <c r="U71" s="189">
        <f t="shared" si="15"/>
        <v>2.3864070255822834E-05</v>
      </c>
      <c r="V71" s="189">
        <f t="shared" si="16"/>
        <v>0.8620689655172413</v>
      </c>
      <c r="W71" s="188">
        <v>43395</v>
      </c>
      <c r="X71" s="189">
        <f t="shared" si="17"/>
        <v>0.006694886137566758</v>
      </c>
      <c r="Y71" s="190">
        <v>47016</v>
      </c>
      <c r="Z71" s="189">
        <f t="shared" si="18"/>
        <v>0.005917373499716881</v>
      </c>
      <c r="AA71" s="189">
        <f t="shared" si="19"/>
        <v>0.08344279294849637</v>
      </c>
    </row>
    <row r="72" spans="1:27" ht="15.75" thickBot="1">
      <c r="A72" s="186" t="s">
        <v>178</v>
      </c>
      <c r="B72" s="188">
        <v>6535</v>
      </c>
      <c r="C72" s="189">
        <f t="shared" si="8"/>
        <v>0.004267016646914983</v>
      </c>
      <c r="D72" s="190">
        <v>5949</v>
      </c>
      <c r="E72" s="189">
        <f t="shared" si="20"/>
        <v>0.003446258298478757</v>
      </c>
      <c r="F72" s="189">
        <f t="shared" si="9"/>
        <v>-0.08967100229533283</v>
      </c>
      <c r="G72" s="188">
        <v>-997</v>
      </c>
      <c r="H72" s="189">
        <f t="shared" si="21"/>
        <v>-0.00032507897919331505</v>
      </c>
      <c r="I72" s="190">
        <v>12914</v>
      </c>
      <c r="J72" s="189">
        <f t="shared" si="10"/>
        <v>0.0036038399285594686</v>
      </c>
      <c r="K72" s="189">
        <f aca="true" t="shared" si="24" ref="K72:K81"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90">
        <v>1857</v>
      </c>
      <c r="R72" s="188">
        <f t="shared" si="12"/>
        <v>21520</v>
      </c>
      <c r="S72" s="189">
        <f t="shared" si="13"/>
        <v>0.012036157691563392</v>
      </c>
      <c r="T72" s="190">
        <f t="shared" si="14"/>
        <v>12410</v>
      </c>
      <c r="U72" s="189">
        <f t="shared" si="15"/>
        <v>0.005484316886569655</v>
      </c>
      <c r="V72" s="189">
        <f t="shared" si="16"/>
        <v>-0.4233271375464684</v>
      </c>
      <c r="W72" s="188">
        <v>18479</v>
      </c>
      <c r="X72" s="189">
        <f t="shared" si="17"/>
        <v>0.002850899894828808</v>
      </c>
      <c r="Y72" s="190">
        <v>27181</v>
      </c>
      <c r="Z72" s="189">
        <f t="shared" si="18"/>
        <v>0.0034209658221840337</v>
      </c>
      <c r="AA72" s="189">
        <f t="shared" si="19"/>
        <v>0.4709129281887548</v>
      </c>
    </row>
    <row r="73" spans="1:27" ht="15.75" thickBot="1">
      <c r="A73" s="186" t="s">
        <v>179</v>
      </c>
      <c r="B73" s="188">
        <v>-6192</v>
      </c>
      <c r="C73" s="189">
        <f t="shared" si="8"/>
        <v>-0.004043055405921587</v>
      </c>
      <c r="D73" s="190">
        <v>-4194</v>
      </c>
      <c r="E73" s="189">
        <f t="shared" si="20"/>
        <v>-0.002429586031907868</v>
      </c>
      <c r="F73" s="189">
        <f t="shared" si="9"/>
        <v>-0.3226744186046512</v>
      </c>
      <c r="G73" s="188">
        <v>-8353</v>
      </c>
      <c r="H73" s="189">
        <f t="shared" si="21"/>
        <v>-0.00272355537933978</v>
      </c>
      <c r="I73" s="190">
        <v>-7366</v>
      </c>
      <c r="J73" s="189">
        <f t="shared" si="10"/>
        <v>-0.002055589663448122</v>
      </c>
      <c r="K73" s="189">
        <f t="shared" si="24"/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90">
        <v>-10010</v>
      </c>
      <c r="R73" s="188">
        <f t="shared" si="12"/>
        <v>-906</v>
      </c>
      <c r="S73" s="189">
        <f t="shared" si="13"/>
        <v>-0.0005067267132228825</v>
      </c>
      <c r="T73" s="190">
        <f t="shared" si="14"/>
        <v>-14784</v>
      </c>
      <c r="U73" s="189">
        <f t="shared" si="15"/>
        <v>-0.00653345212337194</v>
      </c>
      <c r="V73" s="189">
        <f t="shared" si="16"/>
        <v>15.317880794701987</v>
      </c>
      <c r="W73" s="188">
        <v>-12771</v>
      </c>
      <c r="X73" s="189">
        <f t="shared" si="17"/>
        <v>-0.0019702820800291524</v>
      </c>
      <c r="Y73" s="190">
        <v>-32160</v>
      </c>
      <c r="Z73" s="189">
        <f t="shared" si="18"/>
        <v>-0.004047616380612874</v>
      </c>
      <c r="AA73" s="189">
        <f t="shared" si="19"/>
        <v>1.5182053089029832</v>
      </c>
    </row>
    <row r="74" spans="1:27" ht="15.75" thickBot="1">
      <c r="A74" s="186" t="s">
        <v>180</v>
      </c>
      <c r="B74" s="187">
        <v>1468</v>
      </c>
      <c r="C74" s="189">
        <f t="shared" si="8"/>
        <v>0.0009585279935227536</v>
      </c>
      <c r="D74" s="195">
        <v>390</v>
      </c>
      <c r="E74" s="189">
        <f t="shared" si="20"/>
        <v>0.00022592717034908643</v>
      </c>
      <c r="F74" s="189">
        <f t="shared" si="9"/>
        <v>-0.7343324250681199</v>
      </c>
      <c r="G74" s="187">
        <v>2828</v>
      </c>
      <c r="H74" s="189">
        <f t="shared" si="21"/>
        <v>0.0009220896220247692</v>
      </c>
      <c r="I74" s="195">
        <v>1148</v>
      </c>
      <c r="J74" s="189">
        <f t="shared" si="10"/>
        <v>0.0003203661327231121</v>
      </c>
      <c r="K74" s="189">
        <f t="shared" si="24"/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95">
        <v>703</v>
      </c>
      <c r="R74" s="187">
        <f t="shared" si="12"/>
        <v>-494</v>
      </c>
      <c r="S74" s="189">
        <f t="shared" si="13"/>
        <v>-0.0002762946979383046</v>
      </c>
      <c r="T74" s="195">
        <f t="shared" si="14"/>
        <v>3077</v>
      </c>
      <c r="U74" s="189">
        <f t="shared" si="15"/>
        <v>0.0013598100773549418</v>
      </c>
      <c r="V74" s="189">
        <f t="shared" si="16"/>
        <v>-7.228744939271255</v>
      </c>
      <c r="W74" s="187">
        <v>3222</v>
      </c>
      <c r="X74" s="189">
        <f t="shared" si="17"/>
        <v>0.0004970831463357551</v>
      </c>
      <c r="Y74" s="195">
        <v>4928</v>
      </c>
      <c r="Z74" s="189">
        <f t="shared" si="18"/>
        <v>0.0006202317637954056</v>
      </c>
      <c r="AA74" s="189">
        <f t="shared" si="19"/>
        <v>0.5294847920546245</v>
      </c>
    </row>
    <row r="75" spans="1:27" ht="15.75" thickBot="1">
      <c r="A75" s="186" t="s">
        <v>181</v>
      </c>
      <c r="B75" s="187">
        <v>3206</v>
      </c>
      <c r="C75" s="189">
        <f t="shared" si="8"/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21"/>
        <v>0.0012269530578780787</v>
      </c>
      <c r="I75" s="195">
        <v>62</v>
      </c>
      <c r="J75" s="189">
        <f t="shared" si="10"/>
        <v>1.7302003683652397E-05</v>
      </c>
      <c r="K75" s="189">
        <f t="shared" si="24"/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95">
        <v>20</v>
      </c>
      <c r="R75" s="187">
        <f t="shared" si="12"/>
        <v>3262</v>
      </c>
      <c r="S75" s="189">
        <f t="shared" si="13"/>
        <v>0.0018244398880055662</v>
      </c>
      <c r="T75" s="195">
        <f t="shared" si="14"/>
        <v>-370</v>
      </c>
      <c r="U75" s="189">
        <f t="shared" si="15"/>
        <v>-0.00016351307397508238</v>
      </c>
      <c r="V75" s="189">
        <f t="shared" si="16"/>
        <v>-1.1134273451870018</v>
      </c>
      <c r="W75" s="187">
        <v>7025</v>
      </c>
      <c r="X75" s="189">
        <f t="shared" si="17"/>
        <v>0.0010838017079480694</v>
      </c>
      <c r="Y75" s="195">
        <v>-288</v>
      </c>
      <c r="Z75" s="189">
        <f t="shared" si="18"/>
        <v>-3.6247310871160066E-05</v>
      </c>
      <c r="AA75" s="189">
        <f t="shared" si="19"/>
        <v>-1.0409964412811388</v>
      </c>
    </row>
    <row r="76" spans="1:27" ht="15.75" thickBot="1">
      <c r="A76" s="191" t="s">
        <v>182</v>
      </c>
      <c r="B76" s="192">
        <f>SUM(B68:B75)</f>
        <v>206606</v>
      </c>
      <c r="C76" s="193">
        <f t="shared" si="8"/>
        <v>0.1349030208649605</v>
      </c>
      <c r="D76" s="194">
        <f>SUM(D68:D75)</f>
        <v>199519</v>
      </c>
      <c r="E76" s="193">
        <f t="shared" si="20"/>
        <v>0.11558144384840865</v>
      </c>
      <c r="F76" s="193">
        <f aca="true" t="shared" si="25" ref="F76:F81">(D76-B76)/B76</f>
        <v>-0.03430200478204892</v>
      </c>
      <c r="G76" s="192">
        <f>SUM(G68:G75)</f>
        <v>325710</v>
      </c>
      <c r="H76" s="193">
        <f t="shared" si="21"/>
        <v>0.10620007453666463</v>
      </c>
      <c r="I76" s="194">
        <f>SUM(I68:I75)</f>
        <v>320613</v>
      </c>
      <c r="J76" s="193">
        <f t="shared" si="10"/>
        <v>0.08947173075849751</v>
      </c>
      <c r="K76" s="193">
        <f t="shared" si="24"/>
        <v>-0.015648890116975223</v>
      </c>
      <c r="L76" s="192">
        <f aca="true" t="shared" si="26" ref="L76:Q76">SUM(L68:L75)</f>
        <v>206606</v>
      </c>
      <c r="M76" s="194">
        <f t="shared" si="26"/>
        <v>199519</v>
      </c>
      <c r="N76" s="192">
        <f t="shared" si="26"/>
        <v>119104</v>
      </c>
      <c r="O76" s="194">
        <f t="shared" si="26"/>
        <v>121094</v>
      </c>
      <c r="P76" s="192">
        <f t="shared" si="26"/>
        <v>121891</v>
      </c>
      <c r="Q76" s="194">
        <f t="shared" si="26"/>
        <v>148512</v>
      </c>
      <c r="R76" s="192">
        <f t="shared" si="12"/>
        <v>129076</v>
      </c>
      <c r="S76" s="193">
        <f t="shared" si="13"/>
        <v>0.07219233690502957</v>
      </c>
      <c r="T76" s="194">
        <f t="shared" si="14"/>
        <v>135169</v>
      </c>
      <c r="U76" s="193">
        <f t="shared" si="15"/>
        <v>0.05973486134091327</v>
      </c>
      <c r="V76" s="193">
        <f t="shared" si="16"/>
        <v>0.047204747590566795</v>
      </c>
      <c r="W76" s="192">
        <f>SUM(W68:W75)</f>
        <v>576677</v>
      </c>
      <c r="X76" s="193">
        <f t="shared" si="17"/>
        <v>0.08896847224688524</v>
      </c>
      <c r="Y76" s="194">
        <f>SUM(Y68:Y75)</f>
        <v>604294</v>
      </c>
      <c r="Z76" s="193">
        <f t="shared" si="18"/>
        <v>0.076055668317975</v>
      </c>
      <c r="AA76" s="193">
        <f t="shared" si="19"/>
        <v>0.04788989330248995</v>
      </c>
    </row>
    <row r="77" spans="1:27" ht="15.75" thickBot="1">
      <c r="A77" s="186" t="s">
        <v>183</v>
      </c>
      <c r="B77" s="188">
        <v>-36515</v>
      </c>
      <c r="C77" s="189">
        <f t="shared" si="8"/>
        <v>-0.02384240441654179</v>
      </c>
      <c r="D77" s="190">
        <v>-51436</v>
      </c>
      <c r="E77" s="189">
        <f t="shared" si="20"/>
        <v>-0.02979689726686054</v>
      </c>
      <c r="F77" s="189">
        <f t="shared" si="25"/>
        <v>0.4086265918115843</v>
      </c>
      <c r="G77" s="188">
        <v>-55182</v>
      </c>
      <c r="H77" s="189">
        <f t="shared" si="21"/>
        <v>-0.01799248568690623</v>
      </c>
      <c r="I77" s="190">
        <v>-89862</v>
      </c>
      <c r="J77" s="189">
        <f t="shared" si="10"/>
        <v>-0.02507730088742535</v>
      </c>
      <c r="K77" s="189">
        <f t="shared" si="24"/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90">
        <v>-47784</v>
      </c>
      <c r="R77" s="188">
        <f t="shared" si="12"/>
        <v>-56841</v>
      </c>
      <c r="S77" s="189">
        <f t="shared" si="13"/>
        <v>-0.03179122859415217</v>
      </c>
      <c r="T77" s="190">
        <f t="shared" si="14"/>
        <v>-45915</v>
      </c>
      <c r="U77" s="189">
        <f t="shared" si="15"/>
        <v>-0.020291088625853805</v>
      </c>
      <c r="V77" s="189">
        <f t="shared" si="16"/>
        <v>-0.19222040428563889</v>
      </c>
      <c r="W77" s="188">
        <v>-145647</v>
      </c>
      <c r="X77" s="189">
        <f t="shared" si="17"/>
        <v>-0.022470102114948393</v>
      </c>
      <c r="Y77" s="190">
        <v>-183561</v>
      </c>
      <c r="Z77" s="189">
        <f t="shared" si="18"/>
        <v>-0.02310275219035074</v>
      </c>
      <c r="AA77" s="189">
        <f t="shared" si="19"/>
        <v>0.2603143216132155</v>
      </c>
    </row>
    <row r="78" spans="1:27" ht="15.75" thickBot="1">
      <c r="A78" s="196" t="s">
        <v>184</v>
      </c>
      <c r="B78" s="197">
        <v>-10883</v>
      </c>
      <c r="C78" s="198">
        <f t="shared" si="8"/>
        <v>-0.007106035526912894</v>
      </c>
      <c r="D78" s="199">
        <v>3407</v>
      </c>
      <c r="E78" s="198">
        <f t="shared" si="20"/>
        <v>0.0019736765881521474</v>
      </c>
      <c r="F78" s="198">
        <f t="shared" si="25"/>
        <v>-1.3130570614720205</v>
      </c>
      <c r="G78" s="197">
        <v>-9635</v>
      </c>
      <c r="H78" s="198">
        <f t="shared" si="21"/>
        <v>-0.0031415606464669913</v>
      </c>
      <c r="I78" s="199">
        <v>4815</v>
      </c>
      <c r="J78" s="198">
        <f t="shared" si="10"/>
        <v>0.0013436959312384887</v>
      </c>
      <c r="K78" s="198">
        <f t="shared" si="24"/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9">
        <v>-3491</v>
      </c>
      <c r="R78" s="197">
        <f t="shared" si="12"/>
        <v>192401</v>
      </c>
      <c r="S78" s="198">
        <f t="shared" si="13"/>
        <v>0.10761007323487398</v>
      </c>
      <c r="T78" s="199">
        <f t="shared" si="14"/>
        <v>15097</v>
      </c>
      <c r="U78" s="198">
        <f t="shared" si="15"/>
        <v>0.006671775345410321</v>
      </c>
      <c r="V78" s="198">
        <f t="shared" si="16"/>
        <v>-0.9215336718624123</v>
      </c>
      <c r="W78" s="197">
        <v>170500</v>
      </c>
      <c r="X78" s="198">
        <f t="shared" si="17"/>
        <v>0.026304368854825032</v>
      </c>
      <c r="Y78" s="199">
        <v>16421</v>
      </c>
      <c r="Z78" s="198">
        <f t="shared" si="18"/>
        <v>0.002066726013247637</v>
      </c>
      <c r="AA78" s="198">
        <f t="shared" si="19"/>
        <v>-0.9036891495601173</v>
      </c>
    </row>
    <row r="79" spans="1:27" ht="15.75" thickBot="1">
      <c r="A79" s="191" t="s">
        <v>185</v>
      </c>
      <c r="B79" s="192">
        <f>SUM(B76:B78)</f>
        <v>159208</v>
      </c>
      <c r="C79" s="193">
        <f t="shared" si="8"/>
        <v>0.10395458092150583</v>
      </c>
      <c r="D79" s="194">
        <f>SUM(D76:D78)</f>
        <v>151490</v>
      </c>
      <c r="E79" s="193">
        <f t="shared" si="20"/>
        <v>0.08775822316970026</v>
      </c>
      <c r="F79" s="193">
        <f t="shared" si="25"/>
        <v>-0.04847746344404804</v>
      </c>
      <c r="G79" s="192">
        <f>SUM(G76:G78)</f>
        <v>260893</v>
      </c>
      <c r="H79" s="193">
        <f t="shared" si="21"/>
        <v>0.08506602820329141</v>
      </c>
      <c r="I79" s="194">
        <f>SUM(I76:I78)</f>
        <v>235566</v>
      </c>
      <c r="J79" s="193">
        <f t="shared" si="10"/>
        <v>0.06573812580231066</v>
      </c>
      <c r="K79" s="193">
        <f t="shared" si="24"/>
        <v>-0.09707811248289529</v>
      </c>
      <c r="L79" s="192">
        <f aca="true" t="shared" si="27" ref="L79:Q79">SUM(L76:L78)</f>
        <v>159208</v>
      </c>
      <c r="M79" s="194">
        <f t="shared" si="27"/>
        <v>151490</v>
      </c>
      <c r="N79" s="192">
        <f t="shared" si="27"/>
        <v>101685</v>
      </c>
      <c r="O79" s="194">
        <f t="shared" si="27"/>
        <v>84076</v>
      </c>
      <c r="P79" s="192">
        <f t="shared" si="27"/>
        <v>76001</v>
      </c>
      <c r="Q79" s="194">
        <f t="shared" si="27"/>
        <v>97237</v>
      </c>
      <c r="R79" s="192">
        <f t="shared" si="12"/>
        <v>264636</v>
      </c>
      <c r="S79" s="193">
        <f t="shared" si="13"/>
        <v>0.14801118154575138</v>
      </c>
      <c r="T79" s="194">
        <f t="shared" si="14"/>
        <v>104351</v>
      </c>
      <c r="U79" s="193">
        <f t="shared" si="15"/>
        <v>0.04611554806046979</v>
      </c>
      <c r="V79" s="193">
        <f t="shared" si="16"/>
        <v>-0.6056810108979882</v>
      </c>
      <c r="W79" s="192">
        <f>SUM(W76:W78)</f>
        <v>601530</v>
      </c>
      <c r="X79" s="193">
        <f t="shared" si="17"/>
        <v>0.09280273898676188</v>
      </c>
      <c r="Y79" s="194">
        <f>SUM(Y76:Y78)</f>
        <v>437154</v>
      </c>
      <c r="Z79" s="193">
        <f t="shared" si="18"/>
        <v>0.0550196421408719</v>
      </c>
      <c r="AA79" s="193">
        <f t="shared" si="19"/>
        <v>-0.27326317889382074</v>
      </c>
    </row>
    <row r="80" spans="1:27" ht="15.75" thickBot="1">
      <c r="A80" s="186" t="s">
        <v>186</v>
      </c>
      <c r="B80" s="187">
        <v>254</v>
      </c>
      <c r="C80" s="189">
        <f t="shared" si="8"/>
        <v>0.0001658488490155173</v>
      </c>
      <c r="D80" s="195">
        <v>-304</v>
      </c>
      <c r="E80" s="189">
        <f t="shared" si="20"/>
        <v>-0.00017610733278492893</v>
      </c>
      <c r="F80" s="189">
        <f t="shared" si="25"/>
        <v>-2.1968503937007875</v>
      </c>
      <c r="G80" s="187">
        <v>-8278</v>
      </c>
      <c r="H80" s="189">
        <f t="shared" si="21"/>
        <v>-0.002699101093041386</v>
      </c>
      <c r="I80" s="195">
        <v>-4314</v>
      </c>
      <c r="J80" s="189">
        <f t="shared" si="10"/>
        <v>-0.0012038845788915555</v>
      </c>
      <c r="K80" s="189">
        <f t="shared" si="24"/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95">
        <v>-446</v>
      </c>
      <c r="R80" s="187">
        <f t="shared" si="12"/>
        <v>-1332</v>
      </c>
      <c r="S80" s="189">
        <f t="shared" si="13"/>
        <v>-0.0007449889426190723</v>
      </c>
      <c r="T80" s="195">
        <f t="shared" si="14"/>
        <v>-1575</v>
      </c>
      <c r="U80" s="189">
        <f t="shared" si="15"/>
        <v>-0.0006960353824614993</v>
      </c>
      <c r="V80" s="189">
        <f t="shared" si="16"/>
        <v>0.18243243243243243</v>
      </c>
      <c r="W80" s="187">
        <v>-12014</v>
      </c>
      <c r="X80" s="189">
        <f t="shared" si="17"/>
        <v>-0.001853493767870193</v>
      </c>
      <c r="Y80" s="195">
        <v>-6335</v>
      </c>
      <c r="Z80" s="189">
        <f t="shared" si="18"/>
        <v>-0.0007973149804472188</v>
      </c>
      <c r="AA80" s="189">
        <f t="shared" si="19"/>
        <v>-0.4726985183952056</v>
      </c>
    </row>
    <row r="81" spans="1:27" ht="15">
      <c r="A81" s="200" t="s">
        <v>187</v>
      </c>
      <c r="B81" s="203">
        <f>SUM(B79:B80)</f>
        <v>159462</v>
      </c>
      <c r="C81" s="202">
        <f t="shared" si="8"/>
        <v>0.10412042977052134</v>
      </c>
      <c r="D81" s="203">
        <f>SUM(D79:D80)</f>
        <v>151186</v>
      </c>
      <c r="E81" s="202">
        <f t="shared" si="20"/>
        <v>0.08758211583691534</v>
      </c>
      <c r="F81" s="202">
        <f t="shared" si="25"/>
        <v>-0.05189951210946809</v>
      </c>
      <c r="G81" s="203">
        <f>SUM(G79:G80)</f>
        <v>252615</v>
      </c>
      <c r="H81" s="202">
        <f t="shared" si="21"/>
        <v>0.08236692711025002</v>
      </c>
      <c r="I81" s="203">
        <f>SUM(I79:I80)</f>
        <v>231252</v>
      </c>
      <c r="J81" s="202">
        <f t="shared" si="10"/>
        <v>0.0645342412234191</v>
      </c>
      <c r="K81" s="202">
        <f t="shared" si="24"/>
        <v>-0.08456742473724838</v>
      </c>
      <c r="L81" s="203">
        <f aca="true" t="shared" si="28" ref="L81:Q81">SUM(L79:L80)</f>
        <v>159462</v>
      </c>
      <c r="M81" s="203">
        <f t="shared" si="28"/>
        <v>151186</v>
      </c>
      <c r="N81" s="203">
        <f t="shared" si="28"/>
        <v>93153</v>
      </c>
      <c r="O81" s="203">
        <f t="shared" si="28"/>
        <v>80066</v>
      </c>
      <c r="P81" s="203">
        <f t="shared" si="28"/>
        <v>73597</v>
      </c>
      <c r="Q81" s="203">
        <f t="shared" si="28"/>
        <v>96791</v>
      </c>
      <c r="R81" s="203">
        <f t="shared" si="12"/>
        <v>263304</v>
      </c>
      <c r="S81" s="202">
        <f t="shared" si="13"/>
        <v>0.1472661926031323</v>
      </c>
      <c r="T81" s="203">
        <f t="shared" si="14"/>
        <v>102776</v>
      </c>
      <c r="U81" s="202">
        <f t="shared" si="15"/>
        <v>0.045419512678008284</v>
      </c>
      <c r="V81" s="202">
        <f t="shared" si="16"/>
        <v>-0.6096679123750494</v>
      </c>
      <c r="W81" s="203">
        <f>SUM(W79:W80)</f>
        <v>589516</v>
      </c>
      <c r="X81" s="202">
        <f t="shared" si="17"/>
        <v>0.0909492452188917</v>
      </c>
      <c r="Y81" s="203">
        <f>SUM(Y79:Y80)</f>
        <v>430819</v>
      </c>
      <c r="Z81" s="202">
        <f t="shared" si="18"/>
        <v>0.05422232716042468</v>
      </c>
      <c r="AA81" s="202">
        <f t="shared" si="19"/>
        <v>-0.26919880037183047</v>
      </c>
    </row>
    <row r="82" spans="1:27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9"/>
      <c r="R82" s="207"/>
      <c r="S82" s="205"/>
      <c r="T82" s="207"/>
      <c r="U82" s="208"/>
      <c r="V82" s="209"/>
      <c r="W82" s="207"/>
      <c r="X82" s="205"/>
      <c r="Y82" s="207"/>
      <c r="Z82" s="208"/>
      <c r="AA82" s="209"/>
    </row>
    <row r="83" spans="1:27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5"/>
      <c r="R83" s="213"/>
      <c r="S83" s="211"/>
      <c r="T83" s="213"/>
      <c r="U83" s="214"/>
      <c r="V83" s="215"/>
      <c r="W83" s="213"/>
      <c r="X83" s="211"/>
      <c r="Y83" s="213"/>
      <c r="Z83" s="214"/>
      <c r="AA83" s="215"/>
    </row>
    <row r="84" spans="1:27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20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21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 aca="true" t="shared" si="29" ref="L84:Q84">+L81-L85</f>
        <v>158694</v>
      </c>
      <c r="M84" s="217">
        <f t="shared" si="29"/>
        <v>150991</v>
      </c>
      <c r="N84" s="188">
        <f t="shared" si="29"/>
        <v>92533</v>
      </c>
      <c r="O84" s="217">
        <f t="shared" si="29"/>
        <v>79293</v>
      </c>
      <c r="P84" s="188">
        <f t="shared" si="29"/>
        <v>73285</v>
      </c>
      <c r="Q84" s="217">
        <f t="shared" si="29"/>
        <v>95871</v>
      </c>
      <c r="R84" s="188">
        <f>+W84-L84-N84-P84</f>
        <v>262714</v>
      </c>
      <c r="S84" s="224">
        <f>+R84/$R$60</f>
        <v>0.14693620500842866</v>
      </c>
      <c r="T84" s="217">
        <f>+Y84-M84-O84-Q84</f>
        <v>101997</v>
      </c>
      <c r="U84" s="189">
        <f>+T84/$T$60</f>
        <v>0.0450752513682067</v>
      </c>
      <c r="V84" s="224">
        <f>(T84-R84)/R84</f>
        <v>-0.6117565108825567</v>
      </c>
      <c r="W84" s="188">
        <f>+W81-W85</f>
        <v>587226</v>
      </c>
      <c r="X84" s="189">
        <f>+W84/$W$60</f>
        <v>0.0905959490037741</v>
      </c>
      <c r="Y84" s="217">
        <f>+Y81-Y85</f>
        <v>428152</v>
      </c>
      <c r="Z84" s="189">
        <f>+Y84/$Y$60</f>
        <v>0.05388666195871154</v>
      </c>
      <c r="AA84" s="224">
        <f>(Y84-W84)/W84</f>
        <v>-0.2708905940813247</v>
      </c>
    </row>
    <row r="85" spans="1:27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20"/>
        <v>0.00011296358517454322</v>
      </c>
      <c r="F85" s="198">
        <f>(D85-B85)/B85</f>
        <v>-0.74609375</v>
      </c>
      <c r="G85" s="219">
        <v>1388</v>
      </c>
      <c r="H85" s="198">
        <f t="shared" si="21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220">
        <v>920</v>
      </c>
      <c r="R85" s="219">
        <f>+W85-L85-N85-P85</f>
        <v>590</v>
      </c>
      <c r="S85" s="225">
        <f>+R85/$R$60</f>
        <v>0.00032998759470364317</v>
      </c>
      <c r="T85" s="220">
        <f>+Y85-M85-O85-Q85</f>
        <v>779</v>
      </c>
      <c r="U85" s="198">
        <f>+T85/$T$60</f>
        <v>0.00034426130980159237</v>
      </c>
      <c r="V85" s="225">
        <f>(T85-R85)/R85</f>
        <v>0.32033898305084746</v>
      </c>
      <c r="W85" s="219">
        <v>2290</v>
      </c>
      <c r="X85" s="198">
        <f>+W85/$W$60</f>
        <v>0.00035329621511759134</v>
      </c>
      <c r="Y85" s="220">
        <v>2667</v>
      </c>
      <c r="Z85" s="198">
        <f>+Y85/$Y$60</f>
        <v>0.0003356652017131385</v>
      </c>
      <c r="AA85" s="225">
        <f>(Y85-W85)/W85</f>
        <v>0.1646288209606987</v>
      </c>
    </row>
    <row r="86" spans="1:27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20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21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222">
        <v>96791</v>
      </c>
      <c r="R86" s="192">
        <f>+W86-L86-N86-P86</f>
        <v>263304</v>
      </c>
      <c r="S86" s="226">
        <f>+R86/$R$60</f>
        <v>0.1472661926031323</v>
      </c>
      <c r="T86" s="222">
        <f>+Y86-M86-O86-Q86</f>
        <v>102776</v>
      </c>
      <c r="U86" s="193">
        <f>+T86/$T$60</f>
        <v>0.045419512678008284</v>
      </c>
      <c r="V86" s="226">
        <f>(T86-R86)/R86</f>
        <v>-0.6096679123750494</v>
      </c>
      <c r="W86" s="192">
        <f>SUM(W84:W85)</f>
        <v>589516</v>
      </c>
      <c r="X86" s="193">
        <f>+W86/$W$60</f>
        <v>0.0909492452188917</v>
      </c>
      <c r="Y86" s="222">
        <f>SUM(Y84:Y85)</f>
        <v>430819</v>
      </c>
      <c r="Z86" s="193">
        <f>+Y86/$Y$60</f>
        <v>0.05422232716042468</v>
      </c>
      <c r="AA86" s="226">
        <f>(Y86-W86)/W86</f>
        <v>-0.26919880037183047</v>
      </c>
    </row>
    <row r="87" spans="1:27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20"/>
        <v>0.13608694140955382</v>
      </c>
      <c r="F87" s="202">
        <f>(D87-B87)/B87</f>
        <v>-0.008667763851964383</v>
      </c>
      <c r="G87" s="203">
        <v>437041</v>
      </c>
      <c r="H87" s="202">
        <f t="shared" si="21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3">
        <v>270787</v>
      </c>
      <c r="R87" s="203">
        <f>+W87-L87-N87-P87</f>
        <v>190637</v>
      </c>
      <c r="S87" s="227">
        <f>+R87/$R$60</f>
        <v>0.10662346625681089</v>
      </c>
      <c r="T87" s="203">
        <f>+Y87-M87-O87-Q87</f>
        <v>245884</v>
      </c>
      <c r="U87" s="228">
        <f>+T87/$T$60</f>
        <v>0.10866283427375448</v>
      </c>
      <c r="V87" s="227">
        <f>(T87-R87)/R87</f>
        <v>0.28980208459008483</v>
      </c>
      <c r="W87" s="203">
        <v>835701</v>
      </c>
      <c r="X87" s="228">
        <f>+W87/$W$60</f>
        <v>0.1289301311222647</v>
      </c>
      <c r="Y87" s="203">
        <v>975554</v>
      </c>
      <c r="Z87" s="228">
        <f>+Y87/$Y$60</f>
        <v>0.1227819760750128</v>
      </c>
      <c r="AA87" s="227">
        <f>(Y87-W87)/W87</f>
        <v>0.16734813049164712</v>
      </c>
    </row>
    <row r="88" ht="15">
      <c r="AT88" s="17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6"/>
  <sheetViews>
    <sheetView zoomScale="90" zoomScaleNormal="90" zoomScalePageLayoutView="0" workbookViewId="0" topLeftCell="A1">
      <selection activeCell="B48" sqref="B48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351"/>
      <c r="C1" s="351"/>
      <c r="D1" s="351"/>
      <c r="E1" s="351"/>
    </row>
    <row r="2" spans="1:5" ht="15">
      <c r="A2" s="144" t="s">
        <v>97</v>
      </c>
      <c r="B2" s="351"/>
      <c r="C2" s="351"/>
      <c r="D2" s="351"/>
      <c r="E2" s="351"/>
    </row>
    <row r="3" spans="1:5" ht="15">
      <c r="A3" s="144" t="s">
        <v>131</v>
      </c>
      <c r="B3" s="351"/>
      <c r="C3" s="351"/>
      <c r="D3" s="351"/>
      <c r="E3" s="351"/>
    </row>
    <row r="4" spans="1:5" ht="15">
      <c r="A4" s="146" t="s">
        <v>132</v>
      </c>
      <c r="B4" s="351"/>
      <c r="C4" s="351"/>
      <c r="D4" s="351"/>
      <c r="E4" s="351"/>
    </row>
    <row r="5" spans="2:5" ht="15.75" thickBot="1">
      <c r="B5" s="351"/>
      <c r="C5" s="351"/>
      <c r="D5" s="351"/>
      <c r="E5" s="351"/>
    </row>
    <row r="6" spans="1:4" ht="36" customHeight="1" thickBot="1">
      <c r="A6" s="254"/>
      <c r="B6" s="255" t="s">
        <v>124</v>
      </c>
      <c r="C6" s="249" t="s">
        <v>198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</row>
    <row r="10" spans="1:4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</row>
    <row r="11" spans="1:4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</row>
    <row r="12" spans="1:4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</row>
    <row r="13" spans="1:4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</row>
    <row r="14" spans="1:4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</row>
    <row r="15" spans="1:4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26729</v>
      </c>
      <c r="C17" s="158">
        <v>25395</v>
      </c>
      <c r="D17" s="159">
        <f aca="true" t="shared" si="1" ref="D17:D28">(C17-B17)/B17</f>
        <v>-0.049908339256986796</v>
      </c>
    </row>
    <row r="18" spans="1:4" ht="15.75" thickBot="1">
      <c r="A18" s="155" t="s">
        <v>140</v>
      </c>
      <c r="B18" s="157">
        <v>5699</v>
      </c>
      <c r="C18" s="158">
        <v>6156</v>
      </c>
      <c r="D18" s="159">
        <f t="shared" si="1"/>
        <v>0.08018950693104053</v>
      </c>
    </row>
    <row r="19" spans="1:4" ht="15.75" thickBot="1">
      <c r="A19" s="155" t="s">
        <v>141</v>
      </c>
      <c r="B19" s="157">
        <v>109021</v>
      </c>
      <c r="C19" s="158">
        <v>110760</v>
      </c>
      <c r="D19" s="159">
        <f t="shared" si="1"/>
        <v>0.01595105530127223</v>
      </c>
    </row>
    <row r="20" spans="1:4" ht="15.75" thickBot="1">
      <c r="A20" s="155" t="s">
        <v>142</v>
      </c>
      <c r="B20" s="157">
        <v>3418149</v>
      </c>
      <c r="C20" s="158">
        <v>3893661</v>
      </c>
      <c r="D20" s="159">
        <f t="shared" si="1"/>
        <v>0.13911388883281567</v>
      </c>
    </row>
    <row r="21" spans="1:4" ht="15.75" thickBot="1">
      <c r="A21" s="155" t="s">
        <v>143</v>
      </c>
      <c r="B21" s="157">
        <v>3383722</v>
      </c>
      <c r="C21" s="158">
        <v>3364160</v>
      </c>
      <c r="D21" s="159">
        <f t="shared" si="1"/>
        <v>-0.00578120779425733</v>
      </c>
    </row>
    <row r="22" spans="1:4" ht="15.75" thickBot="1">
      <c r="A22" s="155" t="s">
        <v>144</v>
      </c>
      <c r="B22" s="157">
        <v>82393</v>
      </c>
      <c r="C22" s="158">
        <v>82141</v>
      </c>
      <c r="D22" s="159">
        <f t="shared" si="1"/>
        <v>-0.003058512252254439</v>
      </c>
    </row>
    <row r="23" spans="1:4" ht="15.75" thickBot="1">
      <c r="A23" s="155" t="s">
        <v>145</v>
      </c>
      <c r="B23" s="157">
        <v>2033403</v>
      </c>
      <c r="C23" s="158">
        <v>2036765</v>
      </c>
      <c r="D23" s="159">
        <f t="shared" si="1"/>
        <v>0.001653385974152689</v>
      </c>
    </row>
    <row r="24" spans="1:4" ht="15.75" thickBot="1">
      <c r="A24" s="155" t="s">
        <v>146</v>
      </c>
      <c r="B24" s="157">
        <v>1179957</v>
      </c>
      <c r="C24" s="158">
        <v>1172357</v>
      </c>
      <c r="D24" s="159">
        <f t="shared" si="1"/>
        <v>-0.006440912677326377</v>
      </c>
    </row>
    <row r="25" spans="1:4" ht="15.75" thickBot="1">
      <c r="A25" s="155" t="s">
        <v>147</v>
      </c>
      <c r="B25" s="157">
        <v>355461</v>
      </c>
      <c r="C25" s="158">
        <v>371603</v>
      </c>
      <c r="D25" s="159">
        <f t="shared" si="1"/>
        <v>0.045411451607911976</v>
      </c>
    </row>
    <row r="26" spans="1:4" ht="15.75" thickBot="1">
      <c r="A26" s="160" t="s">
        <v>24</v>
      </c>
      <c r="B26" s="162">
        <v>40645</v>
      </c>
      <c r="C26" s="163">
        <v>42717</v>
      </c>
      <c r="D26" s="167">
        <f t="shared" si="1"/>
        <v>0.05097798007134949</v>
      </c>
    </row>
    <row r="27" spans="1:4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1"/>
        <v>0.04424335500135917</v>
      </c>
    </row>
    <row r="28" spans="1:4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1"/>
        <v>0.0418712871978347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1059660</v>
      </c>
      <c r="C31" s="158">
        <v>1044488</v>
      </c>
      <c r="D31" s="159">
        <f aca="true" t="shared" si="2" ref="D31:D37">(C31-B31)/B31</f>
        <v>-0.014317800049072344</v>
      </c>
    </row>
    <row r="32" spans="1:4" ht="15.75" thickBot="1">
      <c r="A32" s="155" t="s">
        <v>152</v>
      </c>
      <c r="B32" s="157">
        <v>825435</v>
      </c>
      <c r="C32" s="158">
        <v>935523</v>
      </c>
      <c r="D32" s="159">
        <f t="shared" si="2"/>
        <v>0.13336967780624762</v>
      </c>
    </row>
    <row r="33" spans="1:4" ht="15.75" thickBot="1">
      <c r="A33" s="155" t="s">
        <v>153</v>
      </c>
      <c r="B33" s="157">
        <v>172323</v>
      </c>
      <c r="C33" s="158">
        <v>186031</v>
      </c>
      <c r="D33" s="159">
        <f t="shared" si="2"/>
        <v>0.07954829012958224</v>
      </c>
    </row>
    <row r="34" spans="1:4" ht="15.75" thickBot="1">
      <c r="A34" s="155" t="s">
        <v>154</v>
      </c>
      <c r="B34" s="157">
        <v>160628</v>
      </c>
      <c r="C34" s="158">
        <v>122670</v>
      </c>
      <c r="D34" s="159">
        <f t="shared" si="2"/>
        <v>-0.23630998331548672</v>
      </c>
    </row>
    <row r="35" spans="1:4" ht="15.75" thickBot="1">
      <c r="A35" s="155" t="s">
        <v>155</v>
      </c>
      <c r="B35" s="157">
        <v>4415</v>
      </c>
      <c r="C35" s="158">
        <v>3289</v>
      </c>
      <c r="D35" s="159">
        <f t="shared" si="2"/>
        <v>-0.255039637599094</v>
      </c>
    </row>
    <row r="36" spans="1:4" ht="15.75" thickBot="1">
      <c r="A36" s="160" t="s">
        <v>35</v>
      </c>
      <c r="B36" s="162">
        <v>26641</v>
      </c>
      <c r="C36" s="163">
        <v>26274</v>
      </c>
      <c r="D36" s="167">
        <f t="shared" si="2"/>
        <v>-0.013775759168199392</v>
      </c>
    </row>
    <row r="37" spans="1:4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2"/>
        <v>0.030755830549259216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</row>
    <row r="40" spans="1:4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</row>
    <row r="41" spans="1:4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</row>
    <row r="42" spans="1:4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</row>
    <row r="43" spans="1:4" ht="15.75" thickBot="1">
      <c r="A43" s="160" t="s">
        <v>35</v>
      </c>
      <c r="B43" s="161" t="s">
        <v>159</v>
      </c>
      <c r="C43" s="173">
        <v>779</v>
      </c>
      <c r="D43" s="167" t="s">
        <v>88</v>
      </c>
    </row>
    <row r="44" spans="1:4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</row>
    <row r="45" spans="1:4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</row>
    <row r="48" spans="1:4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</row>
    <row r="49" spans="1:4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</row>
    <row r="50" spans="1:4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</row>
    <row r="53" spans="1:5" ht="18.75">
      <c r="A53" s="179" t="s">
        <v>165</v>
      </c>
      <c r="B53" s="351"/>
      <c r="C53" s="351"/>
      <c r="D53" s="351"/>
      <c r="E53" s="351"/>
    </row>
    <row r="54" spans="1:5" ht="15">
      <c r="A54" s="144" t="s">
        <v>192</v>
      </c>
      <c r="B54" s="351"/>
      <c r="C54" s="351"/>
      <c r="D54" s="351"/>
      <c r="E54" s="351"/>
    </row>
    <row r="55" spans="1:5" ht="15">
      <c r="A55" s="144" t="s">
        <v>131</v>
      </c>
      <c r="B55" s="351"/>
      <c r="C55" s="351"/>
      <c r="D55" s="351"/>
      <c r="E55" s="351"/>
    </row>
    <row r="56" spans="1:5" ht="15">
      <c r="A56" s="146" t="s">
        <v>132</v>
      </c>
      <c r="B56" s="351"/>
      <c r="C56" s="351"/>
      <c r="D56" s="351"/>
      <c r="E56" s="351"/>
    </row>
    <row r="57" spans="2:5" ht="15.75" thickBot="1">
      <c r="B57" s="351"/>
      <c r="C57" s="351"/>
      <c r="D57" s="351"/>
      <c r="E57" s="351"/>
    </row>
    <row r="58" spans="1:6" ht="15.75" customHeight="1" thickBot="1">
      <c r="A58" s="256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1726220</v>
      </c>
      <c r="C60" s="184">
        <f aca="true" t="shared" si="3" ref="C60:C80">+B60/$B$60</f>
        <v>1</v>
      </c>
      <c r="D60" s="185">
        <v>2104216</v>
      </c>
      <c r="E60" s="184">
        <f aca="true" t="shared" si="4" ref="E60:E80">+D60/$D$60</f>
        <v>1</v>
      </c>
      <c r="F60" s="184">
        <f aca="true" t="shared" si="5" ref="F60:F80">(D60-B60)/B60</f>
        <v>0.21897324790582892</v>
      </c>
    </row>
    <row r="61" spans="1:6" ht="15.75" thickBot="1">
      <c r="A61" s="186" t="s">
        <v>45</v>
      </c>
      <c r="B61" s="188">
        <v>-972781</v>
      </c>
      <c r="C61" s="189">
        <f t="shared" si="3"/>
        <v>-0.5635324582034735</v>
      </c>
      <c r="D61" s="190">
        <v>-1196310</v>
      </c>
      <c r="E61" s="189">
        <f t="shared" si="4"/>
        <v>-0.5685300368403243</v>
      </c>
      <c r="F61" s="189">
        <f t="shared" si="5"/>
        <v>0.22978347644536642</v>
      </c>
    </row>
    <row r="62" spans="1:6" ht="15.75" thickBot="1">
      <c r="A62" s="191" t="s">
        <v>95</v>
      </c>
      <c r="B62" s="192">
        <v>753439</v>
      </c>
      <c r="C62" s="193">
        <f t="shared" si="3"/>
        <v>0.4364675417965265</v>
      </c>
      <c r="D62" s="194">
        <v>907906</v>
      </c>
      <c r="E62" s="193">
        <f t="shared" si="4"/>
        <v>0.4314699631596756</v>
      </c>
      <c r="F62" s="193">
        <f t="shared" si="5"/>
        <v>0.205015933605773</v>
      </c>
    </row>
    <row r="63" spans="1:6" ht="15.75" thickBot="1">
      <c r="A63" s="186" t="s">
        <v>170</v>
      </c>
      <c r="B63" s="188">
        <v>-96265</v>
      </c>
      <c r="C63" s="189">
        <f t="shared" si="3"/>
        <v>-0.05576635654783284</v>
      </c>
      <c r="D63" s="190">
        <v>-97009</v>
      </c>
      <c r="E63" s="189">
        <f t="shared" si="4"/>
        <v>-0.046102206237382475</v>
      </c>
      <c r="F63" s="189">
        <f t="shared" si="5"/>
        <v>0.007728665662494157</v>
      </c>
    </row>
    <row r="64" spans="1:6" ht="15.75" thickBot="1">
      <c r="A64" s="186" t="s">
        <v>171</v>
      </c>
      <c r="B64" s="188">
        <v>-436316</v>
      </c>
      <c r="C64" s="189">
        <f t="shared" si="3"/>
        <v>-0.25275804937956925</v>
      </c>
      <c r="D64" s="190">
        <v>-547935</v>
      </c>
      <c r="E64" s="189">
        <f t="shared" si="4"/>
        <v>-0.2603986472871606</v>
      </c>
      <c r="F64" s="189">
        <f t="shared" si="5"/>
        <v>0.2558214688436821</v>
      </c>
    </row>
    <row r="65" spans="1:6" ht="15.75" thickBot="1">
      <c r="A65" s="186" t="s">
        <v>172</v>
      </c>
      <c r="B65" s="188">
        <v>-32449</v>
      </c>
      <c r="C65" s="189">
        <f t="shared" si="3"/>
        <v>-0.018797719873480785</v>
      </c>
      <c r="D65" s="190">
        <v>-34692</v>
      </c>
      <c r="E65" s="189">
        <f t="shared" si="4"/>
        <v>-0.016486900584350657</v>
      </c>
      <c r="F65" s="189">
        <f t="shared" si="5"/>
        <v>0.06912385589694597</v>
      </c>
    </row>
    <row r="66" spans="1:6" ht="15.75" thickBot="1">
      <c r="A66" s="186" t="s">
        <v>173</v>
      </c>
      <c r="B66" s="188">
        <v>8166</v>
      </c>
      <c r="C66" s="189">
        <f t="shared" si="3"/>
        <v>0.004730567366847795</v>
      </c>
      <c r="D66" s="190">
        <v>3848</v>
      </c>
      <c r="E66" s="189">
        <f t="shared" si="4"/>
        <v>0.0018287096001551172</v>
      </c>
      <c r="F66" s="189">
        <f t="shared" si="5"/>
        <v>-0.5287778594170953</v>
      </c>
    </row>
    <row r="67" spans="1:6" ht="15.75" thickBot="1">
      <c r="A67" s="186" t="s">
        <v>174</v>
      </c>
      <c r="B67" s="188">
        <v>2206</v>
      </c>
      <c r="C67" s="189">
        <f t="shared" si="3"/>
        <v>0.0012779367635643198</v>
      </c>
      <c r="D67" s="190">
        <v>1169</v>
      </c>
      <c r="E67" s="189">
        <f t="shared" si="4"/>
        <v>0.0005555513312321549</v>
      </c>
      <c r="F67" s="189">
        <f t="shared" si="5"/>
        <v>-0.4700815956482321</v>
      </c>
    </row>
    <row r="68" spans="1:6" ht="15.75" thickBot="1">
      <c r="A68" s="182" t="s">
        <v>175</v>
      </c>
      <c r="B68" s="183">
        <v>198781</v>
      </c>
      <c r="C68" s="184">
        <f t="shared" si="3"/>
        <v>0.11515392012605577</v>
      </c>
      <c r="D68" s="185">
        <v>233287</v>
      </c>
      <c r="E68" s="184">
        <f t="shared" si="4"/>
        <v>0.11086646998216913</v>
      </c>
      <c r="F68" s="184">
        <f t="shared" si="5"/>
        <v>0.17358801897565662</v>
      </c>
    </row>
    <row r="69" spans="1:6" ht="15.75" thickBot="1">
      <c r="A69" s="186" t="s">
        <v>176</v>
      </c>
      <c r="B69" s="188">
        <v>3035</v>
      </c>
      <c r="C69" s="189">
        <f t="shared" si="3"/>
        <v>0.0017581768256653267</v>
      </c>
      <c r="D69" s="190">
        <v>2165</v>
      </c>
      <c r="E69" s="189">
        <f t="shared" si="4"/>
        <v>0.0010288867682785418</v>
      </c>
      <c r="F69" s="189">
        <f t="shared" si="5"/>
        <v>-0.28665568369028005</v>
      </c>
    </row>
    <row r="70" spans="1:6" ht="15.75" thickBot="1">
      <c r="A70" s="186" t="s">
        <v>177</v>
      </c>
      <c r="B70" s="188">
        <v>-50910</v>
      </c>
      <c r="C70" s="189">
        <f t="shared" si="3"/>
        <v>-0.029492185237107667</v>
      </c>
      <c r="D70" s="190">
        <v>-70846</v>
      </c>
      <c r="E70" s="189">
        <f t="shared" si="4"/>
        <v>-0.03366859676002844</v>
      </c>
      <c r="F70" s="189">
        <f t="shared" si="5"/>
        <v>0.3915930072677274</v>
      </c>
    </row>
    <row r="71" spans="1:6" ht="15.75" thickBot="1">
      <c r="A71" s="186" t="s">
        <v>194</v>
      </c>
      <c r="B71" s="188">
        <v>46468</v>
      </c>
      <c r="C71" s="189">
        <f t="shared" si="3"/>
        <v>0.026918932696875255</v>
      </c>
      <c r="D71" s="190">
        <v>50453</v>
      </c>
      <c r="E71" s="189">
        <f t="shared" si="4"/>
        <v>0.023977101210141925</v>
      </c>
      <c r="F71" s="189">
        <f t="shared" si="5"/>
        <v>0.08575794094860979</v>
      </c>
    </row>
    <row r="72" spans="1:6" ht="15.75" thickBot="1">
      <c r="A72" s="186" t="s">
        <v>178</v>
      </c>
      <c r="B72" s="188">
        <v>5949</v>
      </c>
      <c r="C72" s="189">
        <f t="shared" si="3"/>
        <v>0.003446258298478757</v>
      </c>
      <c r="D72" s="190">
        <v>-9738</v>
      </c>
      <c r="E72" s="189">
        <f t="shared" si="4"/>
        <v>-0.004627851893531843</v>
      </c>
      <c r="F72" s="189">
        <f t="shared" si="5"/>
        <v>-2.636913767019667</v>
      </c>
    </row>
    <row r="73" spans="1:6" ht="15.75" thickBot="1">
      <c r="A73" s="186" t="s">
        <v>179</v>
      </c>
      <c r="B73" s="188">
        <v>-4194</v>
      </c>
      <c r="C73" s="189">
        <f t="shared" si="3"/>
        <v>-0.002429586031907868</v>
      </c>
      <c r="D73" s="190">
        <v>-11041</v>
      </c>
      <c r="E73" s="189">
        <f t="shared" si="4"/>
        <v>-0.005247084900029274</v>
      </c>
      <c r="F73" s="189">
        <f t="shared" si="5"/>
        <v>1.6325703385789223</v>
      </c>
    </row>
    <row r="74" spans="1:6" ht="15.75" thickBot="1">
      <c r="A74" s="186" t="s">
        <v>180</v>
      </c>
      <c r="B74" s="187">
        <v>390</v>
      </c>
      <c r="C74" s="189">
        <f t="shared" si="3"/>
        <v>0.00022592717034908643</v>
      </c>
      <c r="D74" s="195">
        <v>185</v>
      </c>
      <c r="E74" s="189">
        <f t="shared" si="4"/>
        <v>8.791873077668833E-05</v>
      </c>
      <c r="F74" s="189">
        <f t="shared" si="5"/>
        <v>-0.5256410256410257</v>
      </c>
    </row>
    <row r="75" spans="1:6" ht="15.75" thickBot="1">
      <c r="A75" s="191" t="s">
        <v>182</v>
      </c>
      <c r="B75" s="192">
        <v>199519</v>
      </c>
      <c r="C75" s="193">
        <f t="shared" si="3"/>
        <v>0.11558144384840865</v>
      </c>
      <c r="D75" s="194">
        <v>194465</v>
      </c>
      <c r="E75" s="193">
        <f t="shared" si="4"/>
        <v>0.09241684313777673</v>
      </c>
      <c r="F75" s="193">
        <f t="shared" si="5"/>
        <v>-0.025330920864679553</v>
      </c>
    </row>
    <row r="76" spans="1:6" ht="15.75" thickBot="1">
      <c r="A76" s="186" t="s">
        <v>183</v>
      </c>
      <c r="B76" s="188">
        <v>-51436</v>
      </c>
      <c r="C76" s="189">
        <f t="shared" si="3"/>
        <v>-0.02979689726686054</v>
      </c>
      <c r="D76" s="190">
        <v>-56024</v>
      </c>
      <c r="E76" s="189">
        <f t="shared" si="4"/>
        <v>-0.026624643097476686</v>
      </c>
      <c r="F76" s="189">
        <f t="shared" si="5"/>
        <v>0.08919822692277782</v>
      </c>
    </row>
    <row r="77" spans="1:6" ht="15.75" thickBot="1">
      <c r="A77" s="196" t="s">
        <v>184</v>
      </c>
      <c r="B77" s="197">
        <v>3407</v>
      </c>
      <c r="C77" s="198">
        <f t="shared" si="3"/>
        <v>0.0019736765881521474</v>
      </c>
      <c r="D77" s="199">
        <v>14256</v>
      </c>
      <c r="E77" s="198">
        <f t="shared" si="4"/>
        <v>0.006774969870013345</v>
      </c>
      <c r="F77" s="198">
        <f t="shared" si="5"/>
        <v>3.1843263868506018</v>
      </c>
    </row>
    <row r="78" spans="1:6" ht="15.75" thickBot="1">
      <c r="A78" s="191" t="s">
        <v>185</v>
      </c>
      <c r="B78" s="192">
        <v>151490</v>
      </c>
      <c r="C78" s="193">
        <f t="shared" si="3"/>
        <v>0.08775822316970026</v>
      </c>
      <c r="D78" s="194">
        <v>152697</v>
      </c>
      <c r="E78" s="193">
        <f t="shared" si="4"/>
        <v>0.0725671699103134</v>
      </c>
      <c r="F78" s="193">
        <f t="shared" si="5"/>
        <v>0.007967522608753053</v>
      </c>
    </row>
    <row r="79" spans="1:6" ht="15.75" thickBot="1">
      <c r="A79" s="186" t="s">
        <v>186</v>
      </c>
      <c r="B79" s="187">
        <v>-304</v>
      </c>
      <c r="C79" s="189">
        <f t="shared" si="3"/>
        <v>-0.00017610733278492893</v>
      </c>
      <c r="D79" s="195">
        <v>-164</v>
      </c>
      <c r="E79" s="189">
        <f t="shared" si="4"/>
        <v>-7.793876674257775E-05</v>
      </c>
      <c r="F79" s="189">
        <f t="shared" si="5"/>
        <v>-0.4605263157894737</v>
      </c>
    </row>
    <row r="80" spans="1:6" ht="15">
      <c r="A80" s="200" t="s">
        <v>187</v>
      </c>
      <c r="B80" s="201">
        <v>151186</v>
      </c>
      <c r="C80" s="202">
        <f t="shared" si="3"/>
        <v>0.08758211583691534</v>
      </c>
      <c r="D80" s="203">
        <v>152533</v>
      </c>
      <c r="E80" s="202">
        <f t="shared" si="4"/>
        <v>0.07248923114357081</v>
      </c>
      <c r="F80" s="202">
        <f t="shared" si="5"/>
        <v>0.008909555117537339</v>
      </c>
    </row>
    <row r="81" spans="1:6" ht="15">
      <c r="A81" s="204"/>
      <c r="B81" s="206"/>
      <c r="C81" s="207"/>
      <c r="D81" s="209"/>
      <c r="E81" s="207"/>
      <c r="F81" s="207"/>
    </row>
    <row r="82" spans="1:6" ht="15">
      <c r="A82" s="210" t="s">
        <v>188</v>
      </c>
      <c r="B82" s="212"/>
      <c r="C82" s="213"/>
      <c r="D82" s="215"/>
      <c r="E82" s="213"/>
      <c r="F82" s="213"/>
    </row>
    <row r="83" spans="1:6" ht="15.75" thickBot="1">
      <c r="A83" s="216" t="s">
        <v>189</v>
      </c>
      <c r="B83" s="188">
        <v>150991</v>
      </c>
      <c r="C83" s="189">
        <f>+B83/$B$60</f>
        <v>0.0874691522517408</v>
      </c>
      <c r="D83" s="217">
        <v>151672</v>
      </c>
      <c r="E83" s="189">
        <f>+D83/$D$60</f>
        <v>0.07208005261817228</v>
      </c>
      <c r="F83" s="189">
        <f>(D83-B83)/B83</f>
        <v>0.004510202594856647</v>
      </c>
    </row>
    <row r="84" spans="1:6" ht="15.75" thickBot="1">
      <c r="A84" s="218" t="s">
        <v>96</v>
      </c>
      <c r="B84" s="219">
        <v>195</v>
      </c>
      <c r="C84" s="198">
        <f>+B84/$B$60</f>
        <v>0.00011296358517454322</v>
      </c>
      <c r="D84" s="220">
        <v>861</v>
      </c>
      <c r="E84" s="198">
        <f>+D84/$D$60</f>
        <v>0.0004091785253985332</v>
      </c>
      <c r="F84" s="198">
        <f>(D84-B84)/B84</f>
        <v>3.4153846153846152</v>
      </c>
    </row>
    <row r="85" spans="1:6" ht="15.75" thickBot="1">
      <c r="A85" s="221" t="s">
        <v>187</v>
      </c>
      <c r="B85" s="192">
        <v>151186</v>
      </c>
      <c r="C85" s="193">
        <f>+B85/$B$60</f>
        <v>0.08758211583691534</v>
      </c>
      <c r="D85" s="222">
        <v>152533</v>
      </c>
      <c r="E85" s="193">
        <f>+D85/$D$60</f>
        <v>0.07248923114357081</v>
      </c>
      <c r="F85" s="193">
        <f>(D85-B85)/B85</f>
        <v>0.008909555117537339</v>
      </c>
    </row>
    <row r="86" spans="1:6" ht="15">
      <c r="A86" s="200" t="s">
        <v>94</v>
      </c>
      <c r="B86" s="203">
        <v>234916</v>
      </c>
      <c r="C86" s="202">
        <f>+B86/$B$60</f>
        <v>0.13608694140955382</v>
      </c>
      <c r="D86" s="203">
        <v>280995</v>
      </c>
      <c r="E86" s="202">
        <f>+D86/$D$60</f>
        <v>0.13353904732213803</v>
      </c>
      <c r="F86" s="202">
        <f>(D86-B86)/B86</f>
        <v>0.1961509646001124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7" ht="36" customHeight="1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</row>
    <row r="10" spans="1:7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</row>
    <row r="11" spans="1:7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</row>
    <row r="12" spans="1:7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</row>
    <row r="13" spans="1:7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</row>
    <row r="14" spans="1:7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</row>
    <row r="15" spans="1:7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26729</v>
      </c>
      <c r="C17" s="158">
        <v>25395</v>
      </c>
      <c r="D17" s="159">
        <f aca="true" t="shared" si="2" ref="D17:D28">(C17-B17)/B17</f>
        <v>-0.049908339256986796</v>
      </c>
      <c r="E17" s="157">
        <v>26729</v>
      </c>
      <c r="F17" s="158">
        <v>26190</v>
      </c>
      <c r="G17" s="159">
        <f aca="true" t="shared" si="3" ref="G17:G28">(F17-E17)/E17</f>
        <v>-0.02016536346290546</v>
      </c>
    </row>
    <row r="18" spans="1:7" ht="15.75" thickBot="1">
      <c r="A18" s="155" t="s">
        <v>140</v>
      </c>
      <c r="B18" s="157">
        <v>5699</v>
      </c>
      <c r="C18" s="158">
        <v>6156</v>
      </c>
      <c r="D18" s="159">
        <f t="shared" si="2"/>
        <v>0.08018950693104053</v>
      </c>
      <c r="E18" s="157">
        <v>5699</v>
      </c>
      <c r="F18" s="158">
        <v>6491</v>
      </c>
      <c r="G18" s="159">
        <f t="shared" si="3"/>
        <v>0.1389717494297245</v>
      </c>
    </row>
    <row r="19" spans="1:7" ht="15.75" thickBot="1">
      <c r="A19" s="155" t="s">
        <v>141</v>
      </c>
      <c r="B19" s="157">
        <v>109021</v>
      </c>
      <c r="C19" s="158">
        <v>110760</v>
      </c>
      <c r="D19" s="159">
        <f t="shared" si="2"/>
        <v>0.01595105530127223</v>
      </c>
      <c r="E19" s="157">
        <v>109021</v>
      </c>
      <c r="F19" s="158">
        <v>161255</v>
      </c>
      <c r="G19" s="159">
        <f t="shared" si="3"/>
        <v>0.47911870190146855</v>
      </c>
    </row>
    <row r="20" spans="1:7" ht="15.75" thickBot="1">
      <c r="A20" s="155" t="s">
        <v>142</v>
      </c>
      <c r="B20" s="157">
        <v>3418149</v>
      </c>
      <c r="C20" s="158">
        <v>3893661</v>
      </c>
      <c r="D20" s="159">
        <f t="shared" si="2"/>
        <v>0.13911388883281567</v>
      </c>
      <c r="E20" s="157">
        <v>3418149</v>
      </c>
      <c r="F20" s="158">
        <v>3756035</v>
      </c>
      <c r="G20" s="159">
        <f t="shared" si="3"/>
        <v>0.09885057673027127</v>
      </c>
    </row>
    <row r="21" spans="1:7" ht="15.75" thickBot="1">
      <c r="A21" s="155" t="s">
        <v>143</v>
      </c>
      <c r="B21" s="157">
        <v>3383722</v>
      </c>
      <c r="C21" s="158">
        <v>3364160</v>
      </c>
      <c r="D21" s="159">
        <f t="shared" si="2"/>
        <v>-0.00578120779425733</v>
      </c>
      <c r="E21" s="157">
        <v>3383722</v>
      </c>
      <c r="F21" s="158">
        <v>3312068</v>
      </c>
      <c r="G21" s="159">
        <f t="shared" si="3"/>
        <v>-0.0211760895250851</v>
      </c>
    </row>
    <row r="22" spans="1:7" ht="15.75" thickBot="1">
      <c r="A22" s="155" t="s">
        <v>144</v>
      </c>
      <c r="B22" s="157">
        <v>82393</v>
      </c>
      <c r="C22" s="158">
        <v>82141</v>
      </c>
      <c r="D22" s="159">
        <f t="shared" si="2"/>
        <v>-0.003058512252254439</v>
      </c>
      <c r="E22" s="157">
        <v>82393</v>
      </c>
      <c r="F22" s="158">
        <v>77368</v>
      </c>
      <c r="G22" s="159">
        <f t="shared" si="3"/>
        <v>-0.06098819074435935</v>
      </c>
    </row>
    <row r="23" spans="1:7" ht="15.75" thickBot="1">
      <c r="A23" s="155" t="s">
        <v>145</v>
      </c>
      <c r="B23" s="157">
        <v>2033403</v>
      </c>
      <c r="C23" s="158">
        <v>2036765</v>
      </c>
      <c r="D23" s="159">
        <f t="shared" si="2"/>
        <v>0.001653385974152689</v>
      </c>
      <c r="E23" s="157">
        <v>2033403</v>
      </c>
      <c r="F23" s="158">
        <v>2018384</v>
      </c>
      <c r="G23" s="159">
        <f t="shared" si="3"/>
        <v>-0.007386140376501854</v>
      </c>
    </row>
    <row r="24" spans="1:7" ht="15.75" thickBot="1">
      <c r="A24" s="155" t="s">
        <v>146</v>
      </c>
      <c r="B24" s="157">
        <v>1179957</v>
      </c>
      <c r="C24" s="158">
        <v>1172357</v>
      </c>
      <c r="D24" s="159">
        <f t="shared" si="2"/>
        <v>-0.006440912677326377</v>
      </c>
      <c r="E24" s="157">
        <v>1179957</v>
      </c>
      <c r="F24" s="158">
        <v>1155162</v>
      </c>
      <c r="G24" s="159">
        <f t="shared" si="3"/>
        <v>-0.021013477609777304</v>
      </c>
    </row>
    <row r="25" spans="1:7" ht="15.75" thickBot="1">
      <c r="A25" s="155" t="s">
        <v>147</v>
      </c>
      <c r="B25" s="157">
        <v>355461</v>
      </c>
      <c r="C25" s="158">
        <v>371603</v>
      </c>
      <c r="D25" s="159">
        <f t="shared" si="2"/>
        <v>0.045411451607911976</v>
      </c>
      <c r="E25" s="157">
        <v>355461</v>
      </c>
      <c r="F25" s="158">
        <v>365896</v>
      </c>
      <c r="G25" s="159">
        <f t="shared" si="3"/>
        <v>0.029356244426252107</v>
      </c>
    </row>
    <row r="26" spans="1:7" ht="15.75" thickBot="1">
      <c r="A26" s="160" t="s">
        <v>24</v>
      </c>
      <c r="B26" s="162">
        <v>40645</v>
      </c>
      <c r="C26" s="163">
        <v>42717</v>
      </c>
      <c r="D26" s="167">
        <f t="shared" si="2"/>
        <v>0.05097798007134949</v>
      </c>
      <c r="E26" s="162">
        <v>40645</v>
      </c>
      <c r="F26" s="163">
        <v>44171</v>
      </c>
      <c r="G26" s="167">
        <f t="shared" si="3"/>
        <v>0.08675113790134088</v>
      </c>
    </row>
    <row r="27" spans="1:7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2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3"/>
        <v>0.02706498875101209</v>
      </c>
    </row>
    <row r="28" spans="1:7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2"/>
        <v>0.0418712871978347</v>
      </c>
      <c r="E28" s="165">
        <f>+E15+E27</f>
        <v>13178052</v>
      </c>
      <c r="F28" s="166">
        <f>+F15+F27</f>
        <v>13437908</v>
      </c>
      <c r="G28" s="168">
        <f t="shared" si="3"/>
        <v>0.019718847671871383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1059660</v>
      </c>
      <c r="C31" s="158">
        <v>1044488</v>
      </c>
      <c r="D31" s="159">
        <f aca="true" t="shared" si="4" ref="D31:D37">(C31-B31)/B31</f>
        <v>-0.014317800049072344</v>
      </c>
      <c r="E31" s="157">
        <v>1059660</v>
      </c>
      <c r="F31" s="158">
        <v>862246</v>
      </c>
      <c r="G31" s="159">
        <f aca="true" t="shared" si="5" ref="G31:G37">(F31-E31)/E31</f>
        <v>-0.18629937904610913</v>
      </c>
    </row>
    <row r="32" spans="1:7" ht="15.75" thickBot="1">
      <c r="A32" s="155" t="s">
        <v>152</v>
      </c>
      <c r="B32" s="157">
        <v>825435</v>
      </c>
      <c r="C32" s="158">
        <v>935523</v>
      </c>
      <c r="D32" s="159">
        <f t="shared" si="4"/>
        <v>0.13336967780624762</v>
      </c>
      <c r="E32" s="157">
        <v>825435</v>
      </c>
      <c r="F32" s="158">
        <v>861844</v>
      </c>
      <c r="G32" s="159">
        <f t="shared" si="5"/>
        <v>0.044108863811202575</v>
      </c>
    </row>
    <row r="33" spans="1:7" ht="15.75" thickBot="1">
      <c r="A33" s="155" t="s">
        <v>153</v>
      </c>
      <c r="B33" s="157">
        <v>172323</v>
      </c>
      <c r="C33" s="158">
        <v>186031</v>
      </c>
      <c r="D33" s="159">
        <f t="shared" si="4"/>
        <v>0.07954829012958224</v>
      </c>
      <c r="E33" s="157">
        <v>172323</v>
      </c>
      <c r="F33" s="158">
        <v>205184</v>
      </c>
      <c r="G33" s="159">
        <f t="shared" si="5"/>
        <v>0.19069421957602872</v>
      </c>
    </row>
    <row r="34" spans="1:7" ht="15.75" thickBot="1">
      <c r="A34" s="155" t="s">
        <v>154</v>
      </c>
      <c r="B34" s="157">
        <v>160628</v>
      </c>
      <c r="C34" s="158">
        <v>122670</v>
      </c>
      <c r="D34" s="159">
        <f t="shared" si="4"/>
        <v>-0.23630998331548672</v>
      </c>
      <c r="E34" s="157">
        <v>160628</v>
      </c>
      <c r="F34" s="158">
        <v>129825</v>
      </c>
      <c r="G34" s="159">
        <f t="shared" si="5"/>
        <v>-0.19176606818238415</v>
      </c>
    </row>
    <row r="35" spans="1:7" ht="15.75" thickBot="1">
      <c r="A35" s="155" t="s">
        <v>155</v>
      </c>
      <c r="B35" s="157">
        <v>4415</v>
      </c>
      <c r="C35" s="158">
        <v>3289</v>
      </c>
      <c r="D35" s="159">
        <f t="shared" si="4"/>
        <v>-0.255039637599094</v>
      </c>
      <c r="E35" s="157">
        <v>4415</v>
      </c>
      <c r="F35" s="158">
        <v>2901</v>
      </c>
      <c r="G35" s="159">
        <f t="shared" si="5"/>
        <v>-0.34292185730464325</v>
      </c>
    </row>
    <row r="36" spans="1:7" ht="15.75" thickBot="1">
      <c r="A36" s="160" t="s">
        <v>35</v>
      </c>
      <c r="B36" s="162">
        <v>26641</v>
      </c>
      <c r="C36" s="163">
        <v>26274</v>
      </c>
      <c r="D36" s="167">
        <f t="shared" si="4"/>
        <v>-0.013775759168199392</v>
      </c>
      <c r="E36" s="162">
        <v>26641</v>
      </c>
      <c r="F36" s="163">
        <v>22619</v>
      </c>
      <c r="G36" s="167">
        <f t="shared" si="5"/>
        <v>-0.15097030892233776</v>
      </c>
    </row>
    <row r="37" spans="1:7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4"/>
        <v>0.030755830549259216</v>
      </c>
      <c r="E37" s="165">
        <f>SUM(E31:E36)</f>
        <v>2249102</v>
      </c>
      <c r="F37" s="166">
        <f>SUM(F31:F36)</f>
        <v>2084619</v>
      </c>
      <c r="G37" s="168">
        <f t="shared" si="5"/>
        <v>-0.07313274364613076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</row>
    <row r="40" spans="1:7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</row>
    <row r="42" spans="1:7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</row>
    <row r="43" spans="1:7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</row>
    <row r="44" spans="1:7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</row>
    <row r="45" spans="1:7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</row>
    <row r="48" spans="1:7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</row>
    <row r="49" spans="1:7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</row>
    <row r="50" spans="1:7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203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1" customFormat="1" ht="15.75" thickBot="1">
      <c r="A58" s="262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  <c r="G58" s="256" t="s">
        <v>102</v>
      </c>
      <c r="H58" s="263" t="s">
        <v>193</v>
      </c>
      <c r="I58" s="256" t="s">
        <v>104</v>
      </c>
      <c r="J58" s="256" t="s">
        <v>98</v>
      </c>
      <c r="K58" s="263" t="s">
        <v>204</v>
      </c>
      <c r="L58" s="256" t="s">
        <v>98</v>
      </c>
      <c r="M58" s="256" t="s">
        <v>99</v>
      </c>
      <c r="N58" s="256" t="s">
        <v>106</v>
      </c>
      <c r="O58" s="256" t="s">
        <v>98</v>
      </c>
      <c r="P58" s="263" t="s">
        <v>205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1726220</v>
      </c>
      <c r="C60" s="184">
        <f aca="true" t="shared" si="6" ref="C60:C81">+B60/$B$60</f>
        <v>1</v>
      </c>
      <c r="D60" s="185">
        <v>2104216</v>
      </c>
      <c r="E60" s="184">
        <f aca="true" t="shared" si="7" ref="E60:E81">+D60/$D$60</f>
        <v>1</v>
      </c>
      <c r="F60" s="184">
        <f aca="true" t="shared" si="8" ref="F60:F74">(D60-B60)/B60</f>
        <v>0.21897324790582892</v>
      </c>
      <c r="G60" s="183">
        <v>1726220</v>
      </c>
      <c r="H60" s="185">
        <v>2104216</v>
      </c>
      <c r="I60" s="183">
        <v>1857181</v>
      </c>
      <c r="J60" s="184">
        <f aca="true" t="shared" si="9" ref="J60:J81">I60/$I$60</f>
        <v>1</v>
      </c>
      <c r="K60" s="185">
        <v>2101067</v>
      </c>
      <c r="L60" s="184">
        <f aca="true" t="shared" si="10" ref="L60:L81">+K60/$K$60</f>
        <v>1</v>
      </c>
      <c r="M60" s="184">
        <f aca="true" t="shared" si="11" ref="M60:M65">(K60-I60)/I60</f>
        <v>0.13132053364750124</v>
      </c>
      <c r="N60" s="240">
        <f aca="true" t="shared" si="12" ref="N60:N81">+G60+I60</f>
        <v>3583401</v>
      </c>
      <c r="O60" s="184">
        <f aca="true" t="shared" si="13" ref="O60:O81">N60/$N$60</f>
        <v>1</v>
      </c>
      <c r="P60" s="230">
        <f aca="true" t="shared" si="14" ref="P60:P74">+H60+K60</f>
        <v>4205283</v>
      </c>
      <c r="Q60" s="184">
        <f aca="true" t="shared" si="15" ref="Q60:Q81">P60/$P$60</f>
        <v>1</v>
      </c>
      <c r="R60" s="184">
        <f aca="true" t="shared" si="16" ref="R60:R81">(P60-N60)/N60</f>
        <v>0.17354518793738127</v>
      </c>
    </row>
    <row r="61" spans="1:18" ht="15.75" thickBot="1">
      <c r="A61" s="186" t="s">
        <v>45</v>
      </c>
      <c r="B61" s="188">
        <v>-972781</v>
      </c>
      <c r="C61" s="189">
        <f t="shared" si="6"/>
        <v>-0.5635324582034735</v>
      </c>
      <c r="D61" s="190">
        <v>-1196310</v>
      </c>
      <c r="E61" s="189">
        <f t="shared" si="7"/>
        <v>-0.5685300368403243</v>
      </c>
      <c r="F61" s="189">
        <f t="shared" si="8"/>
        <v>0.22978347644536642</v>
      </c>
      <c r="G61" s="188">
        <v>-972781</v>
      </c>
      <c r="H61" s="190">
        <v>-1196310</v>
      </c>
      <c r="I61" s="188">
        <v>-1044465</v>
      </c>
      <c r="J61" s="189">
        <f t="shared" si="9"/>
        <v>-0.5623926800888013</v>
      </c>
      <c r="K61" s="190">
        <v>-1202985</v>
      </c>
      <c r="L61" s="189">
        <f t="shared" si="10"/>
        <v>-0.5725590854551521</v>
      </c>
      <c r="M61" s="189">
        <f t="shared" si="11"/>
        <v>0.15177148109319125</v>
      </c>
      <c r="N61" s="241">
        <f t="shared" si="12"/>
        <v>-2017246</v>
      </c>
      <c r="O61" s="189">
        <f t="shared" si="13"/>
        <v>-0.5629417416582738</v>
      </c>
      <c r="P61" s="231">
        <f t="shared" si="14"/>
        <v>-2399295</v>
      </c>
      <c r="Q61" s="189">
        <f t="shared" si="15"/>
        <v>-0.5705430526316541</v>
      </c>
      <c r="R61" s="189">
        <f t="shared" si="16"/>
        <v>0.18939137814624493</v>
      </c>
    </row>
    <row r="62" spans="1:18" ht="15.75" thickBot="1">
      <c r="A62" s="191" t="s">
        <v>95</v>
      </c>
      <c r="B62" s="192">
        <v>753439</v>
      </c>
      <c r="C62" s="193">
        <f t="shared" si="6"/>
        <v>0.4364675417965265</v>
      </c>
      <c r="D62" s="194">
        <v>907906</v>
      </c>
      <c r="E62" s="193">
        <f t="shared" si="7"/>
        <v>0.4314699631596756</v>
      </c>
      <c r="F62" s="193">
        <f t="shared" si="8"/>
        <v>0.205015933605773</v>
      </c>
      <c r="G62" s="192">
        <f>SUM(G60:G61)</f>
        <v>753439</v>
      </c>
      <c r="H62" s="194">
        <f>SUM(H60:H61)</f>
        <v>907906</v>
      </c>
      <c r="I62" s="192">
        <f>SUM(I60:I61)</f>
        <v>812716</v>
      </c>
      <c r="J62" s="193">
        <f t="shared" si="9"/>
        <v>0.4376073199111987</v>
      </c>
      <c r="K62" s="194">
        <f>SUM(K60:K61)</f>
        <v>898082</v>
      </c>
      <c r="L62" s="193">
        <f t="shared" si="10"/>
        <v>0.42744091454484795</v>
      </c>
      <c r="M62" s="193">
        <f t="shared" si="11"/>
        <v>0.10503792222621432</v>
      </c>
      <c r="N62" s="242">
        <f t="shared" si="12"/>
        <v>1566155</v>
      </c>
      <c r="O62" s="193">
        <f t="shared" si="13"/>
        <v>0.4370582583417262</v>
      </c>
      <c r="P62" s="232">
        <f t="shared" si="14"/>
        <v>1805988</v>
      </c>
      <c r="Q62" s="193">
        <f t="shared" si="15"/>
        <v>0.42945694736834594</v>
      </c>
      <c r="R62" s="193">
        <f t="shared" si="16"/>
        <v>0.15313490682595274</v>
      </c>
    </row>
    <row r="63" spans="1:18" ht="15.75" thickBot="1">
      <c r="A63" s="186" t="s">
        <v>170</v>
      </c>
      <c r="B63" s="188">
        <v>-96265</v>
      </c>
      <c r="C63" s="189">
        <f t="shared" si="6"/>
        <v>-0.05576635654783284</v>
      </c>
      <c r="D63" s="190">
        <v>-97009</v>
      </c>
      <c r="E63" s="189">
        <f t="shared" si="7"/>
        <v>-0.046102206237382475</v>
      </c>
      <c r="F63" s="189">
        <f t="shared" si="8"/>
        <v>0.007728665662494157</v>
      </c>
      <c r="G63" s="188">
        <v>-96265</v>
      </c>
      <c r="H63" s="190">
        <v>-97009</v>
      </c>
      <c r="I63" s="188">
        <v>-86819</v>
      </c>
      <c r="J63" s="189">
        <f t="shared" si="9"/>
        <v>-0.046747732181192894</v>
      </c>
      <c r="K63" s="190">
        <v>-96978</v>
      </c>
      <c r="L63" s="189">
        <f t="shared" si="10"/>
        <v>-0.0461565480777148</v>
      </c>
      <c r="M63" s="189">
        <f t="shared" si="11"/>
        <v>0.11701355694030109</v>
      </c>
      <c r="N63" s="241">
        <f t="shared" si="12"/>
        <v>-183084</v>
      </c>
      <c r="O63" s="189">
        <f t="shared" si="13"/>
        <v>-0.05109224449063892</v>
      </c>
      <c r="P63" s="231">
        <f t="shared" si="14"/>
        <v>-193987</v>
      </c>
      <c r="Q63" s="189">
        <f t="shared" si="15"/>
        <v>-0.0461293568114203</v>
      </c>
      <c r="R63" s="189">
        <f t="shared" si="16"/>
        <v>0.05955189967446636</v>
      </c>
    </row>
    <row r="64" spans="1:18" ht="15.75" thickBot="1">
      <c r="A64" s="186" t="s">
        <v>171</v>
      </c>
      <c r="B64" s="188">
        <v>-436316</v>
      </c>
      <c r="C64" s="189">
        <f t="shared" si="6"/>
        <v>-0.25275804937956925</v>
      </c>
      <c r="D64" s="190">
        <v>-547935</v>
      </c>
      <c r="E64" s="189">
        <f t="shared" si="7"/>
        <v>-0.2603986472871606</v>
      </c>
      <c r="F64" s="189">
        <f t="shared" si="8"/>
        <v>0.2558214688436821</v>
      </c>
      <c r="G64" s="188">
        <v>-436316</v>
      </c>
      <c r="H64" s="190">
        <v>-547935</v>
      </c>
      <c r="I64" s="188">
        <v>-519884</v>
      </c>
      <c r="J64" s="189">
        <f t="shared" si="9"/>
        <v>-0.2799317890932548</v>
      </c>
      <c r="K64" s="190">
        <v>-580720</v>
      </c>
      <c r="L64" s="189">
        <f t="shared" si="10"/>
        <v>-0.27639289941729606</v>
      </c>
      <c r="M64" s="189">
        <f t="shared" si="11"/>
        <v>0.11701841179955529</v>
      </c>
      <c r="N64" s="241">
        <f t="shared" si="12"/>
        <v>-956200</v>
      </c>
      <c r="O64" s="189">
        <f t="shared" si="13"/>
        <v>-0.2668414726680045</v>
      </c>
      <c r="P64" s="231">
        <f t="shared" si="14"/>
        <v>-1128655</v>
      </c>
      <c r="Q64" s="189">
        <f t="shared" si="15"/>
        <v>-0.26838978494431887</v>
      </c>
      <c r="R64" s="189">
        <f t="shared" si="16"/>
        <v>0.18035452834135118</v>
      </c>
    </row>
    <row r="65" spans="1:18" ht="15.75" thickBot="1">
      <c r="A65" s="186" t="s">
        <v>172</v>
      </c>
      <c r="B65" s="188">
        <v>-32449</v>
      </c>
      <c r="C65" s="189">
        <f t="shared" si="6"/>
        <v>-0.018797719873480785</v>
      </c>
      <c r="D65" s="190">
        <v>-34692</v>
      </c>
      <c r="E65" s="189">
        <f t="shared" si="7"/>
        <v>-0.016486900584350657</v>
      </c>
      <c r="F65" s="189">
        <f t="shared" si="8"/>
        <v>0.06912385589694597</v>
      </c>
      <c r="G65" s="188">
        <v>-32449</v>
      </c>
      <c r="H65" s="190">
        <v>-34692</v>
      </c>
      <c r="I65" s="188">
        <v>-32185</v>
      </c>
      <c r="J65" s="189">
        <f t="shared" si="9"/>
        <v>-0.017330028683257045</v>
      </c>
      <c r="K65" s="190">
        <v>-34612</v>
      </c>
      <c r="L65" s="189">
        <f t="shared" si="10"/>
        <v>-0.0164735346374009</v>
      </c>
      <c r="M65" s="189">
        <f t="shared" si="11"/>
        <v>0.0754077986639739</v>
      </c>
      <c r="N65" s="241">
        <f t="shared" si="12"/>
        <v>-64634</v>
      </c>
      <c r="O65" s="189">
        <f t="shared" si="13"/>
        <v>-0.018037054742129056</v>
      </c>
      <c r="P65" s="231">
        <f t="shared" si="14"/>
        <v>-69304</v>
      </c>
      <c r="Q65" s="189">
        <f t="shared" si="15"/>
        <v>-0.01648022261521995</v>
      </c>
      <c r="R65" s="189">
        <f t="shared" si="16"/>
        <v>0.07225299378036328</v>
      </c>
    </row>
    <row r="66" spans="1:18" ht="15.75" thickBot="1">
      <c r="A66" s="186" t="s">
        <v>173</v>
      </c>
      <c r="B66" s="188">
        <v>8166</v>
      </c>
      <c r="C66" s="189">
        <f t="shared" si="6"/>
        <v>0.004730567366847795</v>
      </c>
      <c r="D66" s="190">
        <v>3848</v>
      </c>
      <c r="E66" s="189">
        <f t="shared" si="7"/>
        <v>0.0018287096001551172</v>
      </c>
      <c r="F66" s="189">
        <f t="shared" si="8"/>
        <v>-0.5287778594170953</v>
      </c>
      <c r="G66" s="188">
        <v>8166</v>
      </c>
      <c r="H66" s="190">
        <v>3848</v>
      </c>
      <c r="I66" s="188">
        <v>-286</v>
      </c>
      <c r="J66" s="189">
        <f t="shared" si="9"/>
        <v>-0.00015399683714188331</v>
      </c>
      <c r="K66" s="190">
        <v>11938</v>
      </c>
      <c r="L66" s="189">
        <f t="shared" si="10"/>
        <v>0.0056818749711456135</v>
      </c>
      <c r="M66" s="189" t="s">
        <v>88</v>
      </c>
      <c r="N66" s="241">
        <f t="shared" si="12"/>
        <v>7880</v>
      </c>
      <c r="O66" s="189">
        <f t="shared" si="13"/>
        <v>0.002199028241606228</v>
      </c>
      <c r="P66" s="231">
        <f t="shared" si="14"/>
        <v>15786</v>
      </c>
      <c r="Q66" s="189">
        <f t="shared" si="15"/>
        <v>0.00375384962201117</v>
      </c>
      <c r="R66" s="189">
        <f t="shared" si="16"/>
        <v>1.0032994923857868</v>
      </c>
    </row>
    <row r="67" spans="1:18" ht="15.75" thickBot="1">
      <c r="A67" s="186" t="s">
        <v>174</v>
      </c>
      <c r="B67" s="188">
        <v>2206</v>
      </c>
      <c r="C67" s="189">
        <f t="shared" si="6"/>
        <v>0.0012779367635643198</v>
      </c>
      <c r="D67" s="190">
        <v>1169</v>
      </c>
      <c r="E67" s="189">
        <f t="shared" si="7"/>
        <v>0.0005555513312321549</v>
      </c>
      <c r="F67" s="189">
        <f t="shared" si="8"/>
        <v>-0.4700815956482321</v>
      </c>
      <c r="G67" s="188">
        <v>2206</v>
      </c>
      <c r="H67" s="190">
        <v>1169</v>
      </c>
      <c r="I67" s="188">
        <v>-115</v>
      </c>
      <c r="J67" s="189">
        <f t="shared" si="9"/>
        <v>-6.192180514446357E-05</v>
      </c>
      <c r="K67" s="190">
        <v>7387</v>
      </c>
      <c r="L67" s="189">
        <f t="shared" si="10"/>
        <v>0.0035158326697815917</v>
      </c>
      <c r="M67" s="189" t="s">
        <v>88</v>
      </c>
      <c r="N67" s="241">
        <f t="shared" si="12"/>
        <v>2091</v>
      </c>
      <c r="O67" s="189">
        <f t="shared" si="13"/>
        <v>0.0005835238646191147</v>
      </c>
      <c r="P67" s="231">
        <f t="shared" si="14"/>
        <v>8556</v>
      </c>
      <c r="Q67" s="189">
        <f t="shared" si="15"/>
        <v>0.0020345836415765596</v>
      </c>
      <c r="R67" s="189">
        <f t="shared" si="16"/>
        <v>3.091822094691535</v>
      </c>
    </row>
    <row r="68" spans="1:18" ht="15.75" thickBot="1">
      <c r="A68" s="182" t="s">
        <v>175</v>
      </c>
      <c r="B68" s="183">
        <v>198781</v>
      </c>
      <c r="C68" s="184">
        <f t="shared" si="6"/>
        <v>0.11515392012605577</v>
      </c>
      <c r="D68" s="185">
        <v>233287</v>
      </c>
      <c r="E68" s="184">
        <f t="shared" si="7"/>
        <v>0.11086646998216913</v>
      </c>
      <c r="F68" s="184">
        <f t="shared" si="8"/>
        <v>0.17358801897565662</v>
      </c>
      <c r="G68" s="183">
        <f>SUM(G62:G67)</f>
        <v>198781</v>
      </c>
      <c r="H68" s="185">
        <f>SUM(H62:H67)</f>
        <v>233287</v>
      </c>
      <c r="I68" s="183">
        <f>SUM(I62:I67)</f>
        <v>173427</v>
      </c>
      <c r="J68" s="184">
        <f t="shared" si="9"/>
        <v>0.09338185131120769</v>
      </c>
      <c r="K68" s="185">
        <f>SUM(K62:K67)</f>
        <v>205097</v>
      </c>
      <c r="L68" s="184">
        <f t="shared" si="10"/>
        <v>0.09761564005336336</v>
      </c>
      <c r="M68" s="184">
        <f>(K68-I68)/I68</f>
        <v>0.18261285728289137</v>
      </c>
      <c r="N68" s="240">
        <f t="shared" si="12"/>
        <v>372208</v>
      </c>
      <c r="O68" s="184">
        <f t="shared" si="13"/>
        <v>0.10387003854717906</v>
      </c>
      <c r="P68" s="230">
        <f t="shared" si="14"/>
        <v>438384</v>
      </c>
      <c r="Q68" s="184">
        <f t="shared" si="15"/>
        <v>0.10424601626097459</v>
      </c>
      <c r="R68" s="184">
        <f t="shared" si="16"/>
        <v>0.17779306194385935</v>
      </c>
    </row>
    <row r="69" spans="1:18" ht="15.75" thickBot="1">
      <c r="A69" s="186" t="s">
        <v>176</v>
      </c>
      <c r="B69" s="188">
        <v>3035</v>
      </c>
      <c r="C69" s="189">
        <f t="shared" si="6"/>
        <v>0.0017581768256653267</v>
      </c>
      <c r="D69" s="190">
        <v>2165</v>
      </c>
      <c r="E69" s="189">
        <f t="shared" si="7"/>
        <v>0.0010288867682785418</v>
      </c>
      <c r="F69" s="189">
        <f t="shared" si="8"/>
        <v>-0.28665568369028005</v>
      </c>
      <c r="G69" s="188">
        <v>3035</v>
      </c>
      <c r="H69" s="190">
        <v>2165</v>
      </c>
      <c r="I69" s="188">
        <v>1921</v>
      </c>
      <c r="J69" s="189">
        <f t="shared" si="9"/>
        <v>0.0010343633711523002</v>
      </c>
      <c r="K69" s="190">
        <v>2482</v>
      </c>
      <c r="L69" s="189">
        <f t="shared" si="10"/>
        <v>0.0011813045466898485</v>
      </c>
      <c r="M69" s="189">
        <f>(K69-I69)/I69</f>
        <v>0.2920353982300885</v>
      </c>
      <c r="N69" s="241">
        <f t="shared" si="12"/>
        <v>4956</v>
      </c>
      <c r="O69" s="189">
        <f t="shared" si="13"/>
        <v>0.0013830436504315314</v>
      </c>
      <c r="P69" s="231">
        <f t="shared" si="14"/>
        <v>4647</v>
      </c>
      <c r="Q69" s="189">
        <f t="shared" si="15"/>
        <v>0.0011050385907440713</v>
      </c>
      <c r="R69" s="189">
        <f t="shared" si="16"/>
        <v>-0.06234866828087167</v>
      </c>
    </row>
    <row r="70" spans="1:18" ht="15.75" thickBot="1">
      <c r="A70" s="186" t="s">
        <v>177</v>
      </c>
      <c r="B70" s="188">
        <v>-50910</v>
      </c>
      <c r="C70" s="189">
        <f t="shared" si="6"/>
        <v>-0.029492185237107667</v>
      </c>
      <c r="D70" s="190">
        <v>-70846</v>
      </c>
      <c r="E70" s="189">
        <f t="shared" si="7"/>
        <v>-0.03366859676002844</v>
      </c>
      <c r="F70" s="189">
        <f t="shared" si="8"/>
        <v>0.3915930072677274</v>
      </c>
      <c r="G70" s="188">
        <v>-50910</v>
      </c>
      <c r="H70" s="190">
        <v>-70846</v>
      </c>
      <c r="I70" s="188">
        <v>-59360</v>
      </c>
      <c r="J70" s="189">
        <f t="shared" si="9"/>
        <v>-0.03196242046413354</v>
      </c>
      <c r="K70" s="190">
        <v>-82107</v>
      </c>
      <c r="L70" s="189">
        <f t="shared" si="10"/>
        <v>-0.03907871571920362</v>
      </c>
      <c r="M70" s="189">
        <f>(K70-I70)/I70</f>
        <v>0.3832041778975741</v>
      </c>
      <c r="N70" s="241">
        <f t="shared" si="12"/>
        <v>-110270</v>
      </c>
      <c r="O70" s="189">
        <f t="shared" si="13"/>
        <v>-0.030772442157603906</v>
      </c>
      <c r="P70" s="231">
        <f t="shared" si="14"/>
        <v>-152953</v>
      </c>
      <c r="Q70" s="189">
        <f t="shared" si="15"/>
        <v>-0.036371630636986854</v>
      </c>
      <c r="R70" s="189">
        <f t="shared" si="16"/>
        <v>0.3870771742087603</v>
      </c>
    </row>
    <row r="71" spans="1:18" ht="15.75" thickBot="1">
      <c r="A71" s="186" t="s">
        <v>194</v>
      </c>
      <c r="B71" s="188">
        <v>46468</v>
      </c>
      <c r="C71" s="189">
        <f t="shared" si="6"/>
        <v>0.026918932696875255</v>
      </c>
      <c r="D71" s="190">
        <v>50453</v>
      </c>
      <c r="E71" s="189">
        <f t="shared" si="7"/>
        <v>0.023977101210141925</v>
      </c>
      <c r="F71" s="189">
        <f t="shared" si="8"/>
        <v>0.08575794094860979</v>
      </c>
      <c r="G71" s="188">
        <v>46468</v>
      </c>
      <c r="H71" s="190">
        <v>50453</v>
      </c>
      <c r="I71" s="188">
        <v>494</v>
      </c>
      <c r="J71" s="189">
        <f t="shared" si="9"/>
        <v>0.00026599453688143485</v>
      </c>
      <c r="K71" s="190">
        <v>41</v>
      </c>
      <c r="L71" s="189">
        <f t="shared" si="10"/>
        <v>1.9513894606883074E-05</v>
      </c>
      <c r="M71" s="189" t="s">
        <v>88</v>
      </c>
      <c r="N71" s="241">
        <f t="shared" si="12"/>
        <v>46962</v>
      </c>
      <c r="O71" s="189">
        <f t="shared" si="13"/>
        <v>0.013105426939379656</v>
      </c>
      <c r="P71" s="231">
        <f t="shared" si="14"/>
        <v>50494</v>
      </c>
      <c r="Q71" s="189">
        <f t="shared" si="15"/>
        <v>0.012007277512595466</v>
      </c>
      <c r="R71" s="189">
        <f t="shared" si="16"/>
        <v>0.07520974404837955</v>
      </c>
    </row>
    <row r="72" spans="1:18" ht="15.75" thickBot="1">
      <c r="A72" s="186" t="s">
        <v>178</v>
      </c>
      <c r="B72" s="188">
        <v>5949</v>
      </c>
      <c r="C72" s="189">
        <f t="shared" si="6"/>
        <v>0.003446258298478757</v>
      </c>
      <c r="D72" s="190">
        <v>-9738</v>
      </c>
      <c r="E72" s="189">
        <f t="shared" si="7"/>
        <v>-0.004627851893531843</v>
      </c>
      <c r="F72" s="189">
        <f t="shared" si="8"/>
        <v>-2.636913767019667</v>
      </c>
      <c r="G72" s="188">
        <v>5949</v>
      </c>
      <c r="H72" s="190">
        <v>-9738</v>
      </c>
      <c r="I72" s="188">
        <v>6965</v>
      </c>
      <c r="J72" s="189">
        <f t="shared" si="9"/>
        <v>0.003750307589836424</v>
      </c>
      <c r="K72" s="190">
        <v>-2615</v>
      </c>
      <c r="L72" s="189">
        <f t="shared" si="10"/>
        <v>-0.0012446057169999815</v>
      </c>
      <c r="M72" s="189">
        <f aca="true" t="shared" si="17" ref="M72:M81">(K72-I72)/I72</f>
        <v>-1.3754486719310839</v>
      </c>
      <c r="N72" s="241">
        <f t="shared" si="12"/>
        <v>12914</v>
      </c>
      <c r="O72" s="189">
        <f t="shared" si="13"/>
        <v>0.0036038389228556893</v>
      </c>
      <c r="P72" s="231">
        <f t="shared" si="14"/>
        <v>-12353</v>
      </c>
      <c r="Q72" s="189">
        <f t="shared" si="15"/>
        <v>-0.002937495526460407</v>
      </c>
      <c r="R72" s="189">
        <f t="shared" si="16"/>
        <v>-1.9565587734241907</v>
      </c>
    </row>
    <row r="73" spans="1:18" ht="15.75" thickBot="1">
      <c r="A73" s="186" t="s">
        <v>179</v>
      </c>
      <c r="B73" s="188">
        <v>-4194</v>
      </c>
      <c r="C73" s="189">
        <f t="shared" si="6"/>
        <v>-0.002429586031907868</v>
      </c>
      <c r="D73" s="190">
        <v>-11041</v>
      </c>
      <c r="E73" s="189">
        <f t="shared" si="7"/>
        <v>-0.005247084900029274</v>
      </c>
      <c r="F73" s="189">
        <f t="shared" si="8"/>
        <v>1.6325703385789223</v>
      </c>
      <c r="G73" s="188">
        <v>-4194</v>
      </c>
      <c r="H73" s="190">
        <v>-11041</v>
      </c>
      <c r="I73" s="188">
        <v>-3172</v>
      </c>
      <c r="J73" s="189">
        <f t="shared" si="9"/>
        <v>-0.0017079649210281604</v>
      </c>
      <c r="K73" s="190">
        <v>-7486</v>
      </c>
      <c r="L73" s="189">
        <f t="shared" si="10"/>
        <v>-0.0035629515860274804</v>
      </c>
      <c r="M73" s="189">
        <f t="shared" si="17"/>
        <v>1.3600252206809584</v>
      </c>
      <c r="N73" s="241">
        <f t="shared" si="12"/>
        <v>-7366</v>
      </c>
      <c r="O73" s="189">
        <f t="shared" si="13"/>
        <v>-0.002055589089806025</v>
      </c>
      <c r="P73" s="231">
        <f t="shared" si="14"/>
        <v>-18527</v>
      </c>
      <c r="Q73" s="189">
        <f t="shared" si="15"/>
        <v>-0.004405648799379257</v>
      </c>
      <c r="R73" s="189">
        <f t="shared" si="16"/>
        <v>1.5152049959272333</v>
      </c>
    </row>
    <row r="74" spans="1:18" ht="15.75" thickBot="1">
      <c r="A74" s="186" t="s">
        <v>180</v>
      </c>
      <c r="B74" s="187">
        <v>390</v>
      </c>
      <c r="C74" s="189">
        <f t="shared" si="6"/>
        <v>0.00022592717034908643</v>
      </c>
      <c r="D74" s="195">
        <v>185</v>
      </c>
      <c r="E74" s="189">
        <f t="shared" si="7"/>
        <v>8.791873077668833E-05</v>
      </c>
      <c r="F74" s="189">
        <f t="shared" si="8"/>
        <v>-0.5256410256410257</v>
      </c>
      <c r="G74" s="187">
        <v>390</v>
      </c>
      <c r="H74" s="195">
        <v>185</v>
      </c>
      <c r="I74" s="187">
        <v>758</v>
      </c>
      <c r="J74" s="189">
        <f t="shared" si="9"/>
        <v>0.0004081454634739425</v>
      </c>
      <c r="K74" s="195">
        <v>619</v>
      </c>
      <c r="L74" s="189">
        <f t="shared" si="10"/>
        <v>0.00029461221369903956</v>
      </c>
      <c r="M74" s="189">
        <f t="shared" si="17"/>
        <v>-0.18337730870712401</v>
      </c>
      <c r="N74" s="241">
        <f t="shared" si="12"/>
        <v>1148</v>
      </c>
      <c r="O74" s="189">
        <f t="shared" si="13"/>
        <v>0.00032036604332029824</v>
      </c>
      <c r="P74" s="231">
        <f t="shared" si="14"/>
        <v>804</v>
      </c>
      <c r="Q74" s="189">
        <f t="shared" si="15"/>
        <v>0.00019118808413131768</v>
      </c>
      <c r="R74" s="189">
        <f t="shared" si="16"/>
        <v>-0.29965156794425085</v>
      </c>
    </row>
    <row r="75" spans="1:18" ht="15.75" thickBot="1">
      <c r="A75" s="186" t="s">
        <v>181</v>
      </c>
      <c r="B75" s="187">
        <v>0</v>
      </c>
      <c r="C75" s="189">
        <f t="shared" si="6"/>
        <v>0</v>
      </c>
      <c r="D75" s="195">
        <v>0</v>
      </c>
      <c r="E75" s="189">
        <f t="shared" si="7"/>
        <v>0</v>
      </c>
      <c r="F75" s="189" t="s">
        <v>88</v>
      </c>
      <c r="G75" s="187">
        <v>0</v>
      </c>
      <c r="H75" s="195">
        <v>0</v>
      </c>
      <c r="I75" s="187">
        <v>62</v>
      </c>
      <c r="J75" s="189">
        <f t="shared" si="9"/>
        <v>3.338392973005862E-05</v>
      </c>
      <c r="K75" s="195">
        <v>0</v>
      </c>
      <c r="L75" s="189">
        <f t="shared" si="10"/>
        <v>0</v>
      </c>
      <c r="M75" s="189">
        <f t="shared" si="17"/>
        <v>-1</v>
      </c>
      <c r="N75" s="241">
        <f t="shared" si="12"/>
        <v>62</v>
      </c>
      <c r="O75" s="189">
        <f t="shared" si="13"/>
        <v>1.730199885527743E-05</v>
      </c>
      <c r="P75" s="231">
        <v>0</v>
      </c>
      <c r="Q75" s="189">
        <f t="shared" si="15"/>
        <v>0</v>
      </c>
      <c r="R75" s="189">
        <f t="shared" si="16"/>
        <v>-1</v>
      </c>
    </row>
    <row r="76" spans="1:18" ht="15.75" thickBot="1">
      <c r="A76" s="191" t="s">
        <v>182</v>
      </c>
      <c r="B76" s="192">
        <v>199519</v>
      </c>
      <c r="C76" s="193">
        <f t="shared" si="6"/>
        <v>0.11558144384840865</v>
      </c>
      <c r="D76" s="194">
        <v>194465</v>
      </c>
      <c r="E76" s="193">
        <f t="shared" si="7"/>
        <v>0.09241684313777673</v>
      </c>
      <c r="F76" s="193">
        <f aca="true" t="shared" si="18" ref="F76:F81">(D76-B76)/B76</f>
        <v>-0.025330920864679553</v>
      </c>
      <c r="G76" s="192">
        <f>SUM(G68:G75)</f>
        <v>199519</v>
      </c>
      <c r="H76" s="194">
        <f>SUM(H68:H75)</f>
        <v>194465</v>
      </c>
      <c r="I76" s="192">
        <f>SUM(I68:I75)</f>
        <v>121095</v>
      </c>
      <c r="J76" s="193">
        <f t="shared" si="9"/>
        <v>0.06520366081712015</v>
      </c>
      <c r="K76" s="194">
        <f>SUM(K68:K75)</f>
        <v>116031</v>
      </c>
      <c r="L76" s="193">
        <f t="shared" si="10"/>
        <v>0.05522479768612805</v>
      </c>
      <c r="M76" s="193">
        <f t="shared" si="17"/>
        <v>-0.04181840703579834</v>
      </c>
      <c r="N76" s="242">
        <f t="shared" si="12"/>
        <v>320614</v>
      </c>
      <c r="O76" s="193">
        <f t="shared" si="13"/>
        <v>0.08947198485461158</v>
      </c>
      <c r="P76" s="232">
        <f aca="true" t="shared" si="19" ref="P76:P81">+H76+K76</f>
        <v>310496</v>
      </c>
      <c r="Q76" s="193">
        <f t="shared" si="15"/>
        <v>0.07383474548561893</v>
      </c>
      <c r="R76" s="193">
        <f t="shared" si="16"/>
        <v>-0.031558197708147495</v>
      </c>
    </row>
    <row r="77" spans="1:18" ht="15.75" thickBot="1">
      <c r="A77" s="186" t="s">
        <v>183</v>
      </c>
      <c r="B77" s="188">
        <v>-51436</v>
      </c>
      <c r="C77" s="189">
        <f t="shared" si="6"/>
        <v>-0.02979689726686054</v>
      </c>
      <c r="D77" s="190">
        <v>-56024</v>
      </c>
      <c r="E77" s="189">
        <f t="shared" si="7"/>
        <v>-0.026624643097476686</v>
      </c>
      <c r="F77" s="189">
        <f t="shared" si="18"/>
        <v>0.08919822692277782</v>
      </c>
      <c r="G77" s="188">
        <v>-51436</v>
      </c>
      <c r="H77" s="190">
        <v>-56024</v>
      </c>
      <c r="I77" s="188">
        <v>-38427</v>
      </c>
      <c r="J77" s="189">
        <f t="shared" si="9"/>
        <v>-0.020691036576402623</v>
      </c>
      <c r="K77" s="190">
        <v>-42183</v>
      </c>
      <c r="L77" s="189">
        <f t="shared" si="10"/>
        <v>-0.020076941858588992</v>
      </c>
      <c r="M77" s="189">
        <f t="shared" si="17"/>
        <v>0.09774377390897025</v>
      </c>
      <c r="N77" s="241">
        <f t="shared" si="12"/>
        <v>-89863</v>
      </c>
      <c r="O77" s="189">
        <f t="shared" si="13"/>
        <v>-0.02507757295373864</v>
      </c>
      <c r="P77" s="231">
        <f t="shared" si="19"/>
        <v>-98207</v>
      </c>
      <c r="Q77" s="189">
        <f t="shared" si="15"/>
        <v>-0.023353244002841188</v>
      </c>
      <c r="R77" s="189">
        <f t="shared" si="16"/>
        <v>0.09285245317872762</v>
      </c>
    </row>
    <row r="78" spans="1:18" ht="15.75" thickBot="1">
      <c r="A78" s="196" t="s">
        <v>184</v>
      </c>
      <c r="B78" s="197">
        <v>3407</v>
      </c>
      <c r="C78" s="198">
        <f t="shared" si="6"/>
        <v>0.0019736765881521474</v>
      </c>
      <c r="D78" s="199">
        <v>14256</v>
      </c>
      <c r="E78" s="198">
        <f t="shared" si="7"/>
        <v>0.006774969870013345</v>
      </c>
      <c r="F78" s="198">
        <f t="shared" si="18"/>
        <v>3.1843263868506018</v>
      </c>
      <c r="G78" s="197">
        <v>3407</v>
      </c>
      <c r="H78" s="199">
        <v>14256</v>
      </c>
      <c r="I78" s="197">
        <v>1408</v>
      </c>
      <c r="J78" s="198">
        <f t="shared" si="9"/>
        <v>0.0007581382751600409</v>
      </c>
      <c r="K78" s="199">
        <v>6703</v>
      </c>
      <c r="L78" s="198">
        <f t="shared" si="10"/>
        <v>0.0031902837939009085</v>
      </c>
      <c r="M78" s="198">
        <f t="shared" si="17"/>
        <v>3.760653409090909</v>
      </c>
      <c r="N78" s="243">
        <f t="shared" si="12"/>
        <v>4815</v>
      </c>
      <c r="O78" s="198">
        <f t="shared" si="13"/>
        <v>0.0013436955562606584</v>
      </c>
      <c r="P78" s="233">
        <f t="shared" si="19"/>
        <v>20959</v>
      </c>
      <c r="Q78" s="198">
        <f t="shared" si="15"/>
        <v>0.0049839689742640384</v>
      </c>
      <c r="R78" s="198">
        <f t="shared" si="16"/>
        <v>3.3528556593977155</v>
      </c>
    </row>
    <row r="79" spans="1:18" ht="15.75" thickBot="1">
      <c r="A79" s="191" t="s">
        <v>185</v>
      </c>
      <c r="B79" s="192">
        <v>151490</v>
      </c>
      <c r="C79" s="193">
        <f t="shared" si="6"/>
        <v>0.08775822316970026</v>
      </c>
      <c r="D79" s="194">
        <v>152697</v>
      </c>
      <c r="E79" s="193">
        <f t="shared" si="7"/>
        <v>0.0725671699103134</v>
      </c>
      <c r="F79" s="193">
        <f t="shared" si="18"/>
        <v>0.007967522608753053</v>
      </c>
      <c r="G79" s="192">
        <f>SUM(G76:G78)</f>
        <v>151490</v>
      </c>
      <c r="H79" s="194">
        <f>SUM(H76:H78)</f>
        <v>152697</v>
      </c>
      <c r="I79" s="192">
        <f>SUM(I76:I78)</f>
        <v>84076</v>
      </c>
      <c r="J79" s="193">
        <f t="shared" si="9"/>
        <v>0.045270762515877555</v>
      </c>
      <c r="K79" s="194">
        <f>SUM(K76:K78)</f>
        <v>80551</v>
      </c>
      <c r="L79" s="193">
        <f t="shared" si="10"/>
        <v>0.03833813962143996</v>
      </c>
      <c r="M79" s="193">
        <f t="shared" si="17"/>
        <v>-0.04192635234787573</v>
      </c>
      <c r="N79" s="242">
        <f t="shared" si="12"/>
        <v>235566</v>
      </c>
      <c r="O79" s="193">
        <f t="shared" si="13"/>
        <v>0.0657381074571336</v>
      </c>
      <c r="P79" s="232">
        <f t="shared" si="19"/>
        <v>233248</v>
      </c>
      <c r="Q79" s="193">
        <f t="shared" si="15"/>
        <v>0.055465470457041775</v>
      </c>
      <c r="R79" s="193">
        <f t="shared" si="16"/>
        <v>-0.009840129730096873</v>
      </c>
    </row>
    <row r="80" spans="1:18" ht="15.75" thickBot="1">
      <c r="A80" s="186" t="s">
        <v>186</v>
      </c>
      <c r="B80" s="187">
        <v>-304</v>
      </c>
      <c r="C80" s="189">
        <f t="shared" si="6"/>
        <v>-0.00017610733278492893</v>
      </c>
      <c r="D80" s="195">
        <v>-164</v>
      </c>
      <c r="E80" s="189">
        <f t="shared" si="7"/>
        <v>-7.793876674257775E-05</v>
      </c>
      <c r="F80" s="189">
        <f t="shared" si="18"/>
        <v>-0.4605263157894737</v>
      </c>
      <c r="G80" s="187">
        <v>-304</v>
      </c>
      <c r="H80" s="195">
        <v>-164</v>
      </c>
      <c r="I80" s="187">
        <v>-4010</v>
      </c>
      <c r="J80" s="189">
        <f t="shared" si="9"/>
        <v>-0.002159186422863469</v>
      </c>
      <c r="K80" s="195">
        <v>-83</v>
      </c>
      <c r="L80" s="189">
        <f t="shared" si="10"/>
        <v>-3.9503737862714516E-05</v>
      </c>
      <c r="M80" s="189">
        <f t="shared" si="17"/>
        <v>-0.9793017456359102</v>
      </c>
      <c r="N80" s="241">
        <f t="shared" si="12"/>
        <v>-4314</v>
      </c>
      <c r="O80" s="189">
        <f t="shared" si="13"/>
        <v>-0.0012038842429301102</v>
      </c>
      <c r="P80" s="231">
        <f t="shared" si="19"/>
        <v>-247</v>
      </c>
      <c r="Q80" s="189">
        <f t="shared" si="15"/>
        <v>-5.8735642761735654E-05</v>
      </c>
      <c r="R80" s="189">
        <f t="shared" si="16"/>
        <v>-0.9427445526193787</v>
      </c>
    </row>
    <row r="81" spans="1:18" ht="15">
      <c r="A81" s="200" t="s">
        <v>187</v>
      </c>
      <c r="B81" s="201">
        <v>151186</v>
      </c>
      <c r="C81" s="202">
        <f t="shared" si="6"/>
        <v>0.08758211583691534</v>
      </c>
      <c r="D81" s="203">
        <v>152533</v>
      </c>
      <c r="E81" s="202">
        <f t="shared" si="7"/>
        <v>0.07248923114357081</v>
      </c>
      <c r="F81" s="202">
        <f t="shared" si="18"/>
        <v>0.008909555117537339</v>
      </c>
      <c r="G81" s="203">
        <f>SUM(G79:G80)</f>
        <v>151186</v>
      </c>
      <c r="H81" s="203">
        <f>SUM(H79:H80)</f>
        <v>152533</v>
      </c>
      <c r="I81" s="203">
        <f>SUM(I79:I80)</f>
        <v>80066</v>
      </c>
      <c r="J81" s="202">
        <f t="shared" si="9"/>
        <v>0.04311157609301409</v>
      </c>
      <c r="K81" s="203">
        <f>SUM(K79:K80)</f>
        <v>80468</v>
      </c>
      <c r="L81" s="202">
        <f t="shared" si="10"/>
        <v>0.03829863588357725</v>
      </c>
      <c r="M81" s="202">
        <f t="shared" si="17"/>
        <v>0.0050208577923213345</v>
      </c>
      <c r="N81" s="234">
        <f t="shared" si="12"/>
        <v>231252</v>
      </c>
      <c r="O81" s="202">
        <f t="shared" si="13"/>
        <v>0.06453422321420349</v>
      </c>
      <c r="P81" s="234">
        <f t="shared" si="19"/>
        <v>233001</v>
      </c>
      <c r="Q81" s="202">
        <f t="shared" si="15"/>
        <v>0.05540673481428004</v>
      </c>
      <c r="R81" s="202">
        <f t="shared" si="16"/>
        <v>0.0075631778319755075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44"/>
      <c r="O82" s="207"/>
      <c r="P82" s="235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45"/>
      <c r="O83" s="213"/>
      <c r="P83" s="236"/>
      <c r="Q83" s="213"/>
      <c r="R83" s="213"/>
    </row>
    <row r="84" spans="1:18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>+D84/$D$60</f>
        <v>0.07208005261817228</v>
      </c>
      <c r="F84" s="189">
        <f>(D84-B84)/B84</f>
        <v>0.004510202594856647</v>
      </c>
      <c r="G84" s="188">
        <v>150991</v>
      </c>
      <c r="H84" s="217">
        <v>151672</v>
      </c>
      <c r="I84" s="188">
        <v>79293</v>
      </c>
      <c r="J84" s="189">
        <f>I84/$I$60</f>
        <v>0.042695353872347394</v>
      </c>
      <c r="K84" s="217">
        <v>79412</v>
      </c>
      <c r="L84" s="189">
        <f>+K84/$K$60</f>
        <v>0.03779603411028777</v>
      </c>
      <c r="M84" s="189">
        <f>(K84-I84)/I84</f>
        <v>0.0015007629929501974</v>
      </c>
      <c r="N84" s="241">
        <f>+G84+I84</f>
        <v>230284</v>
      </c>
      <c r="O84" s="189">
        <f>N84/$N$60</f>
        <v>0.06426408878046302</v>
      </c>
      <c r="P84" s="237">
        <f>+H84+K84</f>
        <v>231084</v>
      </c>
      <c r="Q84" s="189">
        <f>P84/$P$60</f>
        <v>0.054950879643534095</v>
      </c>
      <c r="R84" s="189">
        <f>(P84-N84)/N84</f>
        <v>0.003473971270257595</v>
      </c>
    </row>
    <row r="85" spans="1:18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>+D85/$D$60</f>
        <v>0.0004091785253985332</v>
      </c>
      <c r="F85" s="198">
        <f>(D85-B85)/B85</f>
        <v>3.4153846153846152</v>
      </c>
      <c r="G85" s="219">
        <v>195</v>
      </c>
      <c r="H85" s="220">
        <v>861</v>
      </c>
      <c r="I85" s="219">
        <v>773</v>
      </c>
      <c r="J85" s="198">
        <f>I85/$I$60</f>
        <v>0.0004162222206666986</v>
      </c>
      <c r="K85" s="220">
        <v>1056</v>
      </c>
      <c r="L85" s="198">
        <f>+K85/$K$60</f>
        <v>0.0005026017732894763</v>
      </c>
      <c r="M85" s="198">
        <f>(K85-I85)/I85</f>
        <v>0.36610608020698576</v>
      </c>
      <c r="N85" s="243">
        <f>+G85+I85</f>
        <v>968</v>
      </c>
      <c r="O85" s="198">
        <f>N85/$N$60</f>
        <v>0.00027013443374046054</v>
      </c>
      <c r="P85" s="238">
        <f>+H85+K85</f>
        <v>1917</v>
      </c>
      <c r="Q85" s="198">
        <f>P85/$P$60</f>
        <v>0.0004558551707459403</v>
      </c>
      <c r="R85" s="198">
        <f>(P85-N85)/N85</f>
        <v>0.9803719008264463</v>
      </c>
    </row>
    <row r="86" spans="1:18" ht="15.75" thickBot="1">
      <c r="A86" s="221" t="s">
        <v>187</v>
      </c>
      <c r="B86" s="192">
        <v>151186</v>
      </c>
      <c r="C86" s="193">
        <f>+B86/$B$60</f>
        <v>0.08758211583691534</v>
      </c>
      <c r="D86" s="222">
        <v>152533</v>
      </c>
      <c r="E86" s="193">
        <f>+D86/$D$60</f>
        <v>0.07248923114357081</v>
      </c>
      <c r="F86" s="193">
        <f>(D86-B86)/B86</f>
        <v>0.008909555117537339</v>
      </c>
      <c r="G86" s="192">
        <f>SUM(G84:G85)</f>
        <v>151186</v>
      </c>
      <c r="H86" s="222">
        <f>SUM(H84:H85)</f>
        <v>152533</v>
      </c>
      <c r="I86" s="192">
        <f>SUM(I84:I85)</f>
        <v>80066</v>
      </c>
      <c r="J86" s="193">
        <f>I86/$I$60</f>
        <v>0.04311157609301409</v>
      </c>
      <c r="K86" s="222">
        <f>SUM(K84:K85)</f>
        <v>80468</v>
      </c>
      <c r="L86" s="193">
        <f>+K86/$K$60</f>
        <v>0.03829863588357725</v>
      </c>
      <c r="M86" s="193">
        <f>(K86-I86)/I86</f>
        <v>0.0050208577923213345</v>
      </c>
      <c r="N86" s="242">
        <f>+G86+I86</f>
        <v>231252</v>
      </c>
      <c r="O86" s="193">
        <f>N86/$N$60</f>
        <v>0.06453422321420349</v>
      </c>
      <c r="P86" s="239">
        <f>+H86+K86</f>
        <v>233001</v>
      </c>
      <c r="Q86" s="193">
        <f>P86/$P$60</f>
        <v>0.05540673481428004</v>
      </c>
      <c r="R86" s="193">
        <f>(P86-N86)/N86</f>
        <v>0.0075631778319755075</v>
      </c>
    </row>
    <row r="87" spans="1:18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>+D87/$D$60</f>
        <v>0.13353904732213803</v>
      </c>
      <c r="F87" s="202">
        <f>(D87-B87)/B87</f>
        <v>0.1961509646001124</v>
      </c>
      <c r="G87" s="203">
        <v>234916</v>
      </c>
      <c r="H87" s="203">
        <v>280995</v>
      </c>
      <c r="I87" s="203">
        <v>223967</v>
      </c>
      <c r="J87" s="202">
        <f>I87/$I$60</f>
        <v>0.12059513854600064</v>
      </c>
      <c r="K87" s="203">
        <v>253208</v>
      </c>
      <c r="L87" s="202">
        <f>+K87/$K$60</f>
        <v>0.12051400550291828</v>
      </c>
      <c r="M87" s="202">
        <f>(K87-I87)/I87</f>
        <v>0.13055941277063138</v>
      </c>
      <c r="N87" s="234">
        <f>+G87+I87</f>
        <v>458883</v>
      </c>
      <c r="O87" s="202">
        <f>N87/$N$60</f>
        <v>0.12805795388235924</v>
      </c>
      <c r="P87" s="234">
        <f>+H87+K87</f>
        <v>534203</v>
      </c>
      <c r="Q87" s="202">
        <f>P87/$P$60</f>
        <v>0.12703140311841082</v>
      </c>
      <c r="R87" s="202">
        <f>(P87-N87)/N87</f>
        <v>0.16413769958791238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31">
      <selection activeCell="A54" sqref="A54"/>
    </sheetView>
  </sheetViews>
  <sheetFormatPr defaultColWidth="11.421875" defaultRowHeight="12.75"/>
  <cols>
    <col min="1" max="1" width="45.7109375" style="143" customWidth="1"/>
    <col min="2" max="16" width="11.421875" style="143" customWidth="1"/>
    <col min="17" max="17" width="10.00390625" style="143" bestFit="1" customWidth="1"/>
    <col min="18" max="18" width="11.421875" style="143" customWidth="1"/>
    <col min="19" max="19" width="9.7109375" style="143" bestFit="1" customWidth="1"/>
    <col min="20" max="20" width="11.421875" style="143" customWidth="1"/>
    <col min="21" max="21" width="10.28125" style="143" bestFit="1" customWidth="1"/>
    <col min="22" max="22" width="11.421875" style="143" customWidth="1"/>
    <col min="23" max="23" width="10.57421875" style="143" bestFit="1" customWidth="1"/>
    <col min="24" max="24" width="11.421875" style="143" customWidth="1"/>
    <col min="25" max="25" width="10.140625" style="143" bestFit="1" customWidth="1"/>
    <col min="26" max="27" width="11.421875" style="143" customWidth="1"/>
    <col min="28" max="28" width="9.7109375" style="143" bestFit="1" customWidth="1"/>
    <col min="29" max="31" width="11.421875" style="143" customWidth="1"/>
    <col min="32" max="32" width="10.140625" style="143" bestFit="1" customWidth="1"/>
    <col min="33" max="34" width="11.421875" style="143" customWidth="1"/>
    <col min="35" max="35" width="10.00390625" style="143" bestFit="1" customWidth="1"/>
    <col min="36" max="36" width="8.28125" style="143" bestFit="1" customWidth="1"/>
    <col min="3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47" t="s">
        <v>119</v>
      </c>
      <c r="B2" s="253"/>
      <c r="C2" s="253"/>
      <c r="D2" s="253"/>
      <c r="E2" s="253"/>
    </row>
    <row r="3" spans="1:5" ht="15">
      <c r="A3" s="246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10" ht="23.25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  <c r="H6" s="255" t="s">
        <v>124</v>
      </c>
      <c r="I6" s="251" t="s">
        <v>210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  <c r="H9" s="157">
        <v>286064</v>
      </c>
      <c r="I9" s="158">
        <v>222833</v>
      </c>
      <c r="J9" s="159">
        <f aca="true" t="shared" si="2" ref="J9:J15">(I9-H9)/H9</f>
        <v>-0.22103794954975112</v>
      </c>
    </row>
    <row r="10" spans="1:10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  <c r="H10" s="157">
        <v>878280</v>
      </c>
      <c r="I10" s="158">
        <v>869999</v>
      </c>
      <c r="J10" s="159">
        <f t="shared" si="2"/>
        <v>-0.009428656009473062</v>
      </c>
    </row>
    <row r="11" spans="1:10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  <c r="H11" s="157">
        <v>1032969</v>
      </c>
      <c r="I11" s="158">
        <v>1081609</v>
      </c>
      <c r="J11" s="159">
        <f t="shared" si="2"/>
        <v>0.04708756990771262</v>
      </c>
    </row>
    <row r="12" spans="1:10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  <c r="H12" s="157">
        <v>53119</v>
      </c>
      <c r="I12" s="158">
        <v>66216</v>
      </c>
      <c r="J12" s="159">
        <f t="shared" si="2"/>
        <v>0.24655961143846836</v>
      </c>
    </row>
    <row r="13" spans="1:10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  <c r="H13" s="157">
        <v>220762</v>
      </c>
      <c r="I13" s="158">
        <v>285916</v>
      </c>
      <c r="J13" s="159">
        <f t="shared" si="2"/>
        <v>0.2951323144381732</v>
      </c>
    </row>
    <row r="14" spans="1:10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  <c r="H14" s="162">
        <v>71679</v>
      </c>
      <c r="I14" s="163">
        <v>76079</v>
      </c>
      <c r="J14" s="159">
        <f t="shared" si="2"/>
        <v>0.06138478494398639</v>
      </c>
    </row>
    <row r="15" spans="1:10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  <c r="H15" s="165">
        <f>SUM(H9:H14)</f>
        <v>2542873</v>
      </c>
      <c r="I15" s="166">
        <f>SUM(I9:I14)</f>
        <v>2602652</v>
      </c>
      <c r="J15" s="159">
        <f t="shared" si="2"/>
        <v>0.02350844890798715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26729</v>
      </c>
      <c r="C17" s="158">
        <v>25395</v>
      </c>
      <c r="D17" s="159">
        <f aca="true" t="shared" si="3" ref="D17:D28">(C17-B17)/B17</f>
        <v>-0.049908339256986796</v>
      </c>
      <c r="E17" s="157">
        <v>26729</v>
      </c>
      <c r="F17" s="158">
        <v>26190</v>
      </c>
      <c r="G17" s="159">
        <f aca="true" t="shared" si="4" ref="G17:G28">(F17-E17)/E17</f>
        <v>-0.02016536346290546</v>
      </c>
      <c r="H17" s="157">
        <v>26729</v>
      </c>
      <c r="I17" s="158">
        <v>26261</v>
      </c>
      <c r="J17" s="159">
        <f aca="true" t="shared" si="5" ref="J17:J28">(I17-H17)/H17</f>
        <v>-0.0175090725429309</v>
      </c>
    </row>
    <row r="18" spans="1:10" ht="15.75" thickBot="1">
      <c r="A18" s="155" t="s">
        <v>140</v>
      </c>
      <c r="B18" s="157">
        <v>5699</v>
      </c>
      <c r="C18" s="158">
        <v>6156</v>
      </c>
      <c r="D18" s="159">
        <f t="shared" si="3"/>
        <v>0.08018950693104053</v>
      </c>
      <c r="E18" s="157">
        <v>5699</v>
      </c>
      <c r="F18" s="158">
        <v>6491</v>
      </c>
      <c r="G18" s="159">
        <f t="shared" si="4"/>
        <v>0.1389717494297245</v>
      </c>
      <c r="H18" s="157">
        <v>5699</v>
      </c>
      <c r="I18" s="158">
        <v>7151</v>
      </c>
      <c r="J18" s="159">
        <f t="shared" si="5"/>
        <v>0.2547815406211616</v>
      </c>
    </row>
    <row r="19" spans="1:10" ht="15.75" thickBot="1">
      <c r="A19" s="155" t="s">
        <v>141</v>
      </c>
      <c r="B19" s="157">
        <v>109021</v>
      </c>
      <c r="C19" s="158">
        <v>110760</v>
      </c>
      <c r="D19" s="159">
        <f t="shared" si="3"/>
        <v>0.01595105530127223</v>
      </c>
      <c r="E19" s="157">
        <v>109021</v>
      </c>
      <c r="F19" s="158">
        <v>161255</v>
      </c>
      <c r="G19" s="159">
        <f t="shared" si="4"/>
        <v>0.47911870190146855</v>
      </c>
      <c r="H19" s="157">
        <v>109021</v>
      </c>
      <c r="I19" s="158">
        <v>161801</v>
      </c>
      <c r="J19" s="159">
        <f t="shared" si="5"/>
        <v>0.48412691132901003</v>
      </c>
    </row>
    <row r="20" spans="1:10" ht="15.75" thickBot="1">
      <c r="A20" s="155" t="s">
        <v>142</v>
      </c>
      <c r="B20" s="157">
        <v>3418149</v>
      </c>
      <c r="C20" s="158">
        <v>3893661</v>
      </c>
      <c r="D20" s="159">
        <f t="shared" si="3"/>
        <v>0.13911388883281567</v>
      </c>
      <c r="E20" s="157">
        <v>3418149</v>
      </c>
      <c r="F20" s="158">
        <v>3756035</v>
      </c>
      <c r="G20" s="159">
        <f t="shared" si="4"/>
        <v>0.09885057673027127</v>
      </c>
      <c r="H20" s="157">
        <v>3418149</v>
      </c>
      <c r="I20" s="158">
        <v>3725217</v>
      </c>
      <c r="J20" s="159">
        <f t="shared" si="5"/>
        <v>0.08983458591184879</v>
      </c>
    </row>
    <row r="21" spans="1:10" ht="15.75" thickBot="1">
      <c r="A21" s="155" t="s">
        <v>143</v>
      </c>
      <c r="B21" s="157">
        <v>3383722</v>
      </c>
      <c r="C21" s="158">
        <v>3364160</v>
      </c>
      <c r="D21" s="159">
        <f t="shared" si="3"/>
        <v>-0.00578120779425733</v>
      </c>
      <c r="E21" s="157">
        <v>3383722</v>
      </c>
      <c r="F21" s="158">
        <v>3312068</v>
      </c>
      <c r="G21" s="159">
        <f t="shared" si="4"/>
        <v>-0.0211760895250851</v>
      </c>
      <c r="H21" s="157">
        <v>3383722</v>
      </c>
      <c r="I21" s="158">
        <v>3311507</v>
      </c>
      <c r="J21" s="159">
        <f t="shared" si="5"/>
        <v>-0.02134188328710219</v>
      </c>
    </row>
    <row r="22" spans="1:10" ht="15.75" thickBot="1">
      <c r="A22" s="155" t="s">
        <v>144</v>
      </c>
      <c r="B22" s="157">
        <v>82393</v>
      </c>
      <c r="C22" s="158">
        <v>82141</v>
      </c>
      <c r="D22" s="159">
        <f t="shared" si="3"/>
        <v>-0.003058512252254439</v>
      </c>
      <c r="E22" s="157">
        <v>82393</v>
      </c>
      <c r="F22" s="158">
        <v>77368</v>
      </c>
      <c r="G22" s="159">
        <f t="shared" si="4"/>
        <v>-0.06098819074435935</v>
      </c>
      <c r="H22" s="157">
        <v>82393</v>
      </c>
      <c r="I22" s="158">
        <v>71951</v>
      </c>
      <c r="J22" s="159">
        <f t="shared" si="5"/>
        <v>-0.12673406721444783</v>
      </c>
    </row>
    <row r="23" spans="1:10" ht="15.75" thickBot="1">
      <c r="A23" s="155" t="s">
        <v>145</v>
      </c>
      <c r="B23" s="157">
        <v>2033403</v>
      </c>
      <c r="C23" s="158">
        <v>2036765</v>
      </c>
      <c r="D23" s="159">
        <f t="shared" si="3"/>
        <v>0.001653385974152689</v>
      </c>
      <c r="E23" s="157">
        <v>2033403</v>
      </c>
      <c r="F23" s="158">
        <v>2018384</v>
      </c>
      <c r="G23" s="159">
        <f t="shared" si="4"/>
        <v>-0.007386140376501854</v>
      </c>
      <c r="H23" s="157">
        <v>2033403</v>
      </c>
      <c r="I23" s="158">
        <v>2009524</v>
      </c>
      <c r="J23" s="159">
        <f t="shared" si="5"/>
        <v>-0.01174336813705891</v>
      </c>
    </row>
    <row r="24" spans="1:10" ht="15.75" thickBot="1">
      <c r="A24" s="155" t="s">
        <v>146</v>
      </c>
      <c r="B24" s="157">
        <v>1179957</v>
      </c>
      <c r="C24" s="158">
        <v>1172357</v>
      </c>
      <c r="D24" s="159">
        <f t="shared" si="3"/>
        <v>-0.006440912677326377</v>
      </c>
      <c r="E24" s="157">
        <v>1179957</v>
      </c>
      <c r="F24" s="158">
        <v>1155162</v>
      </c>
      <c r="G24" s="159">
        <f t="shared" si="4"/>
        <v>-0.021013477609777304</v>
      </c>
      <c r="H24" s="157">
        <v>1179957</v>
      </c>
      <c r="I24" s="158">
        <v>1149421</v>
      </c>
      <c r="J24" s="159">
        <f t="shared" si="5"/>
        <v>-0.025878909146689243</v>
      </c>
    </row>
    <row r="25" spans="1:10" ht="15.75" thickBot="1">
      <c r="A25" s="155" t="s">
        <v>147</v>
      </c>
      <c r="B25" s="157">
        <v>355461</v>
      </c>
      <c r="C25" s="158">
        <v>371603</v>
      </c>
      <c r="D25" s="159">
        <f t="shared" si="3"/>
        <v>0.045411451607911976</v>
      </c>
      <c r="E25" s="157">
        <v>355461</v>
      </c>
      <c r="F25" s="158">
        <v>365896</v>
      </c>
      <c r="G25" s="159">
        <f t="shared" si="4"/>
        <v>0.029356244426252107</v>
      </c>
      <c r="H25" s="157">
        <v>355461</v>
      </c>
      <c r="I25" s="158">
        <v>363222</v>
      </c>
      <c r="J25" s="159">
        <f t="shared" si="5"/>
        <v>0.021833618878020374</v>
      </c>
    </row>
    <row r="26" spans="1:10" ht="15.75" thickBot="1">
      <c r="A26" s="160" t="s">
        <v>24</v>
      </c>
      <c r="B26" s="162">
        <v>40645</v>
      </c>
      <c r="C26" s="163">
        <v>42717</v>
      </c>
      <c r="D26" s="167">
        <f t="shared" si="3"/>
        <v>0.05097798007134949</v>
      </c>
      <c r="E26" s="162">
        <v>40645</v>
      </c>
      <c r="F26" s="163">
        <v>44171</v>
      </c>
      <c r="G26" s="167">
        <f t="shared" si="4"/>
        <v>0.08675113790134088</v>
      </c>
      <c r="H26" s="162">
        <v>40645</v>
      </c>
      <c r="I26" s="163">
        <v>46257</v>
      </c>
      <c r="J26" s="167">
        <f t="shared" si="5"/>
        <v>0.13807356378398328</v>
      </c>
    </row>
    <row r="27" spans="1:10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3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4"/>
        <v>0.02706498875101209</v>
      </c>
      <c r="H27" s="165">
        <f>SUM(H17:H26)</f>
        <v>10635179</v>
      </c>
      <c r="I27" s="166">
        <f>SUM(I17:I26)</f>
        <v>10872312</v>
      </c>
      <c r="J27" s="168">
        <f t="shared" si="5"/>
        <v>0.022297038912086013</v>
      </c>
    </row>
    <row r="28" spans="1:10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3"/>
        <v>0.0418712871978347</v>
      </c>
      <c r="E28" s="165">
        <f>+E15+E27</f>
        <v>13178052</v>
      </c>
      <c r="F28" s="166">
        <f>+F15+F27</f>
        <v>13437908</v>
      </c>
      <c r="G28" s="168">
        <f t="shared" si="4"/>
        <v>0.019718847671871383</v>
      </c>
      <c r="H28" s="165">
        <f>+H15+H27</f>
        <v>13178052</v>
      </c>
      <c r="I28" s="166">
        <f>+I15+I27</f>
        <v>13474964</v>
      </c>
      <c r="J28" s="168">
        <f t="shared" si="5"/>
        <v>0.0225307959021561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1059660</v>
      </c>
      <c r="C31" s="158">
        <v>1044488</v>
      </c>
      <c r="D31" s="159">
        <f aca="true" t="shared" si="6" ref="D31:D37">(C31-B31)/B31</f>
        <v>-0.014317800049072344</v>
      </c>
      <c r="E31" s="157">
        <v>1059660</v>
      </c>
      <c r="F31" s="158">
        <v>862246</v>
      </c>
      <c r="G31" s="159">
        <f aca="true" t="shared" si="7" ref="G31:G37">(F31-E31)/E31</f>
        <v>-0.18629937904610913</v>
      </c>
      <c r="H31" s="157">
        <v>1059660</v>
      </c>
      <c r="I31" s="158">
        <v>799469</v>
      </c>
      <c r="J31" s="159">
        <f aca="true" t="shared" si="8" ref="J31:J37">(I31-H31)/H31</f>
        <v>-0.2455419662910745</v>
      </c>
    </row>
    <row r="32" spans="1:10" ht="15.75" thickBot="1">
      <c r="A32" s="155" t="s">
        <v>152</v>
      </c>
      <c r="B32" s="157">
        <v>825435</v>
      </c>
      <c r="C32" s="158">
        <v>935523</v>
      </c>
      <c r="D32" s="159">
        <f t="shared" si="6"/>
        <v>0.13336967780624762</v>
      </c>
      <c r="E32" s="157">
        <v>825435</v>
      </c>
      <c r="F32" s="158">
        <v>861844</v>
      </c>
      <c r="G32" s="159">
        <f t="shared" si="7"/>
        <v>0.044108863811202575</v>
      </c>
      <c r="H32" s="157">
        <v>825435</v>
      </c>
      <c r="I32" s="158">
        <v>855542</v>
      </c>
      <c r="J32" s="159">
        <f t="shared" si="8"/>
        <v>0.036474101534342496</v>
      </c>
    </row>
    <row r="33" spans="1:10" ht="15.75" thickBot="1">
      <c r="A33" s="155" t="s">
        <v>153</v>
      </c>
      <c r="B33" s="157">
        <v>172323</v>
      </c>
      <c r="C33" s="158">
        <v>186031</v>
      </c>
      <c r="D33" s="159">
        <f t="shared" si="6"/>
        <v>0.07954829012958224</v>
      </c>
      <c r="E33" s="157">
        <v>172323</v>
      </c>
      <c r="F33" s="158">
        <v>205184</v>
      </c>
      <c r="G33" s="159">
        <f t="shared" si="7"/>
        <v>0.19069421957602872</v>
      </c>
      <c r="H33" s="157">
        <v>172323</v>
      </c>
      <c r="I33" s="158">
        <v>206372</v>
      </c>
      <c r="J33" s="159">
        <f t="shared" si="8"/>
        <v>0.1975882499724355</v>
      </c>
    </row>
    <row r="34" spans="1:10" ht="15.75" thickBot="1">
      <c r="A34" s="155" t="s">
        <v>154</v>
      </c>
      <c r="B34" s="157">
        <v>160628</v>
      </c>
      <c r="C34" s="158">
        <v>122670</v>
      </c>
      <c r="D34" s="159">
        <f t="shared" si="6"/>
        <v>-0.23630998331548672</v>
      </c>
      <c r="E34" s="157">
        <v>160628</v>
      </c>
      <c r="F34" s="158">
        <v>129825</v>
      </c>
      <c r="G34" s="159">
        <f t="shared" si="7"/>
        <v>-0.19176606818238415</v>
      </c>
      <c r="H34" s="157">
        <v>160628</v>
      </c>
      <c r="I34" s="158">
        <v>162674</v>
      </c>
      <c r="J34" s="159">
        <f t="shared" si="8"/>
        <v>0.01273750529172996</v>
      </c>
    </row>
    <row r="35" spans="1:10" ht="15.75" thickBot="1">
      <c r="A35" s="155" t="s">
        <v>155</v>
      </c>
      <c r="B35" s="157">
        <v>4415</v>
      </c>
      <c r="C35" s="158">
        <v>3289</v>
      </c>
      <c r="D35" s="159">
        <f t="shared" si="6"/>
        <v>-0.255039637599094</v>
      </c>
      <c r="E35" s="157">
        <v>4415</v>
      </c>
      <c r="F35" s="158">
        <v>2901</v>
      </c>
      <c r="G35" s="159">
        <f t="shared" si="7"/>
        <v>-0.34292185730464325</v>
      </c>
      <c r="H35" s="157">
        <v>4415</v>
      </c>
      <c r="I35" s="158">
        <v>2921</v>
      </c>
      <c r="J35" s="159">
        <f t="shared" si="8"/>
        <v>-0.33839184597961497</v>
      </c>
    </row>
    <row r="36" spans="1:10" ht="15.75" thickBot="1">
      <c r="A36" s="160" t="s">
        <v>35</v>
      </c>
      <c r="B36" s="162">
        <v>26641</v>
      </c>
      <c r="C36" s="163">
        <v>26274</v>
      </c>
      <c r="D36" s="167">
        <f t="shared" si="6"/>
        <v>-0.013775759168199392</v>
      </c>
      <c r="E36" s="162">
        <v>26641</v>
      </c>
      <c r="F36" s="163">
        <v>22619</v>
      </c>
      <c r="G36" s="167">
        <f t="shared" si="7"/>
        <v>-0.15097030892233776</v>
      </c>
      <c r="H36" s="162">
        <v>26641</v>
      </c>
      <c r="I36" s="163">
        <v>28191</v>
      </c>
      <c r="J36" s="167">
        <f t="shared" si="8"/>
        <v>0.0581809992117413</v>
      </c>
    </row>
    <row r="37" spans="1:10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6"/>
        <v>0.030755830549259216</v>
      </c>
      <c r="E37" s="165">
        <f>SUM(E31:E36)</f>
        <v>2249102</v>
      </c>
      <c r="F37" s="166">
        <f>SUM(F31:F36)</f>
        <v>2084619</v>
      </c>
      <c r="G37" s="168">
        <f t="shared" si="7"/>
        <v>-0.07313274364613076</v>
      </c>
      <c r="H37" s="165">
        <f>SUM(H31:H36)</f>
        <v>2249102</v>
      </c>
      <c r="I37" s="166">
        <f>SUM(I31:I36)</f>
        <v>2055169</v>
      </c>
      <c r="J37" s="168">
        <f t="shared" si="8"/>
        <v>-0.08622685854176466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  <c r="H39" s="157">
        <v>2034604</v>
      </c>
      <c r="I39" s="158">
        <v>2364526</v>
      </c>
      <c r="J39" s="159">
        <f>(I39-H39)/H39</f>
        <v>0.16215538748572203</v>
      </c>
    </row>
    <row r="40" spans="1:10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158</v>
      </c>
      <c r="J40" s="159">
        <f>(I40-H40)/H40</f>
        <v>-0.006289308176100629</v>
      </c>
    </row>
    <row r="41" spans="1:10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  <c r="H41" s="157">
        <v>211533</v>
      </c>
      <c r="I41" s="158">
        <v>224265</v>
      </c>
      <c r="J41" s="159">
        <f>(I41-H41)/H41</f>
        <v>0.060189190339096026</v>
      </c>
    </row>
    <row r="42" spans="1:10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  <c r="H42" s="157">
        <v>727692</v>
      </c>
      <c r="I42" s="158">
        <v>631573</v>
      </c>
      <c r="J42" s="159">
        <f>(I42-H42)/H42</f>
        <v>-0.13208747656975753</v>
      </c>
    </row>
    <row r="43" spans="1:10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  <c r="H43" s="161" t="s">
        <v>159</v>
      </c>
      <c r="I43" s="173">
        <v>748</v>
      </c>
      <c r="J43" s="167" t="s">
        <v>88</v>
      </c>
    </row>
    <row r="44" spans="1:10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  <c r="H44" s="165">
        <f>SUM(H39:H43)</f>
        <v>2973988</v>
      </c>
      <c r="I44" s="166">
        <f>SUM(I39:I43)</f>
        <v>3221270</v>
      </c>
      <c r="J44" s="168">
        <f>(I44-H44)/H44</f>
        <v>0.08314828439119458</v>
      </c>
    </row>
    <row r="45" spans="1:10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  <c r="H45" s="165">
        <f>+H37+H44</f>
        <v>5223090</v>
      </c>
      <c r="I45" s="166">
        <f>+I37+I44</f>
        <v>5276439</v>
      </c>
      <c r="J45" s="168">
        <f>(I45-H45)/H45</f>
        <v>0.010214068683480468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  <c r="H47" s="165">
        <v>7920603</v>
      </c>
      <c r="I47" s="166">
        <v>8162045</v>
      </c>
      <c r="J47" s="168">
        <f>(I47-H47)/H47</f>
        <v>0.030482780162065945</v>
      </c>
    </row>
    <row r="48" spans="1:10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  <c r="H48" s="162">
        <v>34359</v>
      </c>
      <c r="I48" s="163">
        <v>36480</v>
      </c>
      <c r="J48" s="167">
        <f>(I48-H48)/H48</f>
        <v>0.06173055094735004</v>
      </c>
    </row>
    <row r="49" spans="1:10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  <c r="H49" s="165">
        <f>SUM(H47:H48)</f>
        <v>7954962</v>
      </c>
      <c r="I49" s="166">
        <f>SUM(I47:I48)</f>
        <v>8198525</v>
      </c>
      <c r="J49" s="168">
        <f>(I49-H49)/H49</f>
        <v>0.030617745251328668</v>
      </c>
    </row>
    <row r="50" spans="1:10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  <c r="H50" s="176">
        <f>+H45+H49</f>
        <v>13178052</v>
      </c>
      <c r="I50" s="166">
        <f>+I45+I49</f>
        <v>13474964</v>
      </c>
      <c r="J50" s="177">
        <f>(I50-H50)/H50</f>
        <v>0.0225307959021561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51"/>
      <c r="C53" s="351"/>
      <c r="D53" s="351"/>
      <c r="E53" s="351"/>
    </row>
    <row r="54" spans="1:5" ht="15">
      <c r="A54" s="247" t="s">
        <v>208</v>
      </c>
      <c r="B54" s="351"/>
      <c r="C54" s="351"/>
      <c r="D54" s="351"/>
      <c r="E54" s="351"/>
    </row>
    <row r="55" spans="1:5" ht="15">
      <c r="A55" s="246" t="s">
        <v>131</v>
      </c>
      <c r="B55" s="351"/>
      <c r="C55" s="351"/>
      <c r="D55" s="351"/>
      <c r="E55" s="351"/>
    </row>
    <row r="56" spans="1:5" ht="15">
      <c r="A56" s="146" t="s">
        <v>132</v>
      </c>
      <c r="B56" s="351"/>
      <c r="C56" s="351"/>
      <c r="D56" s="351"/>
      <c r="E56" s="351"/>
    </row>
    <row r="57" spans="2:5" ht="15.75" thickBot="1">
      <c r="B57" s="351"/>
      <c r="C57" s="351"/>
      <c r="D57" s="351"/>
      <c r="E57" s="351"/>
    </row>
    <row r="58" spans="1:25" s="260" customFormat="1" ht="15.75" customHeight="1" thickBot="1">
      <c r="A58" s="257"/>
      <c r="B58" s="258" t="s">
        <v>102</v>
      </c>
      <c r="C58" s="256" t="s">
        <v>98</v>
      </c>
      <c r="D58" s="259" t="s">
        <v>193</v>
      </c>
      <c r="E58" s="256" t="s">
        <v>98</v>
      </c>
      <c r="F58" s="256" t="s">
        <v>99</v>
      </c>
      <c r="G58" s="258" t="s">
        <v>106</v>
      </c>
      <c r="H58" s="256" t="s">
        <v>98</v>
      </c>
      <c r="I58" s="259" t="s">
        <v>205</v>
      </c>
      <c r="J58" s="256" t="s">
        <v>98</v>
      </c>
      <c r="K58" s="256" t="s">
        <v>99</v>
      </c>
      <c r="L58" s="258" t="s">
        <v>102</v>
      </c>
      <c r="M58" s="259" t="s">
        <v>193</v>
      </c>
      <c r="N58" s="258" t="s">
        <v>104</v>
      </c>
      <c r="O58" s="259" t="s">
        <v>204</v>
      </c>
      <c r="P58" s="258" t="s">
        <v>118</v>
      </c>
      <c r="Q58" s="256" t="s">
        <v>98</v>
      </c>
      <c r="R58" s="259" t="s">
        <v>209</v>
      </c>
      <c r="S58" s="256" t="s">
        <v>98</v>
      </c>
      <c r="T58" s="256" t="s">
        <v>99</v>
      </c>
      <c r="U58" s="258" t="s">
        <v>130</v>
      </c>
      <c r="V58" s="256" t="s">
        <v>98</v>
      </c>
      <c r="W58" s="259" t="s">
        <v>207</v>
      </c>
      <c r="X58" s="256" t="s">
        <v>98</v>
      </c>
      <c r="Y58" s="256" t="s">
        <v>99</v>
      </c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25" ht="15.75" thickBot="1">
      <c r="A60" s="182" t="s">
        <v>169</v>
      </c>
      <c r="B60" s="183">
        <v>1726220</v>
      </c>
      <c r="C60" s="184">
        <f aca="true" t="shared" si="9" ref="C60:C81">+B60/$B$60</f>
        <v>1</v>
      </c>
      <c r="D60" s="185">
        <v>2104216</v>
      </c>
      <c r="E60" s="184">
        <f>+D60/$D$60</f>
        <v>1</v>
      </c>
      <c r="F60" s="184">
        <f aca="true" t="shared" si="10" ref="F60:F74">(D60-B60)/B60</f>
        <v>0.21897324790582892</v>
      </c>
      <c r="G60" s="183">
        <v>3583401</v>
      </c>
      <c r="H60" s="184">
        <f>+G60/$G$60</f>
        <v>1</v>
      </c>
      <c r="I60" s="185">
        <v>4205283</v>
      </c>
      <c r="J60" s="184">
        <f>+I60/$I$60</f>
        <v>1</v>
      </c>
      <c r="K60" s="184">
        <f aca="true" t="shared" si="11" ref="K60:K81">(I60-G60)/G60</f>
        <v>0.17354518793738127</v>
      </c>
      <c r="L60" s="183">
        <v>1726220</v>
      </c>
      <c r="M60" s="185">
        <v>2104216</v>
      </c>
      <c r="N60" s="240">
        <v>1857181</v>
      </c>
      <c r="O60" s="230">
        <v>2101067</v>
      </c>
      <c r="P60" s="183">
        <v>2099200</v>
      </c>
      <c r="Q60" s="184">
        <f>+P60/$P$60</f>
        <v>1</v>
      </c>
      <c r="R60" s="185">
        <v>2214012</v>
      </c>
      <c r="S60" s="184">
        <f>+R60/$R$60</f>
        <v>1</v>
      </c>
      <c r="T60" s="184">
        <f aca="true" t="shared" si="12" ref="T60:T70">(R60-P60)/P60</f>
        <v>0.054693216463414636</v>
      </c>
      <c r="U60" s="183">
        <f aca="true" t="shared" si="13" ref="U60:U81">+L60+N60+P60</f>
        <v>5682601</v>
      </c>
      <c r="V60" s="184">
        <f>+U60/$U$60</f>
        <v>1</v>
      </c>
      <c r="W60" s="185">
        <f aca="true" t="shared" si="14" ref="W60:W81">+M60+O60+R60</f>
        <v>6419295</v>
      </c>
      <c r="X60" s="184">
        <f>+W60/$W$60</f>
        <v>1</v>
      </c>
      <c r="Y60" s="184">
        <f aca="true" t="shared" si="15" ref="Y60:Y66">(W60-U60)/U60</f>
        <v>0.12964028268041342</v>
      </c>
    </row>
    <row r="61" spans="1:25" ht="15.75" thickBot="1">
      <c r="A61" s="186" t="s">
        <v>45</v>
      </c>
      <c r="B61" s="188">
        <v>-972781</v>
      </c>
      <c r="C61" s="189">
        <f t="shared" si="9"/>
        <v>-0.5635324582034735</v>
      </c>
      <c r="D61" s="190">
        <v>-1196310</v>
      </c>
      <c r="E61" s="189">
        <f aca="true" t="shared" si="16" ref="E61:E87">+D61/$D$60</f>
        <v>-0.5685300368403243</v>
      </c>
      <c r="F61" s="189">
        <f t="shared" si="10"/>
        <v>0.22978347644536642</v>
      </c>
      <c r="G61" s="188">
        <v>-2017246</v>
      </c>
      <c r="H61" s="189">
        <f aca="true" t="shared" si="17" ref="H61:H87">+G61/$G$60</f>
        <v>-0.5629417416582738</v>
      </c>
      <c r="I61" s="190">
        <v>-2399295</v>
      </c>
      <c r="J61" s="189">
        <f aca="true" t="shared" si="18" ref="J61:J87">+I61/$I$60</f>
        <v>-0.5705430526316541</v>
      </c>
      <c r="K61" s="189">
        <f t="shared" si="11"/>
        <v>0.18939137814624493</v>
      </c>
      <c r="L61" s="188">
        <v>-972781</v>
      </c>
      <c r="M61" s="190">
        <v>-1196310</v>
      </c>
      <c r="N61" s="241">
        <v>-1044465</v>
      </c>
      <c r="O61" s="231">
        <v>-1202985</v>
      </c>
      <c r="P61" s="188">
        <v>-1187913</v>
      </c>
      <c r="Q61" s="189">
        <f aca="true" t="shared" si="19" ref="Q61:Q87">+P61/$P$60</f>
        <v>-0.5658884336890244</v>
      </c>
      <c r="R61" s="190">
        <v>-1279858</v>
      </c>
      <c r="S61" s="189">
        <f aca="true" t="shared" si="20" ref="S61:S87">+R61/$R$60</f>
        <v>-0.5780718442357132</v>
      </c>
      <c r="T61" s="189">
        <f t="shared" si="12"/>
        <v>0.07740044935950696</v>
      </c>
      <c r="U61" s="188">
        <f t="shared" si="13"/>
        <v>-3205159</v>
      </c>
      <c r="V61" s="189">
        <f aca="true" t="shared" si="21" ref="V61:V87">+U61/$U$60</f>
        <v>-0.5640302741649467</v>
      </c>
      <c r="W61" s="190">
        <f t="shared" si="14"/>
        <v>-3679153</v>
      </c>
      <c r="X61" s="189">
        <f aca="true" t="shared" si="22" ref="X61:X87">+W61/$W$60</f>
        <v>-0.5731397295185842</v>
      </c>
      <c r="Y61" s="189">
        <f t="shared" si="15"/>
        <v>0.14788470712373394</v>
      </c>
    </row>
    <row r="62" spans="1:25" ht="15.75" thickBot="1">
      <c r="A62" s="191" t="s">
        <v>95</v>
      </c>
      <c r="B62" s="192">
        <f>SUM(B60:B61)</f>
        <v>753439</v>
      </c>
      <c r="C62" s="193">
        <f t="shared" si="9"/>
        <v>0.4364675417965265</v>
      </c>
      <c r="D62" s="194">
        <f>SUM(D60:D61)</f>
        <v>907906</v>
      </c>
      <c r="E62" s="193">
        <f t="shared" si="16"/>
        <v>0.4314699631596756</v>
      </c>
      <c r="F62" s="193">
        <f t="shared" si="10"/>
        <v>0.205015933605773</v>
      </c>
      <c r="G62" s="192">
        <f>SUM(G60:G61)</f>
        <v>1566155</v>
      </c>
      <c r="H62" s="193">
        <f t="shared" si="17"/>
        <v>0.4370582583417262</v>
      </c>
      <c r="I62" s="194">
        <f>SUM(I60:I61)</f>
        <v>1805988</v>
      </c>
      <c r="J62" s="193">
        <f t="shared" si="18"/>
        <v>0.42945694736834594</v>
      </c>
      <c r="K62" s="193">
        <f t="shared" si="11"/>
        <v>0.15313490682595274</v>
      </c>
      <c r="L62" s="192">
        <f>SUM(L60:L61)</f>
        <v>753439</v>
      </c>
      <c r="M62" s="194">
        <f>SUM(M60:M61)</f>
        <v>907906</v>
      </c>
      <c r="N62" s="242">
        <f>SUM(N60:N61)</f>
        <v>812716</v>
      </c>
      <c r="O62" s="232">
        <f>SUM(O60:O61)</f>
        <v>898082</v>
      </c>
      <c r="P62" s="192">
        <f>SUM(P60:P61)</f>
        <v>911287</v>
      </c>
      <c r="Q62" s="193">
        <f t="shared" si="19"/>
        <v>0.4341115663109756</v>
      </c>
      <c r="R62" s="194">
        <f>SUM(R60:R61)</f>
        <v>934154</v>
      </c>
      <c r="S62" s="193">
        <f t="shared" si="20"/>
        <v>0.4219281557642867</v>
      </c>
      <c r="T62" s="193">
        <f t="shared" si="12"/>
        <v>0.02509308264026591</v>
      </c>
      <c r="U62" s="192">
        <f t="shared" si="13"/>
        <v>2477442</v>
      </c>
      <c r="V62" s="193">
        <f t="shared" si="21"/>
        <v>0.43596972583505333</v>
      </c>
      <c r="W62" s="194">
        <f t="shared" si="14"/>
        <v>2740142</v>
      </c>
      <c r="X62" s="193">
        <f t="shared" si="22"/>
        <v>0.4268602704814158</v>
      </c>
      <c r="Y62" s="193">
        <f t="shared" si="15"/>
        <v>0.10603679117412235</v>
      </c>
    </row>
    <row r="63" spans="1:25" ht="15.75" thickBot="1">
      <c r="A63" s="186" t="s">
        <v>170</v>
      </c>
      <c r="B63" s="188">
        <v>-96265</v>
      </c>
      <c r="C63" s="189">
        <f t="shared" si="9"/>
        <v>-0.05576635654783284</v>
      </c>
      <c r="D63" s="190">
        <v>-97009</v>
      </c>
      <c r="E63" s="189">
        <f t="shared" si="16"/>
        <v>-0.046102206237382475</v>
      </c>
      <c r="F63" s="189">
        <f t="shared" si="10"/>
        <v>0.007728665662494157</v>
      </c>
      <c r="G63" s="188">
        <v>-183084</v>
      </c>
      <c r="H63" s="189">
        <f t="shared" si="17"/>
        <v>-0.05109224449063892</v>
      </c>
      <c r="I63" s="190">
        <v>-193987</v>
      </c>
      <c r="J63" s="189">
        <f t="shared" si="18"/>
        <v>-0.0461293568114203</v>
      </c>
      <c r="K63" s="189">
        <f t="shared" si="11"/>
        <v>0.05955189967446636</v>
      </c>
      <c r="L63" s="188">
        <v>-96265</v>
      </c>
      <c r="M63" s="190">
        <v>-97009</v>
      </c>
      <c r="N63" s="241">
        <v>-86819</v>
      </c>
      <c r="O63" s="231">
        <v>-96978</v>
      </c>
      <c r="P63" s="188">
        <v>-95397</v>
      </c>
      <c r="Q63" s="189">
        <f t="shared" si="19"/>
        <v>-0.0454444550304878</v>
      </c>
      <c r="R63" s="190">
        <v>-99902</v>
      </c>
      <c r="S63" s="189">
        <f t="shared" si="20"/>
        <v>-0.04512260999488711</v>
      </c>
      <c r="T63" s="189">
        <f t="shared" si="12"/>
        <v>0.047223707244462614</v>
      </c>
      <c r="U63" s="188">
        <f t="shared" si="13"/>
        <v>-278481</v>
      </c>
      <c r="V63" s="189">
        <f t="shared" si="21"/>
        <v>-0.0490059041625481</v>
      </c>
      <c r="W63" s="190">
        <f t="shared" si="14"/>
        <v>-293889</v>
      </c>
      <c r="X63" s="189">
        <f t="shared" si="22"/>
        <v>-0.045782130280661665</v>
      </c>
      <c r="Y63" s="189">
        <f t="shared" si="15"/>
        <v>0.055328729787669534</v>
      </c>
    </row>
    <row r="64" spans="1:25" ht="15.75" thickBot="1">
      <c r="A64" s="186" t="s">
        <v>171</v>
      </c>
      <c r="B64" s="188">
        <v>-436316</v>
      </c>
      <c r="C64" s="189">
        <f t="shared" si="9"/>
        <v>-0.25275804937956925</v>
      </c>
      <c r="D64" s="190">
        <v>-547935</v>
      </c>
      <c r="E64" s="189">
        <f t="shared" si="16"/>
        <v>-0.2603986472871606</v>
      </c>
      <c r="F64" s="189">
        <f t="shared" si="10"/>
        <v>0.2558214688436821</v>
      </c>
      <c r="G64" s="188">
        <v>-956200</v>
      </c>
      <c r="H64" s="189">
        <f t="shared" si="17"/>
        <v>-0.2668414726680045</v>
      </c>
      <c r="I64" s="190">
        <v>-1128655</v>
      </c>
      <c r="J64" s="189">
        <f t="shared" si="18"/>
        <v>-0.26838978494431887</v>
      </c>
      <c r="K64" s="189">
        <f t="shared" si="11"/>
        <v>0.18035452834135118</v>
      </c>
      <c r="L64" s="188">
        <v>-436316</v>
      </c>
      <c r="M64" s="190">
        <v>-547935</v>
      </c>
      <c r="N64" s="241">
        <v>-519884</v>
      </c>
      <c r="O64" s="231">
        <v>-580720</v>
      </c>
      <c r="P64" s="188">
        <v>-561107</v>
      </c>
      <c r="Q64" s="189">
        <f t="shared" si="19"/>
        <v>-0.2672956364329268</v>
      </c>
      <c r="R64" s="190">
        <v>-596608</v>
      </c>
      <c r="S64" s="189">
        <f t="shared" si="20"/>
        <v>-0.2694691808355149</v>
      </c>
      <c r="T64" s="189">
        <f t="shared" si="12"/>
        <v>0.06326957247013493</v>
      </c>
      <c r="U64" s="188">
        <f t="shared" si="13"/>
        <v>-1517307</v>
      </c>
      <c r="V64" s="189">
        <f t="shared" si="21"/>
        <v>-0.26700924453432506</v>
      </c>
      <c r="W64" s="190">
        <f t="shared" si="14"/>
        <v>-1725263</v>
      </c>
      <c r="X64" s="189">
        <f t="shared" si="22"/>
        <v>-0.2687620681087253</v>
      </c>
      <c r="Y64" s="189">
        <f t="shared" si="15"/>
        <v>0.13705598141971267</v>
      </c>
    </row>
    <row r="65" spans="1:25" ht="15.75" thickBot="1">
      <c r="A65" s="186" t="s">
        <v>172</v>
      </c>
      <c r="B65" s="188">
        <v>-32449</v>
      </c>
      <c r="C65" s="189">
        <f t="shared" si="9"/>
        <v>-0.018797719873480785</v>
      </c>
      <c r="D65" s="190">
        <v>-34692</v>
      </c>
      <c r="E65" s="189">
        <f t="shared" si="16"/>
        <v>-0.016486900584350657</v>
      </c>
      <c r="F65" s="189">
        <f t="shared" si="10"/>
        <v>0.06912385589694597</v>
      </c>
      <c r="G65" s="188">
        <v>-64634</v>
      </c>
      <c r="H65" s="189">
        <f t="shared" si="17"/>
        <v>-0.018037054742129056</v>
      </c>
      <c r="I65" s="190">
        <v>-69304</v>
      </c>
      <c r="J65" s="189">
        <f t="shared" si="18"/>
        <v>-0.01648022261521995</v>
      </c>
      <c r="K65" s="189">
        <f t="shared" si="11"/>
        <v>0.07225299378036328</v>
      </c>
      <c r="L65" s="188">
        <v>-32449</v>
      </c>
      <c r="M65" s="190">
        <v>-34692</v>
      </c>
      <c r="N65" s="241">
        <v>-32185</v>
      </c>
      <c r="O65" s="231">
        <v>-34612</v>
      </c>
      <c r="P65" s="188">
        <v>-31886</v>
      </c>
      <c r="Q65" s="189">
        <f t="shared" si="19"/>
        <v>-0.015189596036585366</v>
      </c>
      <c r="R65" s="190">
        <v>-37705</v>
      </c>
      <c r="S65" s="189">
        <f t="shared" si="20"/>
        <v>-0.01703016966484373</v>
      </c>
      <c r="T65" s="189">
        <f t="shared" si="12"/>
        <v>0.18249388446340087</v>
      </c>
      <c r="U65" s="188">
        <f t="shared" si="13"/>
        <v>-96520</v>
      </c>
      <c r="V65" s="189">
        <f t="shared" si="21"/>
        <v>-0.016985179849861004</v>
      </c>
      <c r="W65" s="190">
        <f t="shared" si="14"/>
        <v>-107009</v>
      </c>
      <c r="X65" s="189">
        <f t="shared" si="22"/>
        <v>-0.01666989910885853</v>
      </c>
      <c r="Y65" s="189">
        <f t="shared" si="15"/>
        <v>0.10867177786987153</v>
      </c>
    </row>
    <row r="66" spans="1:25" ht="15.75" thickBot="1">
      <c r="A66" s="186" t="s">
        <v>173</v>
      </c>
      <c r="B66" s="188">
        <v>8166</v>
      </c>
      <c r="C66" s="189">
        <f t="shared" si="9"/>
        <v>0.004730567366847795</v>
      </c>
      <c r="D66" s="190">
        <v>3848</v>
      </c>
      <c r="E66" s="189">
        <f t="shared" si="16"/>
        <v>0.0018287096001551172</v>
      </c>
      <c r="F66" s="189">
        <f t="shared" si="10"/>
        <v>-0.5287778594170953</v>
      </c>
      <c r="G66" s="188">
        <v>7880</v>
      </c>
      <c r="H66" s="189">
        <f t="shared" si="17"/>
        <v>0.002199028241606228</v>
      </c>
      <c r="I66" s="190">
        <v>15786</v>
      </c>
      <c r="J66" s="189">
        <f t="shared" si="18"/>
        <v>0.00375384962201117</v>
      </c>
      <c r="K66" s="189">
        <f t="shared" si="11"/>
        <v>1.0032994923857868</v>
      </c>
      <c r="L66" s="188">
        <v>8166</v>
      </c>
      <c r="M66" s="190">
        <v>3848</v>
      </c>
      <c r="N66" s="241">
        <v>-286</v>
      </c>
      <c r="O66" s="231">
        <v>11938</v>
      </c>
      <c r="P66" s="188">
        <v>-4707</v>
      </c>
      <c r="Q66" s="189">
        <f t="shared" si="19"/>
        <v>-0.0022422827743902437</v>
      </c>
      <c r="R66" s="190">
        <v>1152</v>
      </c>
      <c r="S66" s="189">
        <f t="shared" si="20"/>
        <v>0.0005203223830765144</v>
      </c>
      <c r="T66" s="189">
        <f t="shared" si="12"/>
        <v>-1.2447418738049714</v>
      </c>
      <c r="U66" s="188">
        <f t="shared" si="13"/>
        <v>3173</v>
      </c>
      <c r="V66" s="189">
        <f t="shared" si="21"/>
        <v>0.0005583710698674779</v>
      </c>
      <c r="W66" s="190">
        <f t="shared" si="14"/>
        <v>16938</v>
      </c>
      <c r="X66" s="189">
        <f t="shared" si="22"/>
        <v>0.0026386075106378504</v>
      </c>
      <c r="Y66" s="189">
        <f t="shared" si="15"/>
        <v>4.338165773715726</v>
      </c>
    </row>
    <row r="67" spans="1:25" ht="15.75" thickBot="1">
      <c r="A67" s="186" t="s">
        <v>174</v>
      </c>
      <c r="B67" s="188">
        <v>2206</v>
      </c>
      <c r="C67" s="189">
        <f t="shared" si="9"/>
        <v>0.0012779367635643198</v>
      </c>
      <c r="D67" s="190">
        <v>1169</v>
      </c>
      <c r="E67" s="189">
        <f t="shared" si="16"/>
        <v>0.0005555513312321549</v>
      </c>
      <c r="F67" s="189">
        <f t="shared" si="10"/>
        <v>-0.4700815956482321</v>
      </c>
      <c r="G67" s="188">
        <v>2091</v>
      </c>
      <c r="H67" s="189">
        <f t="shared" si="17"/>
        <v>0.0005835238646191147</v>
      </c>
      <c r="I67" s="190">
        <v>8556</v>
      </c>
      <c r="J67" s="189">
        <f t="shared" si="18"/>
        <v>0.0020345836415765596</v>
      </c>
      <c r="K67" s="189">
        <f t="shared" si="11"/>
        <v>3.091822094691535</v>
      </c>
      <c r="L67" s="188">
        <v>2206</v>
      </c>
      <c r="M67" s="190">
        <v>1169</v>
      </c>
      <c r="N67" s="241">
        <v>-115</v>
      </c>
      <c r="O67" s="231">
        <v>7387</v>
      </c>
      <c r="P67" s="188">
        <v>-3726</v>
      </c>
      <c r="Q67" s="189">
        <f t="shared" si="19"/>
        <v>-0.0017749618902439025</v>
      </c>
      <c r="R67" s="190">
        <v>8885</v>
      </c>
      <c r="S67" s="189">
        <f t="shared" si="20"/>
        <v>0.00401307671322468</v>
      </c>
      <c r="T67" s="189">
        <f t="shared" si="12"/>
        <v>-3.3845947396672034</v>
      </c>
      <c r="U67" s="188">
        <f t="shared" si="13"/>
        <v>-1635</v>
      </c>
      <c r="V67" s="189">
        <f t="shared" si="21"/>
        <v>-0.00028772035903981295</v>
      </c>
      <c r="W67" s="190">
        <f t="shared" si="14"/>
        <v>17441</v>
      </c>
      <c r="X67" s="189">
        <f t="shared" si="22"/>
        <v>0.002716965024975484</v>
      </c>
      <c r="Y67" s="189" t="s">
        <v>88</v>
      </c>
    </row>
    <row r="68" spans="1:25" ht="15.75" thickBot="1">
      <c r="A68" s="182" t="s">
        <v>175</v>
      </c>
      <c r="B68" s="183">
        <f>SUM(B62:B67)</f>
        <v>198781</v>
      </c>
      <c r="C68" s="184">
        <f t="shared" si="9"/>
        <v>0.11515392012605577</v>
      </c>
      <c r="D68" s="185">
        <f>SUM(D62:D67)</f>
        <v>233287</v>
      </c>
      <c r="E68" s="184">
        <f t="shared" si="16"/>
        <v>0.11086646998216913</v>
      </c>
      <c r="F68" s="184">
        <f t="shared" si="10"/>
        <v>0.17358801897565662</v>
      </c>
      <c r="G68" s="183">
        <f>SUM(G62:G67)</f>
        <v>372208</v>
      </c>
      <c r="H68" s="184">
        <f t="shared" si="17"/>
        <v>0.10387003854717906</v>
      </c>
      <c r="I68" s="185">
        <f>SUM(I62:I67)</f>
        <v>438384</v>
      </c>
      <c r="J68" s="184">
        <f t="shared" si="18"/>
        <v>0.10424601626097459</v>
      </c>
      <c r="K68" s="184">
        <f t="shared" si="11"/>
        <v>0.17779306194385935</v>
      </c>
      <c r="L68" s="183">
        <f>SUM(L62:L67)</f>
        <v>198781</v>
      </c>
      <c r="M68" s="185">
        <f>SUM(M62:M67)</f>
        <v>233287</v>
      </c>
      <c r="N68" s="240">
        <f>SUM(N62:N67)</f>
        <v>173427</v>
      </c>
      <c r="O68" s="230">
        <f>SUM(O62:O67)</f>
        <v>205097</v>
      </c>
      <c r="P68" s="183">
        <f>SUM(P62:P67)</f>
        <v>214464</v>
      </c>
      <c r="Q68" s="184">
        <f t="shared" si="19"/>
        <v>0.10216463414634146</v>
      </c>
      <c r="R68" s="185">
        <f>SUM(R62:R67)</f>
        <v>209976</v>
      </c>
      <c r="S68" s="184">
        <f t="shared" si="20"/>
        <v>0.09483959436534219</v>
      </c>
      <c r="T68" s="184">
        <f t="shared" si="12"/>
        <v>-0.0209265890778872</v>
      </c>
      <c r="U68" s="183">
        <f t="shared" si="13"/>
        <v>586672</v>
      </c>
      <c r="V68" s="184">
        <f t="shared" si="21"/>
        <v>0.10324004799914686</v>
      </c>
      <c r="W68" s="185">
        <f t="shared" si="14"/>
        <v>648360</v>
      </c>
      <c r="X68" s="184">
        <f t="shared" si="22"/>
        <v>0.1010017455187836</v>
      </c>
      <c r="Y68" s="184">
        <f aca="true" t="shared" si="23" ref="Y68:Y74">(W68-U68)/U68</f>
        <v>0.10514904409959909</v>
      </c>
    </row>
    <row r="69" spans="1:25" ht="15.75" thickBot="1">
      <c r="A69" s="186" t="s">
        <v>176</v>
      </c>
      <c r="B69" s="188">
        <v>3035</v>
      </c>
      <c r="C69" s="189">
        <f t="shared" si="9"/>
        <v>0.0017581768256653267</v>
      </c>
      <c r="D69" s="190">
        <v>2165</v>
      </c>
      <c r="E69" s="189">
        <f t="shared" si="16"/>
        <v>0.0010288867682785418</v>
      </c>
      <c r="F69" s="189">
        <f t="shared" si="10"/>
        <v>-0.28665568369028005</v>
      </c>
      <c r="G69" s="188">
        <v>4956</v>
      </c>
      <c r="H69" s="189">
        <f t="shared" si="17"/>
        <v>0.0013830436504315314</v>
      </c>
      <c r="I69" s="190">
        <v>4647</v>
      </c>
      <c r="J69" s="189">
        <f t="shared" si="18"/>
        <v>0.0011050385907440713</v>
      </c>
      <c r="K69" s="189">
        <f t="shared" si="11"/>
        <v>-0.06234866828087167</v>
      </c>
      <c r="L69" s="188">
        <v>3035</v>
      </c>
      <c r="M69" s="190">
        <v>2165</v>
      </c>
      <c r="N69" s="241">
        <v>1921</v>
      </c>
      <c r="O69" s="231">
        <v>2482</v>
      </c>
      <c r="P69" s="188">
        <v>2291</v>
      </c>
      <c r="Q69" s="189">
        <f t="shared" si="19"/>
        <v>0.0010913681402439025</v>
      </c>
      <c r="R69" s="190">
        <v>3061</v>
      </c>
      <c r="S69" s="189">
        <f t="shared" si="20"/>
        <v>0.0013825579987823012</v>
      </c>
      <c r="T69" s="189">
        <f t="shared" si="12"/>
        <v>0.3360977738978612</v>
      </c>
      <c r="U69" s="188">
        <f t="shared" si="13"/>
        <v>7247</v>
      </c>
      <c r="V69" s="189">
        <f t="shared" si="21"/>
        <v>0.0012752962947776907</v>
      </c>
      <c r="W69" s="190">
        <f t="shared" si="14"/>
        <v>7708</v>
      </c>
      <c r="X69" s="189">
        <f t="shared" si="22"/>
        <v>0.0012007549115596028</v>
      </c>
      <c r="Y69" s="189">
        <f t="shared" si="23"/>
        <v>0.06361252932247827</v>
      </c>
    </row>
    <row r="70" spans="1:25" ht="15.75" thickBot="1">
      <c r="A70" s="186" t="s">
        <v>177</v>
      </c>
      <c r="B70" s="188">
        <v>-50910</v>
      </c>
      <c r="C70" s="189">
        <f t="shared" si="9"/>
        <v>-0.029492185237107667</v>
      </c>
      <c r="D70" s="190">
        <v>-70846</v>
      </c>
      <c r="E70" s="189">
        <f t="shared" si="16"/>
        <v>-0.03366859676002844</v>
      </c>
      <c r="F70" s="189">
        <f t="shared" si="10"/>
        <v>0.3915930072677274</v>
      </c>
      <c r="G70" s="188">
        <v>-110270</v>
      </c>
      <c r="H70" s="189">
        <f t="shared" si="17"/>
        <v>-0.030772442157603906</v>
      </c>
      <c r="I70" s="190">
        <v>-152953</v>
      </c>
      <c r="J70" s="189">
        <f t="shared" si="18"/>
        <v>-0.036371630636986854</v>
      </c>
      <c r="K70" s="189">
        <f t="shared" si="11"/>
        <v>0.3870771742087603</v>
      </c>
      <c r="L70" s="188">
        <v>-50910</v>
      </c>
      <c r="M70" s="190">
        <v>-70846</v>
      </c>
      <c r="N70" s="241">
        <v>-59360</v>
      </c>
      <c r="O70" s="231">
        <v>-82107</v>
      </c>
      <c r="P70" s="188">
        <v>-60814</v>
      </c>
      <c r="Q70" s="189">
        <f t="shared" si="19"/>
        <v>-0.028970083841463413</v>
      </c>
      <c r="R70" s="190">
        <v>-85697</v>
      </c>
      <c r="S70" s="189">
        <f t="shared" si="20"/>
        <v>-0.038706655609816024</v>
      </c>
      <c r="T70" s="189">
        <f t="shared" si="12"/>
        <v>0.40916565264577237</v>
      </c>
      <c r="U70" s="188">
        <f t="shared" si="13"/>
        <v>-171084</v>
      </c>
      <c r="V70" s="189">
        <f t="shared" si="21"/>
        <v>-0.03010663602811459</v>
      </c>
      <c r="W70" s="190">
        <f t="shared" si="14"/>
        <v>-238650</v>
      </c>
      <c r="X70" s="189">
        <f t="shared" si="22"/>
        <v>-0.03717697971506217</v>
      </c>
      <c r="Y70" s="189">
        <f t="shared" si="23"/>
        <v>0.39492880690187276</v>
      </c>
    </row>
    <row r="71" spans="1:25" ht="15.75" thickBot="1">
      <c r="A71" s="186" t="s">
        <v>194</v>
      </c>
      <c r="B71" s="188">
        <v>46468</v>
      </c>
      <c r="C71" s="189">
        <f t="shared" si="9"/>
        <v>0.026918932696875255</v>
      </c>
      <c r="D71" s="190">
        <v>50453</v>
      </c>
      <c r="E71" s="189">
        <f t="shared" si="16"/>
        <v>0.023977101210141925</v>
      </c>
      <c r="F71" s="189">
        <f t="shared" si="10"/>
        <v>0.08575794094860979</v>
      </c>
      <c r="G71" s="188">
        <v>46962</v>
      </c>
      <c r="H71" s="189">
        <f t="shared" si="17"/>
        <v>0.013105426939379656</v>
      </c>
      <c r="I71" s="190">
        <v>50494</v>
      </c>
      <c r="J71" s="189">
        <f t="shared" si="18"/>
        <v>0.012007277512595466</v>
      </c>
      <c r="K71" s="189">
        <f t="shared" si="11"/>
        <v>0.07520974404837955</v>
      </c>
      <c r="L71" s="188">
        <v>46468</v>
      </c>
      <c r="M71" s="190">
        <v>50453</v>
      </c>
      <c r="N71" s="241">
        <v>494</v>
      </c>
      <c r="O71" s="231">
        <v>41</v>
      </c>
      <c r="P71" s="188">
        <v>0</v>
      </c>
      <c r="Q71" s="189">
        <f t="shared" si="19"/>
        <v>0</v>
      </c>
      <c r="R71" s="190">
        <v>0</v>
      </c>
      <c r="S71" s="189">
        <f t="shared" si="20"/>
        <v>0</v>
      </c>
      <c r="T71" s="189" t="s">
        <v>88</v>
      </c>
      <c r="U71" s="188">
        <f t="shared" si="13"/>
        <v>46962</v>
      </c>
      <c r="V71" s="189">
        <f t="shared" si="21"/>
        <v>0.008264173395246297</v>
      </c>
      <c r="W71" s="190">
        <f t="shared" si="14"/>
        <v>50494</v>
      </c>
      <c r="X71" s="189">
        <f t="shared" si="22"/>
        <v>0.00786597282100293</v>
      </c>
      <c r="Y71" s="189">
        <f t="shared" si="23"/>
        <v>0.07520974404837955</v>
      </c>
    </row>
    <row r="72" spans="1:25" ht="15.75" thickBot="1">
      <c r="A72" s="186" t="s">
        <v>178</v>
      </c>
      <c r="B72" s="188">
        <v>5949</v>
      </c>
      <c r="C72" s="189">
        <f t="shared" si="9"/>
        <v>0.003446258298478757</v>
      </c>
      <c r="D72" s="190">
        <v>-9738</v>
      </c>
      <c r="E72" s="189">
        <f t="shared" si="16"/>
        <v>-0.004627851893531843</v>
      </c>
      <c r="F72" s="189">
        <f t="shared" si="10"/>
        <v>-2.636913767019667</v>
      </c>
      <c r="G72" s="188">
        <v>12914</v>
      </c>
      <c r="H72" s="189">
        <f t="shared" si="17"/>
        <v>0.0036038389228556893</v>
      </c>
      <c r="I72" s="190">
        <v>-12353</v>
      </c>
      <c r="J72" s="189">
        <f t="shared" si="18"/>
        <v>-0.002937495526460407</v>
      </c>
      <c r="K72" s="189">
        <f t="shared" si="11"/>
        <v>-1.9565587734241907</v>
      </c>
      <c r="L72" s="188">
        <v>5949</v>
      </c>
      <c r="M72" s="190">
        <v>-9738</v>
      </c>
      <c r="N72" s="241">
        <v>6965</v>
      </c>
      <c r="O72" s="231">
        <v>-2615</v>
      </c>
      <c r="P72" s="188">
        <v>1857</v>
      </c>
      <c r="Q72" s="189">
        <f t="shared" si="19"/>
        <v>0.0008846227134146342</v>
      </c>
      <c r="R72" s="190">
        <v>3685</v>
      </c>
      <c r="S72" s="189">
        <f t="shared" si="20"/>
        <v>0.001664399289615413</v>
      </c>
      <c r="T72" s="189">
        <f>(R72-P72)/P72</f>
        <v>0.9843834141087776</v>
      </c>
      <c r="U72" s="188">
        <f t="shared" si="13"/>
        <v>14771</v>
      </c>
      <c r="V72" s="189">
        <f t="shared" si="21"/>
        <v>0.0025993378736251234</v>
      </c>
      <c r="W72" s="190">
        <f t="shared" si="14"/>
        <v>-8668</v>
      </c>
      <c r="X72" s="189">
        <f t="shared" si="22"/>
        <v>-0.0013503040442914682</v>
      </c>
      <c r="Y72" s="189">
        <f t="shared" si="23"/>
        <v>-1.5868255365242705</v>
      </c>
    </row>
    <row r="73" spans="1:25" ht="15.75" thickBot="1">
      <c r="A73" s="186" t="s">
        <v>179</v>
      </c>
      <c r="B73" s="188">
        <v>-4194</v>
      </c>
      <c r="C73" s="189">
        <f t="shared" si="9"/>
        <v>-0.002429586031907868</v>
      </c>
      <c r="D73" s="190">
        <v>-11041</v>
      </c>
      <c r="E73" s="189">
        <f t="shared" si="16"/>
        <v>-0.005247084900029274</v>
      </c>
      <c r="F73" s="189">
        <f t="shared" si="10"/>
        <v>1.6325703385789223</v>
      </c>
      <c r="G73" s="188">
        <v>-7366</v>
      </c>
      <c r="H73" s="189">
        <f t="shared" si="17"/>
        <v>-0.002055589089806025</v>
      </c>
      <c r="I73" s="190">
        <v>-18527</v>
      </c>
      <c r="J73" s="189">
        <f t="shared" si="18"/>
        <v>-0.004405648799379257</v>
      </c>
      <c r="K73" s="189">
        <f t="shared" si="11"/>
        <v>1.5152049959272333</v>
      </c>
      <c r="L73" s="188">
        <v>-4194</v>
      </c>
      <c r="M73" s="190">
        <v>-11041</v>
      </c>
      <c r="N73" s="241">
        <v>-3172</v>
      </c>
      <c r="O73" s="231">
        <v>-7486</v>
      </c>
      <c r="P73" s="188">
        <v>-10010</v>
      </c>
      <c r="Q73" s="189">
        <f t="shared" si="19"/>
        <v>-0.004768483231707317</v>
      </c>
      <c r="R73" s="190">
        <v>-14419</v>
      </c>
      <c r="S73" s="189">
        <f t="shared" si="20"/>
        <v>-0.006512611494427311</v>
      </c>
      <c r="T73" s="189">
        <f>(R73-P73)/P73</f>
        <v>0.44045954045954044</v>
      </c>
      <c r="U73" s="188">
        <f t="shared" si="13"/>
        <v>-17376</v>
      </c>
      <c r="V73" s="189">
        <f t="shared" si="21"/>
        <v>-0.0030577547147864156</v>
      </c>
      <c r="W73" s="190">
        <f t="shared" si="14"/>
        <v>-32946</v>
      </c>
      <c r="X73" s="189">
        <f t="shared" si="22"/>
        <v>-0.005132339298941706</v>
      </c>
      <c r="Y73" s="189">
        <f t="shared" si="23"/>
        <v>0.8960635359116023</v>
      </c>
    </row>
    <row r="74" spans="1:25" ht="15.75" thickBot="1">
      <c r="A74" s="186" t="s">
        <v>180</v>
      </c>
      <c r="B74" s="187">
        <v>390</v>
      </c>
      <c r="C74" s="189">
        <f t="shared" si="9"/>
        <v>0.00022592717034908643</v>
      </c>
      <c r="D74" s="195">
        <v>185</v>
      </c>
      <c r="E74" s="189">
        <f t="shared" si="16"/>
        <v>8.791873077668833E-05</v>
      </c>
      <c r="F74" s="189">
        <f t="shared" si="10"/>
        <v>-0.5256410256410257</v>
      </c>
      <c r="G74" s="187">
        <v>1148</v>
      </c>
      <c r="H74" s="189">
        <f t="shared" si="17"/>
        <v>0.00032036604332029824</v>
      </c>
      <c r="I74" s="195">
        <v>804</v>
      </c>
      <c r="J74" s="189">
        <f t="shared" si="18"/>
        <v>0.00019118808413131768</v>
      </c>
      <c r="K74" s="189">
        <f t="shared" si="11"/>
        <v>-0.29965156794425085</v>
      </c>
      <c r="L74" s="187">
        <v>390</v>
      </c>
      <c r="M74" s="195">
        <v>185</v>
      </c>
      <c r="N74" s="241">
        <v>758</v>
      </c>
      <c r="O74" s="231">
        <v>619</v>
      </c>
      <c r="P74" s="187">
        <v>703</v>
      </c>
      <c r="Q74" s="189">
        <f t="shared" si="19"/>
        <v>0.0003348894817073171</v>
      </c>
      <c r="R74" s="231">
        <v>1350</v>
      </c>
      <c r="S74" s="189">
        <f t="shared" si="20"/>
        <v>0.0006097527926677904</v>
      </c>
      <c r="T74" s="189">
        <f>(R74-P74)/P74</f>
        <v>0.9203413940256046</v>
      </c>
      <c r="U74" s="241">
        <f t="shared" si="13"/>
        <v>1851</v>
      </c>
      <c r="V74" s="189">
        <f t="shared" si="21"/>
        <v>0.0003257311220689258</v>
      </c>
      <c r="W74" s="231">
        <f t="shared" si="14"/>
        <v>2154</v>
      </c>
      <c r="X74" s="189">
        <f t="shared" si="22"/>
        <v>0.000335550866567123</v>
      </c>
      <c r="Y74" s="189">
        <f t="shared" si="23"/>
        <v>0.16369529983792544</v>
      </c>
    </row>
    <row r="75" spans="1:25" ht="15.75" thickBot="1">
      <c r="A75" s="186" t="s">
        <v>181</v>
      </c>
      <c r="B75" s="187">
        <v>0</v>
      </c>
      <c r="C75" s="189">
        <f t="shared" si="9"/>
        <v>0</v>
      </c>
      <c r="D75" s="195">
        <v>0</v>
      </c>
      <c r="E75" s="189">
        <f t="shared" si="16"/>
        <v>0</v>
      </c>
      <c r="F75" s="189" t="s">
        <v>88</v>
      </c>
      <c r="G75" s="187">
        <v>62</v>
      </c>
      <c r="H75" s="189">
        <f t="shared" si="17"/>
        <v>1.730199885527743E-05</v>
      </c>
      <c r="I75" s="195">
        <v>0</v>
      </c>
      <c r="J75" s="189">
        <f t="shared" si="18"/>
        <v>0</v>
      </c>
      <c r="K75" s="189">
        <f t="shared" si="11"/>
        <v>-1</v>
      </c>
      <c r="L75" s="187">
        <v>0</v>
      </c>
      <c r="M75" s="195">
        <v>0</v>
      </c>
      <c r="N75" s="241">
        <v>62</v>
      </c>
      <c r="O75" s="231">
        <v>0</v>
      </c>
      <c r="P75" s="187">
        <v>19</v>
      </c>
      <c r="Q75" s="189">
        <f t="shared" si="19"/>
        <v>9.051067073170731E-06</v>
      </c>
      <c r="R75" s="195">
        <v>0</v>
      </c>
      <c r="S75" s="189">
        <f t="shared" si="20"/>
        <v>0</v>
      </c>
      <c r="T75" s="189" t="s">
        <v>88</v>
      </c>
      <c r="U75" s="187">
        <f t="shared" si="13"/>
        <v>81</v>
      </c>
      <c r="V75" s="189">
        <f t="shared" si="21"/>
        <v>1.4254036135917337E-05</v>
      </c>
      <c r="W75" s="195">
        <f t="shared" si="14"/>
        <v>0</v>
      </c>
      <c r="X75" s="189">
        <f t="shared" si="22"/>
        <v>0</v>
      </c>
      <c r="Y75" s="189" t="s">
        <v>88</v>
      </c>
    </row>
    <row r="76" spans="1:25" ht="15.75" thickBot="1">
      <c r="A76" s="191" t="s">
        <v>182</v>
      </c>
      <c r="B76" s="192">
        <f>SUM(B68:B75)</f>
        <v>199519</v>
      </c>
      <c r="C76" s="193">
        <f t="shared" si="9"/>
        <v>0.11558144384840865</v>
      </c>
      <c r="D76" s="194">
        <f>SUM(D68:D75)</f>
        <v>194465</v>
      </c>
      <c r="E76" s="193">
        <f t="shared" si="16"/>
        <v>0.09241684313777673</v>
      </c>
      <c r="F76" s="193">
        <f aca="true" t="shared" si="24" ref="F76:F81">(D76-B76)/B76</f>
        <v>-0.025330920864679553</v>
      </c>
      <c r="G76" s="192">
        <f>SUM(G68:G75)</f>
        <v>320614</v>
      </c>
      <c r="H76" s="193">
        <f t="shared" si="17"/>
        <v>0.08947198485461158</v>
      </c>
      <c r="I76" s="194">
        <f>SUM(I68:I75)</f>
        <v>310496</v>
      </c>
      <c r="J76" s="193">
        <f t="shared" si="18"/>
        <v>0.07383474548561893</v>
      </c>
      <c r="K76" s="193">
        <f t="shared" si="11"/>
        <v>-0.031558197708147495</v>
      </c>
      <c r="L76" s="192">
        <f>SUM(L68:L75)</f>
        <v>199519</v>
      </c>
      <c r="M76" s="194">
        <f>SUM(M68:M75)</f>
        <v>194465</v>
      </c>
      <c r="N76" s="242">
        <f>SUM(N68:N75)</f>
        <v>121095</v>
      </c>
      <c r="O76" s="232">
        <f>SUM(O68:O75)</f>
        <v>116031</v>
      </c>
      <c r="P76" s="192">
        <f>SUM(P68:P75)</f>
        <v>148510</v>
      </c>
      <c r="Q76" s="193">
        <f t="shared" si="19"/>
        <v>0.07074599847560975</v>
      </c>
      <c r="R76" s="194">
        <f>SUM(R68:R75)</f>
        <v>117956</v>
      </c>
      <c r="S76" s="193">
        <f t="shared" si="20"/>
        <v>0.05327703734216436</v>
      </c>
      <c r="T76" s="193">
        <f aca="true" t="shared" si="25" ref="T76:T81">(R76-P76)/P76</f>
        <v>-0.20573698740825533</v>
      </c>
      <c r="U76" s="192">
        <f t="shared" si="13"/>
        <v>469124</v>
      </c>
      <c r="V76" s="193">
        <f t="shared" si="21"/>
        <v>0.08255444997809981</v>
      </c>
      <c r="W76" s="194">
        <f t="shared" si="14"/>
        <v>428452</v>
      </c>
      <c r="X76" s="193">
        <f t="shared" si="22"/>
        <v>0.06674440105961792</v>
      </c>
      <c r="Y76" s="193">
        <f>(W76-U76)/U76</f>
        <v>-0.08669776008049045</v>
      </c>
    </row>
    <row r="77" spans="1:25" ht="15.75" thickBot="1">
      <c r="A77" s="186" t="s">
        <v>183</v>
      </c>
      <c r="B77" s="188">
        <v>-51436</v>
      </c>
      <c r="C77" s="189">
        <f t="shared" si="9"/>
        <v>-0.02979689726686054</v>
      </c>
      <c r="D77" s="190">
        <v>-56024</v>
      </c>
      <c r="E77" s="189">
        <f t="shared" si="16"/>
        <v>-0.026624643097476686</v>
      </c>
      <c r="F77" s="189">
        <f t="shared" si="24"/>
        <v>0.08919822692277782</v>
      </c>
      <c r="G77" s="188">
        <v>-89863</v>
      </c>
      <c r="H77" s="189">
        <f t="shared" si="17"/>
        <v>-0.02507757295373864</v>
      </c>
      <c r="I77" s="190">
        <v>-98207</v>
      </c>
      <c r="J77" s="189">
        <f t="shared" si="18"/>
        <v>-0.023353244002841188</v>
      </c>
      <c r="K77" s="189">
        <f t="shared" si="11"/>
        <v>0.09285245317872762</v>
      </c>
      <c r="L77" s="188">
        <v>-51436</v>
      </c>
      <c r="M77" s="190">
        <v>-56024</v>
      </c>
      <c r="N77" s="241">
        <v>-38427</v>
      </c>
      <c r="O77" s="231">
        <v>-42183</v>
      </c>
      <c r="P77" s="188">
        <v>-47782</v>
      </c>
      <c r="Q77" s="189">
        <f t="shared" si="19"/>
        <v>-0.022762004573170732</v>
      </c>
      <c r="R77" s="190">
        <v>-37516</v>
      </c>
      <c r="S77" s="189">
        <f t="shared" si="20"/>
        <v>-0.01694480427387024</v>
      </c>
      <c r="T77" s="189">
        <f t="shared" si="25"/>
        <v>-0.21485078062868862</v>
      </c>
      <c r="U77" s="188">
        <f t="shared" si="13"/>
        <v>-137645</v>
      </c>
      <c r="V77" s="189">
        <f t="shared" si="21"/>
        <v>-0.02422218276454743</v>
      </c>
      <c r="W77" s="190">
        <f t="shared" si="14"/>
        <v>-135723</v>
      </c>
      <c r="X77" s="189">
        <f t="shared" si="22"/>
        <v>-0.02114297598100726</v>
      </c>
      <c r="Y77" s="189">
        <f>(W77-U77)/U77</f>
        <v>-0.013963456718369719</v>
      </c>
    </row>
    <row r="78" spans="1:25" ht="15.75" thickBot="1">
      <c r="A78" s="196" t="s">
        <v>184</v>
      </c>
      <c r="B78" s="197">
        <v>3407</v>
      </c>
      <c r="C78" s="198">
        <f t="shared" si="9"/>
        <v>0.0019736765881521474</v>
      </c>
      <c r="D78" s="199">
        <v>14256</v>
      </c>
      <c r="E78" s="198">
        <f t="shared" si="16"/>
        <v>0.006774969870013345</v>
      </c>
      <c r="F78" s="198">
        <f t="shared" si="24"/>
        <v>3.1843263868506018</v>
      </c>
      <c r="G78" s="197">
        <v>4815</v>
      </c>
      <c r="H78" s="198">
        <f t="shared" si="17"/>
        <v>0.0013436955562606584</v>
      </c>
      <c r="I78" s="199">
        <v>20959</v>
      </c>
      <c r="J78" s="198">
        <f t="shared" si="18"/>
        <v>0.0049839689742640384</v>
      </c>
      <c r="K78" s="198">
        <f t="shared" si="11"/>
        <v>3.3528556593977155</v>
      </c>
      <c r="L78" s="197">
        <v>3407</v>
      </c>
      <c r="M78" s="199">
        <v>14256</v>
      </c>
      <c r="N78" s="243">
        <v>1408</v>
      </c>
      <c r="O78" s="233">
        <v>6703</v>
      </c>
      <c r="P78" s="197">
        <v>-3491</v>
      </c>
      <c r="Q78" s="198">
        <f t="shared" si="19"/>
        <v>-0.001663014481707317</v>
      </c>
      <c r="R78" s="199">
        <v>2620</v>
      </c>
      <c r="S78" s="198">
        <f t="shared" si="20"/>
        <v>0.0011833720865108228</v>
      </c>
      <c r="T78" s="198">
        <f t="shared" si="25"/>
        <v>-1.7505012890289315</v>
      </c>
      <c r="U78" s="197">
        <f t="shared" si="13"/>
        <v>1324</v>
      </c>
      <c r="V78" s="198">
        <f t="shared" si="21"/>
        <v>0.00023299189930808093</v>
      </c>
      <c r="W78" s="199">
        <f t="shared" si="14"/>
        <v>23579</v>
      </c>
      <c r="X78" s="198">
        <f t="shared" si="22"/>
        <v>0.0036731447923798485</v>
      </c>
      <c r="Y78" s="189" t="s">
        <v>88</v>
      </c>
    </row>
    <row r="79" spans="1:25" ht="15.75" thickBot="1">
      <c r="A79" s="191" t="s">
        <v>185</v>
      </c>
      <c r="B79" s="192">
        <f>SUM(B76:B78)</f>
        <v>151490</v>
      </c>
      <c r="C79" s="193">
        <f t="shared" si="9"/>
        <v>0.08775822316970026</v>
      </c>
      <c r="D79" s="194">
        <f>SUM(D76:D78)</f>
        <v>152697</v>
      </c>
      <c r="E79" s="193">
        <f t="shared" si="16"/>
        <v>0.0725671699103134</v>
      </c>
      <c r="F79" s="193">
        <f t="shared" si="24"/>
        <v>0.007967522608753053</v>
      </c>
      <c r="G79" s="192">
        <f>SUM(G76:G78)</f>
        <v>235566</v>
      </c>
      <c r="H79" s="193">
        <f t="shared" si="17"/>
        <v>0.0657381074571336</v>
      </c>
      <c r="I79" s="194">
        <f>SUM(I76:I78)</f>
        <v>233248</v>
      </c>
      <c r="J79" s="193">
        <f t="shared" si="18"/>
        <v>0.055465470457041775</v>
      </c>
      <c r="K79" s="193">
        <f t="shared" si="11"/>
        <v>-0.009840129730096873</v>
      </c>
      <c r="L79" s="192">
        <f>SUM(L76:L78)</f>
        <v>151490</v>
      </c>
      <c r="M79" s="194">
        <f>SUM(M76:M78)</f>
        <v>152697</v>
      </c>
      <c r="N79" s="242">
        <f>SUM(N76:N78)</f>
        <v>84076</v>
      </c>
      <c r="O79" s="232">
        <f>SUM(O76:O78)</f>
        <v>80551</v>
      </c>
      <c r="P79" s="192">
        <f>SUM(P76:P78)</f>
        <v>97237</v>
      </c>
      <c r="Q79" s="193">
        <f t="shared" si="19"/>
        <v>0.046320979420731705</v>
      </c>
      <c r="R79" s="194">
        <f>SUM(R76:R78)</f>
        <v>83060</v>
      </c>
      <c r="S79" s="193">
        <f t="shared" si="20"/>
        <v>0.03751560515480494</v>
      </c>
      <c r="T79" s="193">
        <f t="shared" si="25"/>
        <v>-0.14579841007024075</v>
      </c>
      <c r="U79" s="192">
        <f t="shared" si="13"/>
        <v>332803</v>
      </c>
      <c r="V79" s="193">
        <f t="shared" si="21"/>
        <v>0.058565259112860465</v>
      </c>
      <c r="W79" s="194">
        <f t="shared" si="14"/>
        <v>316308</v>
      </c>
      <c r="X79" s="193">
        <f t="shared" si="22"/>
        <v>0.049274569870990506</v>
      </c>
      <c r="Y79" s="193">
        <f>(W79-U79)/U79</f>
        <v>-0.04956385609504722</v>
      </c>
    </row>
    <row r="80" spans="1:25" ht="15.75" thickBot="1">
      <c r="A80" s="186" t="s">
        <v>186</v>
      </c>
      <c r="B80" s="187">
        <v>-304</v>
      </c>
      <c r="C80" s="189">
        <f t="shared" si="9"/>
        <v>-0.00017610733278492893</v>
      </c>
      <c r="D80" s="195">
        <v>-164</v>
      </c>
      <c r="E80" s="189">
        <f t="shared" si="16"/>
        <v>-7.793876674257775E-05</v>
      </c>
      <c r="F80" s="189">
        <f t="shared" si="24"/>
        <v>-0.4605263157894737</v>
      </c>
      <c r="G80" s="187">
        <v>-4314</v>
      </c>
      <c r="H80" s="189">
        <f t="shared" si="17"/>
        <v>-0.0012038842429301102</v>
      </c>
      <c r="I80" s="195">
        <v>-247</v>
      </c>
      <c r="J80" s="189">
        <f t="shared" si="18"/>
        <v>-5.8735642761735654E-05</v>
      </c>
      <c r="K80" s="189">
        <f t="shared" si="11"/>
        <v>-0.9427445526193787</v>
      </c>
      <c r="L80" s="187">
        <v>-304</v>
      </c>
      <c r="M80" s="195">
        <v>-164</v>
      </c>
      <c r="N80" s="241">
        <v>-4010</v>
      </c>
      <c r="O80" s="231">
        <v>-83</v>
      </c>
      <c r="P80" s="187">
        <v>-446</v>
      </c>
      <c r="Q80" s="189">
        <f t="shared" si="19"/>
        <v>-0.00021246189024390244</v>
      </c>
      <c r="R80" s="195">
        <v>55</v>
      </c>
      <c r="S80" s="189">
        <f t="shared" si="20"/>
        <v>2.4841780442021093E-05</v>
      </c>
      <c r="T80" s="189">
        <f t="shared" si="25"/>
        <v>-1.1233183856502242</v>
      </c>
      <c r="U80" s="187">
        <f t="shared" si="13"/>
        <v>-4760</v>
      </c>
      <c r="V80" s="189">
        <f t="shared" si="21"/>
        <v>-0.0008376445926785991</v>
      </c>
      <c r="W80" s="195">
        <f t="shared" si="14"/>
        <v>-192</v>
      </c>
      <c r="X80" s="189">
        <f t="shared" si="22"/>
        <v>-2.9909826546373084E-05</v>
      </c>
      <c r="Y80" s="189">
        <f>(W80-U80)/U80</f>
        <v>-0.9596638655462185</v>
      </c>
    </row>
    <row r="81" spans="1:25" ht="15">
      <c r="A81" s="200" t="s">
        <v>187</v>
      </c>
      <c r="B81" s="201">
        <f>SUM(B79:B80)</f>
        <v>151186</v>
      </c>
      <c r="C81" s="202">
        <f t="shared" si="9"/>
        <v>0.08758211583691534</v>
      </c>
      <c r="D81" s="203">
        <f>SUM(D79:D80)</f>
        <v>152533</v>
      </c>
      <c r="E81" s="202">
        <f t="shared" si="16"/>
        <v>0.07248923114357081</v>
      </c>
      <c r="F81" s="202">
        <f t="shared" si="24"/>
        <v>0.008909555117537339</v>
      </c>
      <c r="G81" s="203">
        <f>SUM(G79:G80)</f>
        <v>231252</v>
      </c>
      <c r="H81" s="202">
        <f t="shared" si="17"/>
        <v>0.06453422321420349</v>
      </c>
      <c r="I81" s="203">
        <f>SUM(I79:I80)</f>
        <v>233001</v>
      </c>
      <c r="J81" s="202">
        <f t="shared" si="18"/>
        <v>0.05540673481428004</v>
      </c>
      <c r="K81" s="202">
        <f t="shared" si="11"/>
        <v>0.0075631778319755075</v>
      </c>
      <c r="L81" s="203">
        <f>SUM(L79:L80)</f>
        <v>151186</v>
      </c>
      <c r="M81" s="203">
        <f>SUM(M79:M80)</f>
        <v>152533</v>
      </c>
      <c r="N81" s="234">
        <f>SUM(N79:N80)</f>
        <v>80066</v>
      </c>
      <c r="O81" s="234">
        <f>SUM(O79:O80)</f>
        <v>80468</v>
      </c>
      <c r="P81" s="201">
        <f>SUM(P79:P80)</f>
        <v>96791</v>
      </c>
      <c r="Q81" s="202">
        <f t="shared" si="19"/>
        <v>0.04610851753048781</v>
      </c>
      <c r="R81" s="203">
        <f>SUM(R79:R80)</f>
        <v>83115</v>
      </c>
      <c r="S81" s="202">
        <f t="shared" si="20"/>
        <v>0.03754044693524696</v>
      </c>
      <c r="T81" s="202">
        <f t="shared" si="25"/>
        <v>-0.1412941285863355</v>
      </c>
      <c r="U81" s="201">
        <f t="shared" si="13"/>
        <v>328043</v>
      </c>
      <c r="V81" s="202">
        <f t="shared" si="21"/>
        <v>0.057727614520181866</v>
      </c>
      <c r="W81" s="203">
        <f t="shared" si="14"/>
        <v>316116</v>
      </c>
      <c r="X81" s="202">
        <f t="shared" si="22"/>
        <v>0.04924466004444413</v>
      </c>
      <c r="Y81" s="202">
        <f>(W81-U81)/U81</f>
        <v>-0.036358038427889025</v>
      </c>
    </row>
    <row r="82" spans="1:25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44"/>
      <c r="O82" s="235"/>
      <c r="P82" s="206"/>
      <c r="Q82" s="207"/>
      <c r="R82" s="209"/>
      <c r="S82" s="207"/>
      <c r="T82" s="207"/>
      <c r="U82" s="206"/>
      <c r="V82" s="207"/>
      <c r="W82" s="209"/>
      <c r="X82" s="207"/>
      <c r="Y82" s="207"/>
    </row>
    <row r="83" spans="1:25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45"/>
      <c r="O83" s="236"/>
      <c r="P83" s="212"/>
      <c r="Q83" s="213"/>
      <c r="R83" s="215"/>
      <c r="S83" s="213"/>
      <c r="T83" s="213"/>
      <c r="U83" s="212"/>
      <c r="V83" s="213"/>
      <c r="W83" s="215"/>
      <c r="X83" s="213"/>
      <c r="Y83" s="213"/>
    </row>
    <row r="84" spans="1:25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 t="shared" si="16"/>
        <v>0.07208005261817228</v>
      </c>
      <c r="F84" s="189">
        <f>(D84-B84)/B84</f>
        <v>0.004510202594856647</v>
      </c>
      <c r="G84" s="188">
        <v>230284</v>
      </c>
      <c r="H84" s="189">
        <f t="shared" si="17"/>
        <v>0.06426408878046302</v>
      </c>
      <c r="I84" s="217">
        <v>231084</v>
      </c>
      <c r="J84" s="189">
        <f t="shared" si="18"/>
        <v>0.054950879643534095</v>
      </c>
      <c r="K84" s="189">
        <f>(I84-G84)/G84</f>
        <v>0.003473971270257595</v>
      </c>
      <c r="L84" s="188">
        <v>150991</v>
      </c>
      <c r="M84" s="217">
        <v>151672</v>
      </c>
      <c r="N84" s="241">
        <v>79293</v>
      </c>
      <c r="O84" s="237">
        <v>79412</v>
      </c>
      <c r="P84" s="188">
        <v>95871</v>
      </c>
      <c r="Q84" s="189">
        <f t="shared" si="19"/>
        <v>0.04567025533536585</v>
      </c>
      <c r="R84" s="217">
        <v>81993</v>
      </c>
      <c r="S84" s="189">
        <f t="shared" si="20"/>
        <v>0.03703367461422973</v>
      </c>
      <c r="T84" s="189">
        <f>(R84-P84)/P84</f>
        <v>-0.14475701724191883</v>
      </c>
      <c r="U84" s="188">
        <f>+L84+N84+P84</f>
        <v>326155</v>
      </c>
      <c r="V84" s="189">
        <f t="shared" si="21"/>
        <v>0.05739537229518666</v>
      </c>
      <c r="W84" s="217">
        <f>+M84+O84+R84</f>
        <v>313077</v>
      </c>
      <c r="X84" s="189">
        <f t="shared" si="22"/>
        <v>0.04877124357113982</v>
      </c>
      <c r="Y84" s="189">
        <f>(W84-U84)/U84</f>
        <v>-0.04009749965507198</v>
      </c>
    </row>
    <row r="85" spans="1:25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 t="shared" si="16"/>
        <v>0.0004091785253985332</v>
      </c>
      <c r="F85" s="198">
        <f>(D85-B85)/B85</f>
        <v>3.4153846153846152</v>
      </c>
      <c r="G85" s="219">
        <v>968</v>
      </c>
      <c r="H85" s="198">
        <f t="shared" si="17"/>
        <v>0.00027013443374046054</v>
      </c>
      <c r="I85" s="220">
        <v>1917</v>
      </c>
      <c r="J85" s="198">
        <f t="shared" si="18"/>
        <v>0.0004558551707459403</v>
      </c>
      <c r="K85" s="198">
        <f>(I85-G85)/G85</f>
        <v>0.9803719008264463</v>
      </c>
      <c r="L85" s="219">
        <v>195</v>
      </c>
      <c r="M85" s="220">
        <v>861</v>
      </c>
      <c r="N85" s="243">
        <v>773</v>
      </c>
      <c r="O85" s="238">
        <v>1056</v>
      </c>
      <c r="P85" s="219">
        <v>920</v>
      </c>
      <c r="Q85" s="198">
        <f t="shared" si="19"/>
        <v>0.00043826219512195123</v>
      </c>
      <c r="R85" s="238">
        <v>1122</v>
      </c>
      <c r="S85" s="198">
        <f t="shared" si="20"/>
        <v>0.0005067723210172302</v>
      </c>
      <c r="T85" s="198">
        <f>(R85-P85)/P85</f>
        <v>0.21956521739130436</v>
      </c>
      <c r="U85" s="243">
        <f>+L85+N85+P85</f>
        <v>1888</v>
      </c>
      <c r="V85" s="198">
        <f t="shared" si="21"/>
        <v>0.00033224222499520905</v>
      </c>
      <c r="W85" s="238">
        <f>+M85+O85+R85</f>
        <v>3039</v>
      </c>
      <c r="X85" s="198">
        <f t="shared" si="22"/>
        <v>0.00047341647330431143</v>
      </c>
      <c r="Y85" s="198">
        <f>(W85-U85)/U85</f>
        <v>0.6096398305084746</v>
      </c>
    </row>
    <row r="86" spans="1:25" ht="15.75" thickBot="1">
      <c r="A86" s="221" t="s">
        <v>187</v>
      </c>
      <c r="B86" s="192">
        <f>SUM(B84:B85)</f>
        <v>151186</v>
      </c>
      <c r="C86" s="193">
        <f>+B86/$B$60</f>
        <v>0.08758211583691534</v>
      </c>
      <c r="D86" s="222">
        <f>SUM(D84:D85)</f>
        <v>152533</v>
      </c>
      <c r="E86" s="193">
        <f t="shared" si="16"/>
        <v>0.07248923114357081</v>
      </c>
      <c r="F86" s="193">
        <f>(D86-B86)/B86</f>
        <v>0.008909555117537339</v>
      </c>
      <c r="G86" s="192">
        <f>SUM(G84:G85)</f>
        <v>231252</v>
      </c>
      <c r="H86" s="193">
        <f t="shared" si="17"/>
        <v>0.06453422321420349</v>
      </c>
      <c r="I86" s="222">
        <f>SUM(I84:I85)</f>
        <v>233001</v>
      </c>
      <c r="J86" s="193">
        <f t="shared" si="18"/>
        <v>0.05540673481428004</v>
      </c>
      <c r="K86" s="193">
        <f>(I86-G86)/G86</f>
        <v>0.0075631778319755075</v>
      </c>
      <c r="L86" s="192">
        <f>SUM(L84:L85)</f>
        <v>151186</v>
      </c>
      <c r="M86" s="222">
        <f>SUM(M84:M85)</f>
        <v>152533</v>
      </c>
      <c r="N86" s="242">
        <f>SUM(N84:N85)</f>
        <v>80066</v>
      </c>
      <c r="O86" s="239">
        <f>SUM(O84:O85)</f>
        <v>80468</v>
      </c>
      <c r="P86" s="192">
        <f>SUM(P84:P85)</f>
        <v>96791</v>
      </c>
      <c r="Q86" s="193">
        <f t="shared" si="19"/>
        <v>0.04610851753048781</v>
      </c>
      <c r="R86" s="222">
        <f>SUM(R84:R85)</f>
        <v>83115</v>
      </c>
      <c r="S86" s="193">
        <f t="shared" si="20"/>
        <v>0.03754044693524696</v>
      </c>
      <c r="T86" s="193">
        <f>(R86-P86)/P86</f>
        <v>-0.1412941285863355</v>
      </c>
      <c r="U86" s="192">
        <f>+L86+N86+P86</f>
        <v>328043</v>
      </c>
      <c r="V86" s="193">
        <f t="shared" si="21"/>
        <v>0.057727614520181866</v>
      </c>
      <c r="W86" s="222">
        <f>+M86+O86+R86</f>
        <v>316116</v>
      </c>
      <c r="X86" s="193">
        <f t="shared" si="22"/>
        <v>0.04924466004444413</v>
      </c>
      <c r="Y86" s="193">
        <f>(W86-U86)/U86</f>
        <v>-0.036358038427889025</v>
      </c>
    </row>
    <row r="87" spans="1:25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 t="shared" si="16"/>
        <v>0.13353904732213803</v>
      </c>
      <c r="F87" s="202">
        <f>(D87-B87)/B87</f>
        <v>0.1961509646001124</v>
      </c>
      <c r="G87" s="203">
        <v>458883</v>
      </c>
      <c r="H87" s="202">
        <f t="shared" si="17"/>
        <v>0.12805795388235924</v>
      </c>
      <c r="I87" s="203">
        <v>534203</v>
      </c>
      <c r="J87" s="202">
        <f t="shared" si="18"/>
        <v>0.12703140311841082</v>
      </c>
      <c r="K87" s="202">
        <f>(I87-G87)/G87</f>
        <v>0.16413769958791238</v>
      </c>
      <c r="L87" s="203">
        <v>234916</v>
      </c>
      <c r="M87" s="203">
        <v>280995</v>
      </c>
      <c r="N87" s="234">
        <v>223967</v>
      </c>
      <c r="O87" s="234">
        <v>253208</v>
      </c>
      <c r="P87" s="203">
        <v>270788</v>
      </c>
      <c r="Q87" s="202">
        <f t="shared" si="19"/>
        <v>0.12899580792682927</v>
      </c>
      <c r="R87" s="203">
        <v>266125</v>
      </c>
      <c r="S87" s="202">
        <f t="shared" si="20"/>
        <v>0.12020034218423387</v>
      </c>
      <c r="T87" s="202">
        <f>(R87-P87)/P87</f>
        <v>-0.01722011315124747</v>
      </c>
      <c r="U87" s="203">
        <f>+L87+N87+P87</f>
        <v>729671</v>
      </c>
      <c r="V87" s="202">
        <f t="shared" si="21"/>
        <v>0.12840440495470296</v>
      </c>
      <c r="W87" s="203">
        <f>+M87+O87+R87</f>
        <v>800328</v>
      </c>
      <c r="X87" s="202">
        <f t="shared" si="22"/>
        <v>0.1246753732302379</v>
      </c>
      <c r="Y87" s="202">
        <f>(W87-U87)/U87</f>
        <v>0.09683405260727095</v>
      </c>
    </row>
  </sheetData>
  <sheetProtection/>
  <mergeCells count="4"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45.7109375" style="143" customWidth="1"/>
    <col min="2" max="16" width="11.421875" style="143" customWidth="1"/>
    <col min="17" max="17" width="10.00390625" style="143" bestFit="1" customWidth="1"/>
    <col min="18" max="18" width="11.421875" style="143" customWidth="1"/>
    <col min="19" max="19" width="9.7109375" style="143" bestFit="1" customWidth="1"/>
    <col min="20" max="23" width="11.421875" style="143" customWidth="1"/>
    <col min="24" max="24" width="9.7109375" style="143" bestFit="1" customWidth="1"/>
    <col min="25" max="27" width="11.421875" style="143" customWidth="1"/>
    <col min="28" max="28" width="10.140625" style="143" bestFit="1" customWidth="1"/>
    <col min="29" max="30" width="11.421875" style="143" customWidth="1"/>
    <col min="31" max="31" width="10.00390625" style="143" bestFit="1" customWidth="1"/>
    <col min="32" max="32" width="8.28125" style="143" bestFit="1" customWidth="1"/>
    <col min="33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47" t="s">
        <v>212</v>
      </c>
      <c r="B2" s="253"/>
      <c r="C2" s="253"/>
      <c r="D2" s="253"/>
      <c r="E2" s="253"/>
    </row>
    <row r="3" spans="1:5" ht="15">
      <c r="A3" s="252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13" ht="23.25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  <c r="H6" s="255" t="s">
        <v>124</v>
      </c>
      <c r="I6" s="251" t="s">
        <v>210</v>
      </c>
      <c r="J6" s="148" t="s">
        <v>92</v>
      </c>
      <c r="K6" s="255" t="s">
        <v>124</v>
      </c>
      <c r="L6" s="251" t="s">
        <v>211</v>
      </c>
      <c r="M6" s="148" t="s">
        <v>92</v>
      </c>
    </row>
    <row r="7" spans="1:13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  <c r="K7" s="150"/>
      <c r="L7" s="151"/>
      <c r="M7" s="150"/>
    </row>
    <row r="8" spans="1:13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  <c r="K8" s="153"/>
      <c r="L8" s="154"/>
      <c r="M8" s="153"/>
    </row>
    <row r="9" spans="1:13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  <c r="H9" s="157">
        <v>286064</v>
      </c>
      <c r="I9" s="158">
        <v>222833</v>
      </c>
      <c r="J9" s="159">
        <f aca="true" t="shared" si="2" ref="J9:J15">(I9-H9)/H9</f>
        <v>-0.22103794954975112</v>
      </c>
      <c r="K9" s="157">
        <v>286064</v>
      </c>
      <c r="L9" s="158">
        <v>219322</v>
      </c>
      <c r="M9" s="159">
        <f>(L9-K9)/K9</f>
        <v>-0.2333114268135802</v>
      </c>
    </row>
    <row r="10" spans="1:13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  <c r="H10" s="157">
        <v>878280</v>
      </c>
      <c r="I10" s="158">
        <v>869999</v>
      </c>
      <c r="J10" s="159">
        <f t="shared" si="2"/>
        <v>-0.009428656009473062</v>
      </c>
      <c r="K10" s="157">
        <v>878280</v>
      </c>
      <c r="L10" s="158">
        <v>889197</v>
      </c>
      <c r="M10" s="159">
        <f aca="true" t="shared" si="3" ref="M10:M15">(L10-K10)/K10</f>
        <v>0.012429976772783168</v>
      </c>
    </row>
    <row r="11" spans="1:13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  <c r="H11" s="157">
        <v>1032969</v>
      </c>
      <c r="I11" s="158">
        <v>1081609</v>
      </c>
      <c r="J11" s="159">
        <f t="shared" si="2"/>
        <v>0.04708756990771262</v>
      </c>
      <c r="K11" s="157">
        <v>1032969</v>
      </c>
      <c r="L11" s="158">
        <v>1028417</v>
      </c>
      <c r="M11" s="159">
        <f t="shared" si="3"/>
        <v>-0.004406715012744816</v>
      </c>
    </row>
    <row r="12" spans="1:13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  <c r="H12" s="157">
        <v>53119</v>
      </c>
      <c r="I12" s="158">
        <v>66216</v>
      </c>
      <c r="J12" s="159">
        <f t="shared" si="2"/>
        <v>0.24655961143846836</v>
      </c>
      <c r="K12" s="157">
        <v>53119</v>
      </c>
      <c r="L12" s="158">
        <v>75677</v>
      </c>
      <c r="M12" s="159">
        <f t="shared" si="3"/>
        <v>0.42466913910276927</v>
      </c>
    </row>
    <row r="13" spans="1:13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  <c r="H13" s="157">
        <v>220762</v>
      </c>
      <c r="I13" s="158">
        <v>285916</v>
      </c>
      <c r="J13" s="159">
        <f t="shared" si="2"/>
        <v>0.2951323144381732</v>
      </c>
      <c r="K13" s="157">
        <v>220762</v>
      </c>
      <c r="L13" s="158">
        <v>246832</v>
      </c>
      <c r="M13" s="159">
        <f t="shared" si="3"/>
        <v>0.1180909758019949</v>
      </c>
    </row>
    <row r="14" spans="1:13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  <c r="H14" s="162">
        <v>71679</v>
      </c>
      <c r="I14" s="163">
        <v>76079</v>
      </c>
      <c r="J14" s="159">
        <f t="shared" si="2"/>
        <v>0.06138478494398639</v>
      </c>
      <c r="K14" s="162">
        <v>71679</v>
      </c>
      <c r="L14" s="163">
        <v>100330</v>
      </c>
      <c r="M14" s="159">
        <f t="shared" si="3"/>
        <v>0.3997126075977622</v>
      </c>
    </row>
    <row r="15" spans="1:13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  <c r="H15" s="165">
        <f>SUM(H9:H14)</f>
        <v>2542873</v>
      </c>
      <c r="I15" s="166">
        <f>SUM(I9:I14)</f>
        <v>2602652</v>
      </c>
      <c r="J15" s="159">
        <f t="shared" si="2"/>
        <v>0.02350844890798715</v>
      </c>
      <c r="K15" s="165">
        <f>SUM(K9:K14)</f>
        <v>2542873</v>
      </c>
      <c r="L15" s="166">
        <f>SUM(L9:L14)</f>
        <v>2559775</v>
      </c>
      <c r="M15" s="159">
        <f t="shared" si="3"/>
        <v>0.006646812483360356</v>
      </c>
    </row>
    <row r="16" spans="1:13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  <c r="K16" s="153"/>
      <c r="L16" s="154"/>
      <c r="M16" s="153"/>
    </row>
    <row r="17" spans="1:13" ht="15.75" thickBot="1">
      <c r="A17" s="155" t="s">
        <v>135</v>
      </c>
      <c r="B17" s="157">
        <v>26729</v>
      </c>
      <c r="C17" s="158">
        <v>25395</v>
      </c>
      <c r="D17" s="159">
        <f aca="true" t="shared" si="4" ref="D17:D28">(C17-B17)/B17</f>
        <v>-0.049908339256986796</v>
      </c>
      <c r="E17" s="157">
        <v>26729</v>
      </c>
      <c r="F17" s="158">
        <v>26190</v>
      </c>
      <c r="G17" s="159">
        <f aca="true" t="shared" si="5" ref="G17:G28">(F17-E17)/E17</f>
        <v>-0.02016536346290546</v>
      </c>
      <c r="H17" s="157">
        <v>26729</v>
      </c>
      <c r="I17" s="158">
        <v>26261</v>
      </c>
      <c r="J17" s="159">
        <f aca="true" t="shared" si="6" ref="J17:J28">(I17-H17)/H17</f>
        <v>-0.0175090725429309</v>
      </c>
      <c r="K17" s="157">
        <v>26729</v>
      </c>
      <c r="L17" s="158">
        <v>23495</v>
      </c>
      <c r="M17" s="159">
        <f aca="true" t="shared" si="7" ref="M17:M28">(L17-K17)/K17</f>
        <v>-0.12099218077743275</v>
      </c>
    </row>
    <row r="18" spans="1:13" ht="15.75" thickBot="1">
      <c r="A18" s="155" t="s">
        <v>140</v>
      </c>
      <c r="B18" s="157">
        <v>5699</v>
      </c>
      <c r="C18" s="158">
        <v>6156</v>
      </c>
      <c r="D18" s="159">
        <f t="shared" si="4"/>
        <v>0.08018950693104053</v>
      </c>
      <c r="E18" s="157">
        <v>5699</v>
      </c>
      <c r="F18" s="158">
        <v>6491</v>
      </c>
      <c r="G18" s="159">
        <f t="shared" si="5"/>
        <v>0.1389717494297245</v>
      </c>
      <c r="H18" s="157">
        <v>5699</v>
      </c>
      <c r="I18" s="158">
        <v>7151</v>
      </c>
      <c r="J18" s="159">
        <f t="shared" si="6"/>
        <v>0.2547815406211616</v>
      </c>
      <c r="K18" s="157">
        <v>5699</v>
      </c>
      <c r="L18" s="158">
        <v>7433</v>
      </c>
      <c r="M18" s="159">
        <f t="shared" si="7"/>
        <v>0.304263905948412</v>
      </c>
    </row>
    <row r="19" spans="1:13" ht="15.75" thickBot="1">
      <c r="A19" s="155" t="s">
        <v>141</v>
      </c>
      <c r="B19" s="157">
        <v>109021</v>
      </c>
      <c r="C19" s="158">
        <v>110760</v>
      </c>
      <c r="D19" s="159">
        <f t="shared" si="4"/>
        <v>0.01595105530127223</v>
      </c>
      <c r="E19" s="157">
        <v>109021</v>
      </c>
      <c r="F19" s="158">
        <v>161255</v>
      </c>
      <c r="G19" s="159">
        <f t="shared" si="5"/>
        <v>0.47911870190146855</v>
      </c>
      <c r="H19" s="157">
        <v>109021</v>
      </c>
      <c r="I19" s="158">
        <v>161801</v>
      </c>
      <c r="J19" s="159">
        <f t="shared" si="6"/>
        <v>0.48412691132901003</v>
      </c>
      <c r="K19" s="157">
        <v>109021</v>
      </c>
      <c r="L19" s="158">
        <v>164510</v>
      </c>
      <c r="M19" s="159">
        <f t="shared" si="7"/>
        <v>0.5089753350271966</v>
      </c>
    </row>
    <row r="20" spans="1:13" ht="15.75" thickBot="1">
      <c r="A20" s="155" t="s">
        <v>142</v>
      </c>
      <c r="B20" s="157">
        <v>3418149</v>
      </c>
      <c r="C20" s="158">
        <v>3893661</v>
      </c>
      <c r="D20" s="159">
        <f t="shared" si="4"/>
        <v>0.13911388883281567</v>
      </c>
      <c r="E20" s="157">
        <v>3418149</v>
      </c>
      <c r="F20" s="158">
        <v>3756035</v>
      </c>
      <c r="G20" s="159">
        <f t="shared" si="5"/>
        <v>0.09885057673027127</v>
      </c>
      <c r="H20" s="157">
        <v>3418149</v>
      </c>
      <c r="I20" s="158">
        <v>3725217</v>
      </c>
      <c r="J20" s="159">
        <f t="shared" si="6"/>
        <v>0.08983458591184879</v>
      </c>
      <c r="K20" s="157">
        <v>3418149</v>
      </c>
      <c r="L20" s="158">
        <v>3885206</v>
      </c>
      <c r="M20" s="159">
        <f t="shared" si="7"/>
        <v>0.13664032784995622</v>
      </c>
    </row>
    <row r="21" spans="1:13" ht="15.75" thickBot="1">
      <c r="A21" s="155" t="s">
        <v>143</v>
      </c>
      <c r="B21" s="157">
        <v>3383722</v>
      </c>
      <c r="C21" s="158">
        <v>3364160</v>
      </c>
      <c r="D21" s="159">
        <f t="shared" si="4"/>
        <v>-0.00578120779425733</v>
      </c>
      <c r="E21" s="157">
        <v>3383722</v>
      </c>
      <c r="F21" s="158">
        <v>3312068</v>
      </c>
      <c r="G21" s="159">
        <f t="shared" si="5"/>
        <v>-0.0211760895250851</v>
      </c>
      <c r="H21" s="157">
        <v>3383722</v>
      </c>
      <c r="I21" s="158">
        <v>3311507</v>
      </c>
      <c r="J21" s="159">
        <f t="shared" si="6"/>
        <v>-0.02134188328710219</v>
      </c>
      <c r="K21" s="157">
        <v>3383722</v>
      </c>
      <c r="L21" s="158">
        <v>3383513</v>
      </c>
      <c r="M21" s="159">
        <f t="shared" si="7"/>
        <v>-6.176630349656385E-05</v>
      </c>
    </row>
    <row r="22" spans="1:13" ht="15.75" thickBot="1">
      <c r="A22" s="155" t="s">
        <v>144</v>
      </c>
      <c r="B22" s="157">
        <v>82393</v>
      </c>
      <c r="C22" s="158">
        <v>82141</v>
      </c>
      <c r="D22" s="159">
        <f t="shared" si="4"/>
        <v>-0.003058512252254439</v>
      </c>
      <c r="E22" s="157">
        <v>82393</v>
      </c>
      <c r="F22" s="158">
        <v>77368</v>
      </c>
      <c r="G22" s="159">
        <f t="shared" si="5"/>
        <v>-0.06098819074435935</v>
      </c>
      <c r="H22" s="157">
        <v>82393</v>
      </c>
      <c r="I22" s="158">
        <v>71951</v>
      </c>
      <c r="J22" s="159">
        <f t="shared" si="6"/>
        <v>-0.12673406721444783</v>
      </c>
      <c r="K22" s="157">
        <v>82393</v>
      </c>
      <c r="L22" s="158">
        <v>71842</v>
      </c>
      <c r="M22" s="159">
        <f t="shared" si="7"/>
        <v>-0.1280569951330817</v>
      </c>
    </row>
    <row r="23" spans="1:13" ht="15.75" thickBot="1">
      <c r="A23" s="155" t="s">
        <v>145</v>
      </c>
      <c r="B23" s="157">
        <v>2033403</v>
      </c>
      <c r="C23" s="158">
        <v>2036765</v>
      </c>
      <c r="D23" s="159">
        <f t="shared" si="4"/>
        <v>0.001653385974152689</v>
      </c>
      <c r="E23" s="157">
        <v>2033403</v>
      </c>
      <c r="F23" s="158">
        <v>2018384</v>
      </c>
      <c r="G23" s="159">
        <f t="shared" si="5"/>
        <v>-0.007386140376501854</v>
      </c>
      <c r="H23" s="157">
        <v>2033403</v>
      </c>
      <c r="I23" s="158">
        <v>2009524</v>
      </c>
      <c r="J23" s="159">
        <f t="shared" si="6"/>
        <v>-0.01174336813705891</v>
      </c>
      <c r="K23" s="157">
        <v>2033403</v>
      </c>
      <c r="L23" s="158">
        <v>2034454</v>
      </c>
      <c r="M23" s="159">
        <f t="shared" si="7"/>
        <v>0.0005168675368335741</v>
      </c>
    </row>
    <row r="24" spans="1:13" ht="15.75" thickBot="1">
      <c r="A24" s="155" t="s">
        <v>146</v>
      </c>
      <c r="B24" s="157">
        <v>1179957</v>
      </c>
      <c r="C24" s="158">
        <v>1172357</v>
      </c>
      <c r="D24" s="159">
        <f t="shared" si="4"/>
        <v>-0.006440912677326377</v>
      </c>
      <c r="E24" s="157">
        <v>1179957</v>
      </c>
      <c r="F24" s="158">
        <v>1155162</v>
      </c>
      <c r="G24" s="159">
        <f t="shared" si="5"/>
        <v>-0.021013477609777304</v>
      </c>
      <c r="H24" s="157">
        <v>1179957</v>
      </c>
      <c r="I24" s="158">
        <v>1149421</v>
      </c>
      <c r="J24" s="159">
        <f t="shared" si="6"/>
        <v>-0.025878909146689243</v>
      </c>
      <c r="K24" s="157">
        <v>1179957</v>
      </c>
      <c r="L24" s="158">
        <v>1163671</v>
      </c>
      <c r="M24" s="159">
        <f t="shared" si="7"/>
        <v>-0.013802197876702286</v>
      </c>
    </row>
    <row r="25" spans="1:13" ht="15.75" thickBot="1">
      <c r="A25" s="155" t="s">
        <v>147</v>
      </c>
      <c r="B25" s="157">
        <v>355461</v>
      </c>
      <c r="C25" s="158">
        <v>371603</v>
      </c>
      <c r="D25" s="159">
        <f t="shared" si="4"/>
        <v>0.045411451607911976</v>
      </c>
      <c r="E25" s="157">
        <v>355461</v>
      </c>
      <c r="F25" s="158">
        <v>365896</v>
      </c>
      <c r="G25" s="159">
        <f t="shared" si="5"/>
        <v>0.029356244426252107</v>
      </c>
      <c r="H25" s="157">
        <v>355461</v>
      </c>
      <c r="I25" s="158">
        <v>363222</v>
      </c>
      <c r="J25" s="159">
        <f t="shared" si="6"/>
        <v>0.021833618878020374</v>
      </c>
      <c r="K25" s="157">
        <v>355461</v>
      </c>
      <c r="L25" s="158">
        <v>356994</v>
      </c>
      <c r="M25" s="159">
        <f t="shared" si="7"/>
        <v>0.00431270941115903</v>
      </c>
    </row>
    <row r="26" spans="1:13" ht="15.75" thickBot="1">
      <c r="A26" s="160" t="s">
        <v>24</v>
      </c>
      <c r="B26" s="162">
        <v>40645</v>
      </c>
      <c r="C26" s="163">
        <v>42717</v>
      </c>
      <c r="D26" s="167">
        <f t="shared" si="4"/>
        <v>0.05097798007134949</v>
      </c>
      <c r="E26" s="162">
        <v>40645</v>
      </c>
      <c r="F26" s="163">
        <v>44171</v>
      </c>
      <c r="G26" s="167">
        <f t="shared" si="5"/>
        <v>0.08675113790134088</v>
      </c>
      <c r="H26" s="162">
        <v>40645</v>
      </c>
      <c r="I26" s="163">
        <v>46257</v>
      </c>
      <c r="J26" s="167">
        <f t="shared" si="6"/>
        <v>0.13807356378398328</v>
      </c>
      <c r="K26" s="162">
        <v>40645</v>
      </c>
      <c r="L26" s="163">
        <v>48661</v>
      </c>
      <c r="M26" s="167">
        <f t="shared" si="7"/>
        <v>0.19721983023742157</v>
      </c>
    </row>
    <row r="27" spans="1:13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4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5"/>
        <v>0.02706498875101209</v>
      </c>
      <c r="H27" s="165">
        <f>SUM(H17:H26)</f>
        <v>10635179</v>
      </c>
      <c r="I27" s="166">
        <f>SUM(I17:I26)</f>
        <v>10872312</v>
      </c>
      <c r="J27" s="168">
        <f t="shared" si="6"/>
        <v>0.022297038912086013</v>
      </c>
      <c r="K27" s="165">
        <f>SUM(K17:K26)</f>
        <v>10635179</v>
      </c>
      <c r="L27" s="166">
        <f>SUM(L17:L26)</f>
        <v>11139779</v>
      </c>
      <c r="M27" s="168">
        <f t="shared" si="7"/>
        <v>0.04744631002449512</v>
      </c>
    </row>
    <row r="28" spans="1:13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4"/>
        <v>0.0418712871978347</v>
      </c>
      <c r="E28" s="165">
        <f>+E15+E27</f>
        <v>13178052</v>
      </c>
      <c r="F28" s="166">
        <f>+F15+F27</f>
        <v>13437908</v>
      </c>
      <c r="G28" s="168">
        <f t="shared" si="5"/>
        <v>0.019718847671871383</v>
      </c>
      <c r="H28" s="165">
        <f>+H15+H27</f>
        <v>13178052</v>
      </c>
      <c r="I28" s="166">
        <f>+I15+I27</f>
        <v>13474964</v>
      </c>
      <c r="J28" s="168">
        <f t="shared" si="6"/>
        <v>0.0225307959021561</v>
      </c>
      <c r="K28" s="165">
        <f>+K15+K27</f>
        <v>13178052</v>
      </c>
      <c r="L28" s="166">
        <f>+L15+L27</f>
        <v>13699554</v>
      </c>
      <c r="M28" s="168">
        <f t="shared" si="7"/>
        <v>0.03957352725577346</v>
      </c>
    </row>
    <row r="29" spans="1:13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  <c r="K29" s="169"/>
      <c r="L29" s="170"/>
      <c r="M29" s="169"/>
    </row>
    <row r="30" spans="1:13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  <c r="K30" s="171"/>
      <c r="L30" s="154"/>
      <c r="M30" s="171"/>
    </row>
    <row r="31" spans="1:13" ht="15.75" thickBot="1">
      <c r="A31" s="155" t="s">
        <v>151</v>
      </c>
      <c r="B31" s="157">
        <v>1059660</v>
      </c>
      <c r="C31" s="158">
        <v>1044488</v>
      </c>
      <c r="D31" s="159">
        <f aca="true" t="shared" si="8" ref="D31:D37">(C31-B31)/B31</f>
        <v>-0.014317800049072344</v>
      </c>
      <c r="E31" s="157">
        <v>1059660</v>
      </c>
      <c r="F31" s="158">
        <v>862246</v>
      </c>
      <c r="G31" s="159">
        <f aca="true" t="shared" si="9" ref="G31:G37">(F31-E31)/E31</f>
        <v>-0.18629937904610913</v>
      </c>
      <c r="H31" s="157">
        <v>1059660</v>
      </c>
      <c r="I31" s="158">
        <v>799469</v>
      </c>
      <c r="J31" s="159">
        <f aca="true" t="shared" si="10" ref="J31:J37">(I31-H31)/H31</f>
        <v>-0.2455419662910745</v>
      </c>
      <c r="K31" s="157">
        <v>1059660</v>
      </c>
      <c r="L31" s="158">
        <v>847689</v>
      </c>
      <c r="M31" s="159">
        <f aca="true" t="shared" si="11" ref="M31:M37">(L31-K31)/K31</f>
        <v>-0.20003680425796955</v>
      </c>
    </row>
    <row r="32" spans="1:13" ht="15.75" thickBot="1">
      <c r="A32" s="155" t="s">
        <v>152</v>
      </c>
      <c r="B32" s="157">
        <v>825435</v>
      </c>
      <c r="C32" s="158">
        <v>935523</v>
      </c>
      <c r="D32" s="159">
        <f t="shared" si="8"/>
        <v>0.13336967780624762</v>
      </c>
      <c r="E32" s="157">
        <v>825435</v>
      </c>
      <c r="F32" s="158">
        <v>861844</v>
      </c>
      <c r="G32" s="159">
        <f t="shared" si="9"/>
        <v>0.044108863811202575</v>
      </c>
      <c r="H32" s="157">
        <v>825435</v>
      </c>
      <c r="I32" s="158">
        <v>855542</v>
      </c>
      <c r="J32" s="159">
        <f t="shared" si="10"/>
        <v>0.036474101534342496</v>
      </c>
      <c r="K32" s="157">
        <v>825435</v>
      </c>
      <c r="L32" s="158">
        <v>888840</v>
      </c>
      <c r="M32" s="159">
        <f t="shared" si="11"/>
        <v>0.07681404350433407</v>
      </c>
    </row>
    <row r="33" spans="1:13" ht="15.75" thickBot="1">
      <c r="A33" s="155" t="s">
        <v>153</v>
      </c>
      <c r="B33" s="157">
        <v>172323</v>
      </c>
      <c r="C33" s="158">
        <v>186031</v>
      </c>
      <c r="D33" s="159">
        <f t="shared" si="8"/>
        <v>0.07954829012958224</v>
      </c>
      <c r="E33" s="157">
        <v>172323</v>
      </c>
      <c r="F33" s="158">
        <v>205184</v>
      </c>
      <c r="G33" s="159">
        <f t="shared" si="9"/>
        <v>0.19069421957602872</v>
      </c>
      <c r="H33" s="157">
        <v>172323</v>
      </c>
      <c r="I33" s="158">
        <v>206372</v>
      </c>
      <c r="J33" s="159">
        <f t="shared" si="10"/>
        <v>0.1975882499724355</v>
      </c>
      <c r="K33" s="157">
        <v>172323</v>
      </c>
      <c r="L33" s="158">
        <v>163362</v>
      </c>
      <c r="M33" s="159">
        <f t="shared" si="11"/>
        <v>-0.0520011838234014</v>
      </c>
    </row>
    <row r="34" spans="1:13" ht="15.75" thickBot="1">
      <c r="A34" s="155" t="s">
        <v>154</v>
      </c>
      <c r="B34" s="157">
        <v>160628</v>
      </c>
      <c r="C34" s="158">
        <v>122670</v>
      </c>
      <c r="D34" s="159">
        <f t="shared" si="8"/>
        <v>-0.23630998331548672</v>
      </c>
      <c r="E34" s="157">
        <v>160628</v>
      </c>
      <c r="F34" s="158">
        <v>129825</v>
      </c>
      <c r="G34" s="159">
        <f t="shared" si="9"/>
        <v>-0.19176606818238415</v>
      </c>
      <c r="H34" s="157">
        <v>160628</v>
      </c>
      <c r="I34" s="158">
        <v>162674</v>
      </c>
      <c r="J34" s="159">
        <f t="shared" si="10"/>
        <v>0.01273750529172996</v>
      </c>
      <c r="K34" s="157">
        <v>160628</v>
      </c>
      <c r="L34" s="158">
        <v>161592</v>
      </c>
      <c r="M34" s="159">
        <f t="shared" si="11"/>
        <v>0.006001444331000822</v>
      </c>
    </row>
    <row r="35" spans="1:13" ht="15.75" thickBot="1">
      <c r="A35" s="155" t="s">
        <v>155</v>
      </c>
      <c r="B35" s="157">
        <v>4415</v>
      </c>
      <c r="C35" s="158">
        <v>3289</v>
      </c>
      <c r="D35" s="159">
        <f t="shared" si="8"/>
        <v>-0.255039637599094</v>
      </c>
      <c r="E35" s="157">
        <v>4415</v>
      </c>
      <c r="F35" s="158">
        <v>2901</v>
      </c>
      <c r="G35" s="159">
        <f t="shared" si="9"/>
        <v>-0.34292185730464325</v>
      </c>
      <c r="H35" s="157">
        <v>4415</v>
      </c>
      <c r="I35" s="158">
        <v>2921</v>
      </c>
      <c r="J35" s="159">
        <f t="shared" si="10"/>
        <v>-0.33839184597961497</v>
      </c>
      <c r="K35" s="157">
        <v>4415</v>
      </c>
      <c r="L35" s="158">
        <v>2734</v>
      </c>
      <c r="M35" s="159">
        <f t="shared" si="11"/>
        <v>-0.3807474518686297</v>
      </c>
    </row>
    <row r="36" spans="1:13" ht="15.75" thickBot="1">
      <c r="A36" s="160" t="s">
        <v>35</v>
      </c>
      <c r="B36" s="162">
        <v>26641</v>
      </c>
      <c r="C36" s="163">
        <v>26274</v>
      </c>
      <c r="D36" s="167">
        <f t="shared" si="8"/>
        <v>-0.013775759168199392</v>
      </c>
      <c r="E36" s="162">
        <v>26641</v>
      </c>
      <c r="F36" s="163">
        <v>22619</v>
      </c>
      <c r="G36" s="167">
        <f t="shared" si="9"/>
        <v>-0.15097030892233776</v>
      </c>
      <c r="H36" s="162">
        <v>26641</v>
      </c>
      <c r="I36" s="163">
        <v>28191</v>
      </c>
      <c r="J36" s="167">
        <f t="shared" si="10"/>
        <v>0.0581809992117413</v>
      </c>
      <c r="K36" s="162">
        <v>26641</v>
      </c>
      <c r="L36" s="163">
        <v>49746</v>
      </c>
      <c r="M36" s="167">
        <f t="shared" si="11"/>
        <v>0.8672722495401824</v>
      </c>
    </row>
    <row r="37" spans="1:13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8"/>
        <v>0.030755830549259216</v>
      </c>
      <c r="E37" s="165">
        <f>SUM(E31:E36)</f>
        <v>2249102</v>
      </c>
      <c r="F37" s="166">
        <f>SUM(F31:F36)</f>
        <v>2084619</v>
      </c>
      <c r="G37" s="168">
        <f t="shared" si="9"/>
        <v>-0.07313274364613076</v>
      </c>
      <c r="H37" s="165">
        <f>SUM(H31:H36)</f>
        <v>2249102</v>
      </c>
      <c r="I37" s="166">
        <f>SUM(I31:I36)</f>
        <v>2055169</v>
      </c>
      <c r="J37" s="168">
        <f t="shared" si="10"/>
        <v>-0.08622685854176466</v>
      </c>
      <c r="K37" s="165">
        <f>SUM(K31:K36)</f>
        <v>2249102</v>
      </c>
      <c r="L37" s="166">
        <f>SUM(L31:L36)</f>
        <v>2113963</v>
      </c>
      <c r="M37" s="168">
        <f t="shared" si="11"/>
        <v>-0.060085758671683184</v>
      </c>
    </row>
    <row r="38" spans="1:13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  <c r="K38" s="153"/>
      <c r="L38" s="154"/>
      <c r="M38" s="153"/>
    </row>
    <row r="39" spans="1:13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  <c r="H39" s="157">
        <v>2034604</v>
      </c>
      <c r="I39" s="158">
        <v>2364526</v>
      </c>
      <c r="J39" s="159">
        <f>(I39-H39)/H39</f>
        <v>0.16215538748572203</v>
      </c>
      <c r="K39" s="157">
        <v>2034604</v>
      </c>
      <c r="L39" s="158">
        <v>2277429</v>
      </c>
      <c r="M39" s="159">
        <f>(L39-K39)/K39</f>
        <v>0.11934754871218183</v>
      </c>
    </row>
    <row r="40" spans="1:13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158</v>
      </c>
      <c r="J40" s="159">
        <f>(I40-H40)/H40</f>
        <v>-0.006289308176100629</v>
      </c>
      <c r="K40" s="156">
        <v>159</v>
      </c>
      <c r="L40" s="172">
        <v>158</v>
      </c>
      <c r="M40" s="159">
        <f>(L40-K40)/K40</f>
        <v>-0.006289308176100629</v>
      </c>
    </row>
    <row r="41" spans="1:13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  <c r="H41" s="157">
        <v>211533</v>
      </c>
      <c r="I41" s="158">
        <v>224265</v>
      </c>
      <c r="J41" s="159">
        <f>(I41-H41)/H41</f>
        <v>0.060189190339096026</v>
      </c>
      <c r="K41" s="157">
        <v>211533</v>
      </c>
      <c r="L41" s="158">
        <v>216744</v>
      </c>
      <c r="M41" s="159">
        <f>(L41-K41)/K41</f>
        <v>0.024634454198635674</v>
      </c>
    </row>
    <row r="42" spans="1:13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  <c r="H42" s="157">
        <v>727692</v>
      </c>
      <c r="I42" s="158">
        <v>631573</v>
      </c>
      <c r="J42" s="159">
        <f>(I42-H42)/H42</f>
        <v>-0.13208747656975753</v>
      </c>
      <c r="K42" s="267">
        <v>727692</v>
      </c>
      <c r="L42" s="158">
        <v>705700</v>
      </c>
      <c r="M42" s="159">
        <f>(L42-K42)/K42</f>
        <v>-0.0302215772607092</v>
      </c>
    </row>
    <row r="43" spans="1:13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  <c r="H43" s="161" t="s">
        <v>159</v>
      </c>
      <c r="I43" s="173">
        <v>748</v>
      </c>
      <c r="J43" s="167" t="s">
        <v>88</v>
      </c>
      <c r="K43" s="161" t="s">
        <v>159</v>
      </c>
      <c r="L43" s="173">
        <v>600</v>
      </c>
      <c r="M43" s="167" t="s">
        <v>88</v>
      </c>
    </row>
    <row r="44" spans="1:13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  <c r="H44" s="165">
        <f>SUM(H39:H43)</f>
        <v>2973988</v>
      </c>
      <c r="I44" s="166">
        <f>SUM(I39:I43)</f>
        <v>3221270</v>
      </c>
      <c r="J44" s="168">
        <f>(I44-H44)/H44</f>
        <v>0.08314828439119458</v>
      </c>
      <c r="K44" s="165">
        <f>SUM(K39:K43)</f>
        <v>2973988</v>
      </c>
      <c r="L44" s="166">
        <f>SUM(L39:L43)</f>
        <v>3200631</v>
      </c>
      <c r="M44" s="168">
        <f>(L44-K44)/K44</f>
        <v>0.07620844468773916</v>
      </c>
    </row>
    <row r="45" spans="1:13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  <c r="H45" s="165">
        <f>+H37+H44</f>
        <v>5223090</v>
      </c>
      <c r="I45" s="166">
        <f>+I37+I44</f>
        <v>5276439</v>
      </c>
      <c r="J45" s="168">
        <f>(I45-H45)/H45</f>
        <v>0.010214068683480468</v>
      </c>
      <c r="K45" s="165">
        <f>+K37+K44</f>
        <v>5223090</v>
      </c>
      <c r="L45" s="166">
        <f>+L37+L44</f>
        <v>5314594</v>
      </c>
      <c r="M45" s="168">
        <f>(L45-K45)/K45</f>
        <v>0.01751913139540004</v>
      </c>
    </row>
    <row r="46" spans="1:13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  <c r="K46" s="169"/>
      <c r="L46" s="170"/>
      <c r="M46" s="169"/>
    </row>
    <row r="47" spans="1:13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  <c r="H47" s="165">
        <v>7920603</v>
      </c>
      <c r="I47" s="166">
        <v>8162045</v>
      </c>
      <c r="J47" s="168">
        <f>(I47-H47)/H47</f>
        <v>0.030482780162065945</v>
      </c>
      <c r="K47" s="165">
        <v>7920603</v>
      </c>
      <c r="L47" s="166">
        <v>8346719</v>
      </c>
      <c r="M47" s="168">
        <f>(L47-K47)/K47</f>
        <v>0.0537984292357539</v>
      </c>
    </row>
    <row r="48" spans="1:13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  <c r="H48" s="162">
        <v>34359</v>
      </c>
      <c r="I48" s="163">
        <v>36480</v>
      </c>
      <c r="J48" s="167">
        <f>(I48-H48)/H48</f>
        <v>0.06173055094735004</v>
      </c>
      <c r="K48" s="162">
        <v>34359</v>
      </c>
      <c r="L48" s="163">
        <v>38241</v>
      </c>
      <c r="M48" s="167">
        <f>(L48-K48)/K48</f>
        <v>0.11298349777350912</v>
      </c>
    </row>
    <row r="49" spans="1:13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  <c r="H49" s="165">
        <f>SUM(H47:H48)</f>
        <v>7954962</v>
      </c>
      <c r="I49" s="166">
        <f>SUM(I47:I48)</f>
        <v>8198525</v>
      </c>
      <c r="J49" s="168">
        <f>(I49-H49)/H49</f>
        <v>0.030617745251328668</v>
      </c>
      <c r="K49" s="165">
        <f>SUM(K47:K48)</f>
        <v>7954962</v>
      </c>
      <c r="L49" s="166">
        <f>SUM(L47:L48)</f>
        <v>8384960</v>
      </c>
      <c r="M49" s="168">
        <f>(L49-K49)/K49</f>
        <v>0.05405406084906502</v>
      </c>
    </row>
    <row r="50" spans="1:13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  <c r="H50" s="176">
        <f>+H45+H49</f>
        <v>13178052</v>
      </c>
      <c r="I50" s="166">
        <f>+I45+I49</f>
        <v>13474964</v>
      </c>
      <c r="J50" s="177">
        <f>(I50-H50)/H50</f>
        <v>0.0225307959021561</v>
      </c>
      <c r="K50" s="176">
        <f>+K45+K49</f>
        <v>13178052</v>
      </c>
      <c r="L50" s="166">
        <f>+L45+L49</f>
        <v>13699554</v>
      </c>
      <c r="M50" s="177">
        <f>(L50-K50)/K50</f>
        <v>0.03957352725577346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51"/>
      <c r="C53" s="351"/>
      <c r="D53" s="351"/>
      <c r="E53" s="351"/>
    </row>
    <row r="54" spans="1:5" ht="15">
      <c r="A54" s="247" t="s">
        <v>213</v>
      </c>
      <c r="B54" s="351"/>
      <c r="C54" s="351"/>
      <c r="D54" s="351"/>
      <c r="E54" s="351"/>
    </row>
    <row r="55" spans="1:5" ht="15">
      <c r="A55" s="252" t="s">
        <v>131</v>
      </c>
      <c r="B55" s="351"/>
      <c r="C55" s="351"/>
      <c r="D55" s="351"/>
      <c r="E55" s="351"/>
    </row>
    <row r="56" spans="1:5" ht="15">
      <c r="A56" s="146" t="s">
        <v>132</v>
      </c>
      <c r="B56" s="351"/>
      <c r="C56" s="351"/>
      <c r="D56" s="351"/>
      <c r="E56" s="351"/>
    </row>
    <row r="57" spans="2:5" ht="15.75" thickBot="1">
      <c r="B57" s="351"/>
      <c r="C57" s="351"/>
      <c r="D57" s="351"/>
      <c r="E57" s="351"/>
    </row>
    <row r="58" spans="1:27" s="260" customFormat="1" ht="15.75" customHeight="1" thickBot="1">
      <c r="A58" s="257"/>
      <c r="B58" s="258" t="s">
        <v>102</v>
      </c>
      <c r="C58" s="256" t="s">
        <v>98</v>
      </c>
      <c r="D58" s="259" t="s">
        <v>193</v>
      </c>
      <c r="E58" s="256" t="s">
        <v>98</v>
      </c>
      <c r="F58" s="256" t="s">
        <v>99</v>
      </c>
      <c r="G58" s="258" t="s">
        <v>106</v>
      </c>
      <c r="H58" s="256" t="s">
        <v>98</v>
      </c>
      <c r="I58" s="259" t="s">
        <v>205</v>
      </c>
      <c r="J58" s="256" t="s">
        <v>98</v>
      </c>
      <c r="K58" s="256" t="s">
        <v>99</v>
      </c>
      <c r="L58" s="258" t="s">
        <v>102</v>
      </c>
      <c r="M58" s="259" t="s">
        <v>193</v>
      </c>
      <c r="N58" s="258" t="s">
        <v>104</v>
      </c>
      <c r="O58" s="259" t="s">
        <v>204</v>
      </c>
      <c r="P58" s="258" t="s">
        <v>118</v>
      </c>
      <c r="Q58" s="268" t="s">
        <v>209</v>
      </c>
      <c r="R58" s="269" t="s">
        <v>126</v>
      </c>
      <c r="S58" s="256" t="s">
        <v>98</v>
      </c>
      <c r="T58" s="259" t="s">
        <v>215</v>
      </c>
      <c r="U58" s="256" t="s">
        <v>98</v>
      </c>
      <c r="V58" s="256" t="s">
        <v>99</v>
      </c>
      <c r="W58" s="269" t="s">
        <v>128</v>
      </c>
      <c r="X58" s="256" t="s">
        <v>98</v>
      </c>
      <c r="Y58" s="259" t="s">
        <v>214</v>
      </c>
      <c r="Z58" s="256" t="s">
        <v>98</v>
      </c>
      <c r="AA58" s="256" t="s">
        <v>99</v>
      </c>
    </row>
    <row r="59" spans="1:27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81"/>
      <c r="R59" s="147"/>
      <c r="S59" s="147"/>
      <c r="T59" s="181"/>
      <c r="U59" s="147"/>
      <c r="V59" s="147"/>
      <c r="W59" s="147"/>
      <c r="X59" s="147"/>
      <c r="Y59" s="181"/>
      <c r="Z59" s="147"/>
      <c r="AA59" s="147"/>
    </row>
    <row r="60" spans="1:27" ht="15.75" thickBot="1">
      <c r="A60" s="182" t="s">
        <v>169</v>
      </c>
      <c r="B60" s="183">
        <v>1726220</v>
      </c>
      <c r="C60" s="184">
        <f aca="true" t="shared" si="12" ref="C60:C81">+B60/$B$60</f>
        <v>1</v>
      </c>
      <c r="D60" s="185">
        <v>2104216</v>
      </c>
      <c r="E60" s="184">
        <f>+D60/$D$60</f>
        <v>1</v>
      </c>
      <c r="F60" s="184">
        <f aca="true" t="shared" si="13" ref="F60:F74">(D60-B60)/B60</f>
        <v>0.21897324790582892</v>
      </c>
      <c r="G60" s="183">
        <v>3583401</v>
      </c>
      <c r="H60" s="184">
        <f>+G60/$G$60</f>
        <v>1</v>
      </c>
      <c r="I60" s="185">
        <v>4205283</v>
      </c>
      <c r="J60" s="184">
        <f>+I60/$I$60</f>
        <v>1</v>
      </c>
      <c r="K60" s="184">
        <f aca="true" t="shared" si="14" ref="K60:K81">(I60-G60)/G60</f>
        <v>0.17354518793738127</v>
      </c>
      <c r="L60" s="183">
        <v>1726220</v>
      </c>
      <c r="M60" s="185">
        <v>2104216</v>
      </c>
      <c r="N60" s="240">
        <v>1857181</v>
      </c>
      <c r="O60" s="230">
        <v>2101067</v>
      </c>
      <c r="P60" s="183">
        <v>2099200</v>
      </c>
      <c r="Q60" s="185">
        <v>2214012</v>
      </c>
      <c r="R60" s="183">
        <v>2262816</v>
      </c>
      <c r="S60" s="184">
        <f>+R60/$R$60</f>
        <v>1</v>
      </c>
      <c r="T60" s="185">
        <v>2257345</v>
      </c>
      <c r="U60" s="184">
        <f>+T60/$T$60</f>
        <v>1</v>
      </c>
      <c r="V60" s="184">
        <f>(T60-R60)/R60</f>
        <v>-0.0024177838586964206</v>
      </c>
      <c r="W60" s="183">
        <f>+L60+N60+P60+R60</f>
        <v>7945417</v>
      </c>
      <c r="X60" s="184">
        <f>+W60/$W$60</f>
        <v>1</v>
      </c>
      <c r="Y60" s="185">
        <f>+M60+O60+Q60+T60</f>
        <v>8676640</v>
      </c>
      <c r="Z60" s="184">
        <f>+Y60/$Y$60</f>
        <v>1</v>
      </c>
      <c r="AA60" s="184">
        <f>(Y60-W60)/W60</f>
        <v>0.09203078957341068</v>
      </c>
    </row>
    <row r="61" spans="1:27" ht="15.75" thickBot="1">
      <c r="A61" s="186" t="s">
        <v>45</v>
      </c>
      <c r="B61" s="188">
        <v>-972781</v>
      </c>
      <c r="C61" s="189">
        <f t="shared" si="12"/>
        <v>-0.5635324582034735</v>
      </c>
      <c r="D61" s="190">
        <v>-1196310</v>
      </c>
      <c r="E61" s="189">
        <f aca="true" t="shared" si="15" ref="E61:E87">+D61/$D$60</f>
        <v>-0.5685300368403243</v>
      </c>
      <c r="F61" s="189">
        <f t="shared" si="13"/>
        <v>0.22978347644536642</v>
      </c>
      <c r="G61" s="188">
        <v>-2017246</v>
      </c>
      <c r="H61" s="189">
        <f aca="true" t="shared" si="16" ref="H61:H87">+G61/$G$60</f>
        <v>-0.5629417416582738</v>
      </c>
      <c r="I61" s="190">
        <v>-2399295</v>
      </c>
      <c r="J61" s="189">
        <f aca="true" t="shared" si="17" ref="J61:J87">+I61/$I$60</f>
        <v>-0.5705430526316541</v>
      </c>
      <c r="K61" s="189">
        <f t="shared" si="14"/>
        <v>0.18939137814624493</v>
      </c>
      <c r="L61" s="188">
        <v>-972781</v>
      </c>
      <c r="M61" s="190">
        <v>-1196310</v>
      </c>
      <c r="N61" s="241">
        <v>-1044465</v>
      </c>
      <c r="O61" s="231">
        <v>-1202985</v>
      </c>
      <c r="P61" s="188">
        <v>-1187913</v>
      </c>
      <c r="Q61" s="190">
        <v>-1279858</v>
      </c>
      <c r="R61" s="188">
        <v>-1302007</v>
      </c>
      <c r="S61" s="189">
        <f aca="true" t="shared" si="18" ref="S61:S87">+R61/$R$60</f>
        <v>-0.5753923429920949</v>
      </c>
      <c r="T61" s="190">
        <v>-1286878</v>
      </c>
      <c r="U61" s="189">
        <f>+T61/$T$60</f>
        <v>-0.5700847677249158</v>
      </c>
      <c r="V61" s="189">
        <f aca="true" t="shared" si="19" ref="V61:V87">(T61-R61)/R61</f>
        <v>-0.011619753196411387</v>
      </c>
      <c r="W61" s="188">
        <f aca="true" t="shared" si="20" ref="W61:W87">+L61+N61+P61+R61</f>
        <v>-4507166</v>
      </c>
      <c r="X61" s="189">
        <f aca="true" t="shared" si="21" ref="X61:X87">+W61/$W$60</f>
        <v>-0.5672661359372327</v>
      </c>
      <c r="Y61" s="190">
        <f aca="true" t="shared" si="22" ref="Y61:Y87">+M61+O61+Q61+T61</f>
        <v>-4966031</v>
      </c>
      <c r="Z61" s="189">
        <f aca="true" t="shared" si="23" ref="Z61:Z87">+Y61/$Y$60</f>
        <v>-0.5723449399767652</v>
      </c>
      <c r="AA61" s="189">
        <f aca="true" t="shared" si="24" ref="AA61:AA66">(Y61-W61)/W61</f>
        <v>0.10180787661248776</v>
      </c>
    </row>
    <row r="62" spans="1:27" ht="15.75" thickBot="1">
      <c r="A62" s="191" t="s">
        <v>95</v>
      </c>
      <c r="B62" s="192">
        <f>SUM(B60:B61)</f>
        <v>753439</v>
      </c>
      <c r="C62" s="193">
        <f t="shared" si="12"/>
        <v>0.4364675417965265</v>
      </c>
      <c r="D62" s="194">
        <f>SUM(D60:D61)</f>
        <v>907906</v>
      </c>
      <c r="E62" s="193">
        <f t="shared" si="15"/>
        <v>0.4314699631596756</v>
      </c>
      <c r="F62" s="193">
        <f t="shared" si="13"/>
        <v>0.205015933605773</v>
      </c>
      <c r="G62" s="192">
        <f>SUM(G60:G61)</f>
        <v>1566155</v>
      </c>
      <c r="H62" s="193">
        <f t="shared" si="16"/>
        <v>0.4370582583417262</v>
      </c>
      <c r="I62" s="194">
        <f>SUM(I60:I61)</f>
        <v>1805988</v>
      </c>
      <c r="J62" s="193">
        <f t="shared" si="17"/>
        <v>0.42945694736834594</v>
      </c>
      <c r="K62" s="193">
        <f t="shared" si="14"/>
        <v>0.15313490682595274</v>
      </c>
      <c r="L62" s="192">
        <f aca="true" t="shared" si="25" ref="L62:R62">SUM(L60:L61)</f>
        <v>753439</v>
      </c>
      <c r="M62" s="194">
        <f t="shared" si="25"/>
        <v>907906</v>
      </c>
      <c r="N62" s="242">
        <f t="shared" si="25"/>
        <v>812716</v>
      </c>
      <c r="O62" s="232">
        <f t="shared" si="25"/>
        <v>898082</v>
      </c>
      <c r="P62" s="192">
        <f t="shared" si="25"/>
        <v>911287</v>
      </c>
      <c r="Q62" s="194">
        <f t="shared" si="25"/>
        <v>934154</v>
      </c>
      <c r="R62" s="192">
        <f t="shared" si="25"/>
        <v>960809</v>
      </c>
      <c r="S62" s="193">
        <f t="shared" si="18"/>
        <v>0.4246076570079052</v>
      </c>
      <c r="T62" s="194">
        <f>SUM(T60:T61)</f>
        <v>970467</v>
      </c>
      <c r="U62" s="193">
        <f aca="true" t="shared" si="26" ref="U62:U87">+T62/$T$60</f>
        <v>0.4299152322750842</v>
      </c>
      <c r="V62" s="193">
        <f t="shared" si="19"/>
        <v>0.010051945808167909</v>
      </c>
      <c r="W62" s="192">
        <f t="shared" si="20"/>
        <v>3438251</v>
      </c>
      <c r="X62" s="193">
        <f t="shared" si="21"/>
        <v>0.43273386406276726</v>
      </c>
      <c r="Y62" s="194">
        <f t="shared" si="22"/>
        <v>3710609</v>
      </c>
      <c r="Z62" s="193">
        <f t="shared" si="23"/>
        <v>0.4276550600232348</v>
      </c>
      <c r="AA62" s="193">
        <f t="shared" si="24"/>
        <v>0.07921411205871823</v>
      </c>
    </row>
    <row r="63" spans="1:27" ht="15.75" thickBot="1">
      <c r="A63" s="186" t="s">
        <v>170</v>
      </c>
      <c r="B63" s="188">
        <v>-96265</v>
      </c>
      <c r="C63" s="189">
        <f t="shared" si="12"/>
        <v>-0.05576635654783284</v>
      </c>
      <c r="D63" s="190">
        <v>-97009</v>
      </c>
      <c r="E63" s="189">
        <f t="shared" si="15"/>
        <v>-0.046102206237382475</v>
      </c>
      <c r="F63" s="189">
        <f t="shared" si="13"/>
        <v>0.007728665662494157</v>
      </c>
      <c r="G63" s="188">
        <v>-183084</v>
      </c>
      <c r="H63" s="189">
        <f t="shared" si="16"/>
        <v>-0.05109224449063892</v>
      </c>
      <c r="I63" s="190">
        <v>-193987</v>
      </c>
      <c r="J63" s="189">
        <f t="shared" si="17"/>
        <v>-0.0461293568114203</v>
      </c>
      <c r="K63" s="189">
        <f t="shared" si="14"/>
        <v>0.05955189967446636</v>
      </c>
      <c r="L63" s="188">
        <v>-96265</v>
      </c>
      <c r="M63" s="190">
        <v>-97009</v>
      </c>
      <c r="N63" s="241">
        <v>-86819</v>
      </c>
      <c r="O63" s="231">
        <v>-96978</v>
      </c>
      <c r="P63" s="188">
        <v>-95397</v>
      </c>
      <c r="Q63" s="190">
        <v>-99902</v>
      </c>
      <c r="R63" s="188">
        <v>-93329</v>
      </c>
      <c r="S63" s="189">
        <f t="shared" si="18"/>
        <v>-0.04124462616492017</v>
      </c>
      <c r="T63" s="190">
        <v>-107211</v>
      </c>
      <c r="U63" s="189">
        <f t="shared" si="26"/>
        <v>-0.04749429085939456</v>
      </c>
      <c r="V63" s="189">
        <f t="shared" si="19"/>
        <v>0.1487426201930804</v>
      </c>
      <c r="W63" s="188">
        <f t="shared" si="20"/>
        <v>-371810</v>
      </c>
      <c r="X63" s="189">
        <f t="shared" si="21"/>
        <v>-0.04679553005210425</v>
      </c>
      <c r="Y63" s="190">
        <f t="shared" si="22"/>
        <v>-401100</v>
      </c>
      <c r="Z63" s="189">
        <f t="shared" si="23"/>
        <v>-0.046227571963340645</v>
      </c>
      <c r="AA63" s="189">
        <f t="shared" si="24"/>
        <v>0.07877679459939216</v>
      </c>
    </row>
    <row r="64" spans="1:27" ht="15.75" thickBot="1">
      <c r="A64" s="186" t="s">
        <v>171</v>
      </c>
      <c r="B64" s="188">
        <v>-436316</v>
      </c>
      <c r="C64" s="189">
        <f t="shared" si="12"/>
        <v>-0.25275804937956925</v>
      </c>
      <c r="D64" s="190">
        <v>-547935</v>
      </c>
      <c r="E64" s="189">
        <f t="shared" si="15"/>
        <v>-0.2603986472871606</v>
      </c>
      <c r="F64" s="189">
        <f t="shared" si="13"/>
        <v>0.2558214688436821</v>
      </c>
      <c r="G64" s="188">
        <v>-956200</v>
      </c>
      <c r="H64" s="189">
        <f t="shared" si="16"/>
        <v>-0.2668414726680045</v>
      </c>
      <c r="I64" s="190">
        <v>-1128655</v>
      </c>
      <c r="J64" s="189">
        <f t="shared" si="17"/>
        <v>-0.26838978494431887</v>
      </c>
      <c r="K64" s="189">
        <f t="shared" si="14"/>
        <v>0.18035452834135118</v>
      </c>
      <c r="L64" s="188">
        <v>-436316</v>
      </c>
      <c r="M64" s="190">
        <v>-547935</v>
      </c>
      <c r="N64" s="241">
        <v>-519884</v>
      </c>
      <c r="O64" s="231">
        <v>-580720</v>
      </c>
      <c r="P64" s="188">
        <v>-561107</v>
      </c>
      <c r="Q64" s="190">
        <v>-596608</v>
      </c>
      <c r="R64" s="188">
        <v>-627195</v>
      </c>
      <c r="S64" s="189">
        <f t="shared" si="18"/>
        <v>-0.2771745471129778</v>
      </c>
      <c r="T64" s="190">
        <v>-659603</v>
      </c>
      <c r="U64" s="189">
        <f t="shared" si="26"/>
        <v>-0.2922030084014628</v>
      </c>
      <c r="V64" s="189">
        <f t="shared" si="19"/>
        <v>0.05167133028802844</v>
      </c>
      <c r="W64" s="188">
        <f t="shared" si="20"/>
        <v>-2144502</v>
      </c>
      <c r="X64" s="189">
        <f t="shared" si="21"/>
        <v>-0.2699042731174462</v>
      </c>
      <c r="Y64" s="190">
        <f t="shared" si="22"/>
        <v>-2384866</v>
      </c>
      <c r="Z64" s="189">
        <f t="shared" si="23"/>
        <v>-0.27486054509579744</v>
      </c>
      <c r="AA64" s="189">
        <f t="shared" si="24"/>
        <v>0.11208383111790057</v>
      </c>
    </row>
    <row r="65" spans="1:27" ht="15.75" thickBot="1">
      <c r="A65" s="186" t="s">
        <v>172</v>
      </c>
      <c r="B65" s="188">
        <v>-32449</v>
      </c>
      <c r="C65" s="189">
        <f t="shared" si="12"/>
        <v>-0.018797719873480785</v>
      </c>
      <c r="D65" s="190">
        <v>-34692</v>
      </c>
      <c r="E65" s="189">
        <f t="shared" si="15"/>
        <v>-0.016486900584350657</v>
      </c>
      <c r="F65" s="189">
        <f t="shared" si="13"/>
        <v>0.06912385589694597</v>
      </c>
      <c r="G65" s="188">
        <v>-64634</v>
      </c>
      <c r="H65" s="189">
        <f t="shared" si="16"/>
        <v>-0.018037054742129056</v>
      </c>
      <c r="I65" s="190">
        <v>-69304</v>
      </c>
      <c r="J65" s="189">
        <f t="shared" si="17"/>
        <v>-0.01648022261521995</v>
      </c>
      <c r="K65" s="189">
        <f t="shared" si="14"/>
        <v>0.07225299378036328</v>
      </c>
      <c r="L65" s="188">
        <v>-32449</v>
      </c>
      <c r="M65" s="190">
        <v>-34692</v>
      </c>
      <c r="N65" s="241">
        <v>-32185</v>
      </c>
      <c r="O65" s="231">
        <v>-34612</v>
      </c>
      <c r="P65" s="188">
        <v>-31886</v>
      </c>
      <c r="Q65" s="190">
        <v>-37705</v>
      </c>
      <c r="R65" s="188">
        <v>-40926</v>
      </c>
      <c r="S65" s="189">
        <f t="shared" si="18"/>
        <v>-0.01808631369055195</v>
      </c>
      <c r="T65" s="190">
        <v>-40685</v>
      </c>
      <c r="U65" s="189">
        <f t="shared" si="26"/>
        <v>-0.01802338588031515</v>
      </c>
      <c r="V65" s="189">
        <f t="shared" si="19"/>
        <v>-0.005888677124566291</v>
      </c>
      <c r="W65" s="188">
        <f t="shared" si="20"/>
        <v>-137446</v>
      </c>
      <c r="X65" s="189">
        <f t="shared" si="21"/>
        <v>-0.017298777395824538</v>
      </c>
      <c r="Y65" s="190">
        <f t="shared" si="22"/>
        <v>-147694</v>
      </c>
      <c r="Z65" s="189">
        <f t="shared" si="23"/>
        <v>-0.017022026959744786</v>
      </c>
      <c r="AA65" s="189">
        <f t="shared" si="24"/>
        <v>0.07456019091133972</v>
      </c>
    </row>
    <row r="66" spans="1:27" ht="15.75" thickBot="1">
      <c r="A66" s="186" t="s">
        <v>173</v>
      </c>
      <c r="B66" s="188">
        <v>8166</v>
      </c>
      <c r="C66" s="189">
        <f t="shared" si="12"/>
        <v>0.004730567366847795</v>
      </c>
      <c r="D66" s="190">
        <v>3848</v>
      </c>
      <c r="E66" s="189">
        <f t="shared" si="15"/>
        <v>0.0018287096001551172</v>
      </c>
      <c r="F66" s="189">
        <f t="shared" si="13"/>
        <v>-0.5287778594170953</v>
      </c>
      <c r="G66" s="188">
        <v>7880</v>
      </c>
      <c r="H66" s="189">
        <f t="shared" si="16"/>
        <v>0.002199028241606228</v>
      </c>
      <c r="I66" s="190">
        <v>15786</v>
      </c>
      <c r="J66" s="189">
        <f t="shared" si="17"/>
        <v>0.00375384962201117</v>
      </c>
      <c r="K66" s="189">
        <f t="shared" si="14"/>
        <v>1.0032994923857868</v>
      </c>
      <c r="L66" s="188">
        <v>8166</v>
      </c>
      <c r="M66" s="190">
        <v>3848</v>
      </c>
      <c r="N66" s="241">
        <v>-286</v>
      </c>
      <c r="O66" s="231">
        <v>11938</v>
      </c>
      <c r="P66" s="188">
        <v>-4707</v>
      </c>
      <c r="Q66" s="190">
        <v>1152</v>
      </c>
      <c r="R66" s="188">
        <v>-554</v>
      </c>
      <c r="S66" s="189">
        <f t="shared" si="18"/>
        <v>-0.0002448276837356639</v>
      </c>
      <c r="T66" s="190">
        <v>-1065</v>
      </c>
      <c r="U66" s="189">
        <f t="shared" si="26"/>
        <v>-0.0004717931906731138</v>
      </c>
      <c r="V66" s="189">
        <f t="shared" si="19"/>
        <v>0.9223826714801444</v>
      </c>
      <c r="W66" s="188">
        <f t="shared" si="20"/>
        <v>2619</v>
      </c>
      <c r="X66" s="189">
        <f t="shared" si="21"/>
        <v>0.00032962398323461186</v>
      </c>
      <c r="Y66" s="190">
        <f t="shared" si="22"/>
        <v>15873</v>
      </c>
      <c r="Z66" s="189">
        <f t="shared" si="23"/>
        <v>0.0018293947887661583</v>
      </c>
      <c r="AA66" s="189">
        <f t="shared" si="24"/>
        <v>5.060710194730813</v>
      </c>
    </row>
    <row r="67" spans="1:27" ht="15.75" thickBot="1">
      <c r="A67" s="186" t="s">
        <v>174</v>
      </c>
      <c r="B67" s="188">
        <v>2206</v>
      </c>
      <c r="C67" s="189">
        <f t="shared" si="12"/>
        <v>0.0012779367635643198</v>
      </c>
      <c r="D67" s="190">
        <v>1169</v>
      </c>
      <c r="E67" s="189">
        <f t="shared" si="15"/>
        <v>0.0005555513312321549</v>
      </c>
      <c r="F67" s="189">
        <f t="shared" si="13"/>
        <v>-0.4700815956482321</v>
      </c>
      <c r="G67" s="188">
        <v>2091</v>
      </c>
      <c r="H67" s="189">
        <f t="shared" si="16"/>
        <v>0.0005835238646191147</v>
      </c>
      <c r="I67" s="190">
        <v>8556</v>
      </c>
      <c r="J67" s="189">
        <f t="shared" si="17"/>
        <v>0.0020345836415765596</v>
      </c>
      <c r="K67" s="189">
        <f t="shared" si="14"/>
        <v>3.091822094691535</v>
      </c>
      <c r="L67" s="188">
        <v>2206</v>
      </c>
      <c r="M67" s="190">
        <v>1169</v>
      </c>
      <c r="N67" s="241">
        <v>-115</v>
      </c>
      <c r="O67" s="231">
        <v>7387</v>
      </c>
      <c r="P67" s="188">
        <v>-3726</v>
      </c>
      <c r="Q67" s="190">
        <v>8885</v>
      </c>
      <c r="R67" s="188">
        <v>-2792</v>
      </c>
      <c r="S67" s="189">
        <f t="shared" si="18"/>
        <v>-0.0012338608176714323</v>
      </c>
      <c r="T67" s="190">
        <v>4708</v>
      </c>
      <c r="U67" s="189">
        <f t="shared" si="26"/>
        <v>0.0020856360015859337</v>
      </c>
      <c r="V67" s="189">
        <f t="shared" si="19"/>
        <v>-2.6862464183381087</v>
      </c>
      <c r="W67" s="188">
        <f t="shared" si="20"/>
        <v>-4427</v>
      </c>
      <c r="X67" s="189">
        <f t="shared" si="21"/>
        <v>-0.0005571765459257834</v>
      </c>
      <c r="Y67" s="190">
        <f t="shared" si="22"/>
        <v>22149</v>
      </c>
      <c r="Z67" s="189">
        <f t="shared" si="23"/>
        <v>0.002552716258828302</v>
      </c>
      <c r="AA67" s="189" t="s">
        <v>88</v>
      </c>
    </row>
    <row r="68" spans="1:27" ht="15.75" thickBot="1">
      <c r="A68" s="182" t="s">
        <v>175</v>
      </c>
      <c r="B68" s="183">
        <f>SUM(B62:B67)</f>
        <v>198781</v>
      </c>
      <c r="C68" s="184">
        <f t="shared" si="12"/>
        <v>0.11515392012605577</v>
      </c>
      <c r="D68" s="185">
        <f>SUM(D62:D67)</f>
        <v>233287</v>
      </c>
      <c r="E68" s="184">
        <f t="shared" si="15"/>
        <v>0.11086646998216913</v>
      </c>
      <c r="F68" s="184">
        <f t="shared" si="13"/>
        <v>0.17358801897565662</v>
      </c>
      <c r="G68" s="183">
        <f>SUM(G62:G67)</f>
        <v>372208</v>
      </c>
      <c r="H68" s="184">
        <f t="shared" si="16"/>
        <v>0.10387003854717906</v>
      </c>
      <c r="I68" s="185">
        <f>SUM(I62:I67)</f>
        <v>438384</v>
      </c>
      <c r="J68" s="184">
        <f t="shared" si="17"/>
        <v>0.10424601626097459</v>
      </c>
      <c r="K68" s="184">
        <f t="shared" si="14"/>
        <v>0.17779306194385935</v>
      </c>
      <c r="L68" s="183">
        <f aca="true" t="shared" si="27" ref="L68:R68">SUM(L62:L67)</f>
        <v>198781</v>
      </c>
      <c r="M68" s="185">
        <f t="shared" si="27"/>
        <v>233287</v>
      </c>
      <c r="N68" s="240">
        <f t="shared" si="27"/>
        <v>173427</v>
      </c>
      <c r="O68" s="230">
        <f t="shared" si="27"/>
        <v>205097</v>
      </c>
      <c r="P68" s="183">
        <f t="shared" si="27"/>
        <v>214464</v>
      </c>
      <c r="Q68" s="185">
        <f t="shared" si="27"/>
        <v>209976</v>
      </c>
      <c r="R68" s="183">
        <f t="shared" si="27"/>
        <v>196013</v>
      </c>
      <c r="S68" s="184">
        <f t="shared" si="18"/>
        <v>0.08662348153804816</v>
      </c>
      <c r="T68" s="185">
        <f>SUM(T62:T67)</f>
        <v>166611</v>
      </c>
      <c r="U68" s="184">
        <f t="shared" si="26"/>
        <v>0.07380838994482457</v>
      </c>
      <c r="V68" s="184">
        <f t="shared" si="19"/>
        <v>-0.1500002550851219</v>
      </c>
      <c r="W68" s="183">
        <f t="shared" si="20"/>
        <v>782685</v>
      </c>
      <c r="X68" s="184">
        <f t="shared" si="21"/>
        <v>0.0985077309347011</v>
      </c>
      <c r="Y68" s="185">
        <f t="shared" si="22"/>
        <v>814971</v>
      </c>
      <c r="Z68" s="184">
        <f t="shared" si="23"/>
        <v>0.09392702705194637</v>
      </c>
      <c r="AA68" s="184">
        <f aca="true" t="shared" si="28" ref="AA68:AA74">(Y68-W68)/W68</f>
        <v>0.04125031142796911</v>
      </c>
    </row>
    <row r="69" spans="1:27" ht="15.75" thickBot="1">
      <c r="A69" s="186" t="s">
        <v>176</v>
      </c>
      <c r="B69" s="188">
        <v>3035</v>
      </c>
      <c r="C69" s="189">
        <f t="shared" si="12"/>
        <v>0.0017581768256653267</v>
      </c>
      <c r="D69" s="190">
        <v>2165</v>
      </c>
      <c r="E69" s="189">
        <f t="shared" si="15"/>
        <v>0.0010288867682785418</v>
      </c>
      <c r="F69" s="189">
        <f t="shared" si="13"/>
        <v>-0.28665568369028005</v>
      </c>
      <c r="G69" s="188">
        <v>4956</v>
      </c>
      <c r="H69" s="189">
        <f t="shared" si="16"/>
        <v>0.0013830436504315314</v>
      </c>
      <c r="I69" s="190">
        <v>4647</v>
      </c>
      <c r="J69" s="189">
        <f t="shared" si="17"/>
        <v>0.0011050385907440713</v>
      </c>
      <c r="K69" s="189">
        <f t="shared" si="14"/>
        <v>-0.06234866828087167</v>
      </c>
      <c r="L69" s="188">
        <v>3035</v>
      </c>
      <c r="M69" s="190">
        <v>2165</v>
      </c>
      <c r="N69" s="241">
        <v>1921</v>
      </c>
      <c r="O69" s="231">
        <v>2482</v>
      </c>
      <c r="P69" s="188">
        <v>2291</v>
      </c>
      <c r="Q69" s="190">
        <v>3061</v>
      </c>
      <c r="R69" s="188">
        <v>2581</v>
      </c>
      <c r="S69" s="189">
        <f t="shared" si="18"/>
        <v>0.0011406141727829395</v>
      </c>
      <c r="T69" s="190">
        <v>3274</v>
      </c>
      <c r="U69" s="189">
        <f t="shared" si="26"/>
        <v>0.001450376437806361</v>
      </c>
      <c r="V69" s="189">
        <f t="shared" si="19"/>
        <v>0.2685005811700891</v>
      </c>
      <c r="W69" s="188">
        <f t="shared" si="20"/>
        <v>9828</v>
      </c>
      <c r="X69" s="189">
        <f t="shared" si="21"/>
        <v>0.0012369394834783373</v>
      </c>
      <c r="Y69" s="190">
        <f t="shared" si="22"/>
        <v>10982</v>
      </c>
      <c r="Z69" s="189">
        <f t="shared" si="23"/>
        <v>0.0012656973206218076</v>
      </c>
      <c r="AA69" s="189">
        <f t="shared" si="28"/>
        <v>0.11741961741961741</v>
      </c>
    </row>
    <row r="70" spans="1:27" ht="15.75" thickBot="1">
      <c r="A70" s="186" t="s">
        <v>177</v>
      </c>
      <c r="B70" s="188">
        <v>-50910</v>
      </c>
      <c r="C70" s="189">
        <f t="shared" si="12"/>
        <v>-0.029492185237107667</v>
      </c>
      <c r="D70" s="190">
        <v>-70846</v>
      </c>
      <c r="E70" s="189">
        <f t="shared" si="15"/>
        <v>-0.03366859676002844</v>
      </c>
      <c r="F70" s="189">
        <f t="shared" si="13"/>
        <v>0.3915930072677274</v>
      </c>
      <c r="G70" s="188">
        <v>-110270</v>
      </c>
      <c r="H70" s="189">
        <f t="shared" si="16"/>
        <v>-0.030772442157603906</v>
      </c>
      <c r="I70" s="190">
        <v>-152953</v>
      </c>
      <c r="J70" s="189">
        <f t="shared" si="17"/>
        <v>-0.036371630636986854</v>
      </c>
      <c r="K70" s="189">
        <f t="shared" si="14"/>
        <v>0.3870771742087603</v>
      </c>
      <c r="L70" s="188">
        <v>-50910</v>
      </c>
      <c r="M70" s="190">
        <v>-70846</v>
      </c>
      <c r="N70" s="241">
        <v>-59360</v>
      </c>
      <c r="O70" s="231">
        <v>-82107</v>
      </c>
      <c r="P70" s="188">
        <v>-60814</v>
      </c>
      <c r="Q70" s="190">
        <v>-85697</v>
      </c>
      <c r="R70" s="188">
        <v>-63812</v>
      </c>
      <c r="S70" s="189">
        <f t="shared" si="18"/>
        <v>-0.028200260206751235</v>
      </c>
      <c r="T70" s="190">
        <v>-85987</v>
      </c>
      <c r="U70" s="189">
        <f t="shared" si="26"/>
        <v>-0.03809209491681599</v>
      </c>
      <c r="V70" s="189">
        <f t="shared" si="19"/>
        <v>0.34750517144110826</v>
      </c>
      <c r="W70" s="188">
        <f t="shared" si="20"/>
        <v>-234896</v>
      </c>
      <c r="X70" s="189">
        <f t="shared" si="21"/>
        <v>-0.02956370949441672</v>
      </c>
      <c r="Y70" s="190">
        <f t="shared" si="22"/>
        <v>-324637</v>
      </c>
      <c r="Z70" s="189">
        <f t="shared" si="23"/>
        <v>-0.03741505928562208</v>
      </c>
      <c r="AA70" s="189">
        <f t="shared" si="28"/>
        <v>0.38204567127579864</v>
      </c>
    </row>
    <row r="71" spans="1:27" ht="15.75" thickBot="1">
      <c r="A71" s="186" t="s">
        <v>194</v>
      </c>
      <c r="B71" s="188">
        <v>46468</v>
      </c>
      <c r="C71" s="189">
        <f t="shared" si="12"/>
        <v>0.026918932696875255</v>
      </c>
      <c r="D71" s="190">
        <v>50453</v>
      </c>
      <c r="E71" s="189">
        <f t="shared" si="15"/>
        <v>0.023977101210141925</v>
      </c>
      <c r="F71" s="189">
        <f t="shared" si="13"/>
        <v>0.08575794094860979</v>
      </c>
      <c r="G71" s="188">
        <v>46962</v>
      </c>
      <c r="H71" s="189">
        <f t="shared" si="16"/>
        <v>0.013105426939379656</v>
      </c>
      <c r="I71" s="190">
        <v>50494</v>
      </c>
      <c r="J71" s="189">
        <f t="shared" si="17"/>
        <v>0.012007277512595466</v>
      </c>
      <c r="K71" s="189">
        <f t="shared" si="14"/>
        <v>0.07520974404837955</v>
      </c>
      <c r="L71" s="188">
        <v>46468</v>
      </c>
      <c r="M71" s="190">
        <v>50453</v>
      </c>
      <c r="N71" s="241">
        <v>494</v>
      </c>
      <c r="O71" s="231">
        <v>41</v>
      </c>
      <c r="P71" s="188">
        <v>0</v>
      </c>
      <c r="Q71" s="190">
        <v>0</v>
      </c>
      <c r="R71" s="188">
        <v>54</v>
      </c>
      <c r="S71" s="189">
        <f t="shared" si="18"/>
        <v>2.3864070255822834E-05</v>
      </c>
      <c r="T71" s="190">
        <v>51</v>
      </c>
      <c r="U71" s="189">
        <f t="shared" si="26"/>
        <v>2.259291335617728E-05</v>
      </c>
      <c r="V71" s="189">
        <f t="shared" si="19"/>
        <v>-0.05555555555555555</v>
      </c>
      <c r="W71" s="188">
        <f t="shared" si="20"/>
        <v>47016</v>
      </c>
      <c r="X71" s="189">
        <f t="shared" si="21"/>
        <v>0.005917373499716881</v>
      </c>
      <c r="Y71" s="190">
        <f t="shared" si="22"/>
        <v>50545</v>
      </c>
      <c r="Z71" s="189">
        <f t="shared" si="23"/>
        <v>0.005825411680097365</v>
      </c>
      <c r="AA71" s="189">
        <f t="shared" si="28"/>
        <v>0.07505955419431683</v>
      </c>
    </row>
    <row r="72" spans="1:27" ht="15.75" thickBot="1">
      <c r="A72" s="186" t="s">
        <v>178</v>
      </c>
      <c r="B72" s="188">
        <v>5949</v>
      </c>
      <c r="C72" s="189">
        <f t="shared" si="12"/>
        <v>0.003446258298478757</v>
      </c>
      <c r="D72" s="190">
        <v>-9738</v>
      </c>
      <c r="E72" s="189">
        <f t="shared" si="15"/>
        <v>-0.004627851893531843</v>
      </c>
      <c r="F72" s="189">
        <f t="shared" si="13"/>
        <v>-2.636913767019667</v>
      </c>
      <c r="G72" s="188">
        <v>12914</v>
      </c>
      <c r="H72" s="189">
        <f t="shared" si="16"/>
        <v>0.0036038389228556893</v>
      </c>
      <c r="I72" s="190">
        <v>-12353</v>
      </c>
      <c r="J72" s="189">
        <f t="shared" si="17"/>
        <v>-0.002937495526460407</v>
      </c>
      <c r="K72" s="189">
        <f t="shared" si="14"/>
        <v>-1.9565587734241907</v>
      </c>
      <c r="L72" s="188">
        <v>5949</v>
      </c>
      <c r="M72" s="190">
        <v>-9738</v>
      </c>
      <c r="N72" s="241">
        <v>6965</v>
      </c>
      <c r="O72" s="231">
        <v>-2615</v>
      </c>
      <c r="P72" s="188">
        <v>1857</v>
      </c>
      <c r="Q72" s="190">
        <v>3685</v>
      </c>
      <c r="R72" s="188">
        <v>12410</v>
      </c>
      <c r="S72" s="189">
        <f t="shared" si="18"/>
        <v>0.005484316886569655</v>
      </c>
      <c r="T72" s="190">
        <v>26</v>
      </c>
      <c r="U72" s="189">
        <f t="shared" si="26"/>
        <v>1.1517955828639397E-05</v>
      </c>
      <c r="V72" s="189">
        <f t="shared" si="19"/>
        <v>-0.9979049153908138</v>
      </c>
      <c r="W72" s="188">
        <f t="shared" si="20"/>
        <v>27181</v>
      </c>
      <c r="X72" s="189">
        <f t="shared" si="21"/>
        <v>0.0034209658221840337</v>
      </c>
      <c r="Y72" s="190">
        <f t="shared" si="22"/>
        <v>-8642</v>
      </c>
      <c r="Z72" s="189">
        <f t="shared" si="23"/>
        <v>-0.000996007671172251</v>
      </c>
      <c r="AA72" s="189">
        <f t="shared" si="28"/>
        <v>-1.317942680548913</v>
      </c>
    </row>
    <row r="73" spans="1:27" ht="15.75" thickBot="1">
      <c r="A73" s="186" t="s">
        <v>179</v>
      </c>
      <c r="B73" s="188">
        <v>-4194</v>
      </c>
      <c r="C73" s="189">
        <f t="shared" si="12"/>
        <v>-0.002429586031907868</v>
      </c>
      <c r="D73" s="190">
        <v>-11041</v>
      </c>
      <c r="E73" s="189">
        <f t="shared" si="15"/>
        <v>-0.005247084900029274</v>
      </c>
      <c r="F73" s="189">
        <f t="shared" si="13"/>
        <v>1.6325703385789223</v>
      </c>
      <c r="G73" s="188">
        <v>-7366</v>
      </c>
      <c r="H73" s="189">
        <f t="shared" si="16"/>
        <v>-0.002055589089806025</v>
      </c>
      <c r="I73" s="190">
        <v>-18527</v>
      </c>
      <c r="J73" s="189">
        <f t="shared" si="17"/>
        <v>-0.004405648799379257</v>
      </c>
      <c r="K73" s="189">
        <f t="shared" si="14"/>
        <v>1.5152049959272333</v>
      </c>
      <c r="L73" s="188">
        <v>-4194</v>
      </c>
      <c r="M73" s="190">
        <v>-11041</v>
      </c>
      <c r="N73" s="241">
        <v>-3172</v>
      </c>
      <c r="O73" s="231">
        <v>-7486</v>
      </c>
      <c r="P73" s="188">
        <v>-10010</v>
      </c>
      <c r="Q73" s="190">
        <v>-14419</v>
      </c>
      <c r="R73" s="188">
        <v>-14784</v>
      </c>
      <c r="S73" s="189">
        <f t="shared" si="18"/>
        <v>-0.00653345212337194</v>
      </c>
      <c r="T73" s="190">
        <v>0</v>
      </c>
      <c r="U73" s="189">
        <f t="shared" si="26"/>
        <v>0</v>
      </c>
      <c r="V73" s="189">
        <f t="shared" si="19"/>
        <v>-1</v>
      </c>
      <c r="W73" s="188">
        <f t="shared" si="20"/>
        <v>-32160</v>
      </c>
      <c r="X73" s="189">
        <f t="shared" si="21"/>
        <v>-0.004047616380612874</v>
      </c>
      <c r="Y73" s="190">
        <f t="shared" si="22"/>
        <v>-32946</v>
      </c>
      <c r="Z73" s="189">
        <f t="shared" si="23"/>
        <v>-0.0037970919618654226</v>
      </c>
      <c r="AA73" s="189">
        <f t="shared" si="28"/>
        <v>0.024440298507462686</v>
      </c>
    </row>
    <row r="74" spans="1:27" ht="15.75" thickBot="1">
      <c r="A74" s="186" t="s">
        <v>180</v>
      </c>
      <c r="B74" s="187">
        <v>390</v>
      </c>
      <c r="C74" s="189">
        <f t="shared" si="12"/>
        <v>0.00022592717034908643</v>
      </c>
      <c r="D74" s="195">
        <v>185</v>
      </c>
      <c r="E74" s="189">
        <f t="shared" si="15"/>
        <v>8.791873077668833E-05</v>
      </c>
      <c r="F74" s="189">
        <f t="shared" si="13"/>
        <v>-0.5256410256410257</v>
      </c>
      <c r="G74" s="187">
        <v>1148</v>
      </c>
      <c r="H74" s="189">
        <f t="shared" si="16"/>
        <v>0.00032036604332029824</v>
      </c>
      <c r="I74" s="195">
        <v>804</v>
      </c>
      <c r="J74" s="189">
        <f t="shared" si="17"/>
        <v>0.00019118808413131768</v>
      </c>
      <c r="K74" s="189">
        <f t="shared" si="14"/>
        <v>-0.29965156794425085</v>
      </c>
      <c r="L74" s="187">
        <v>390</v>
      </c>
      <c r="M74" s="195">
        <v>185</v>
      </c>
      <c r="N74" s="241">
        <v>758</v>
      </c>
      <c r="O74" s="231">
        <v>619</v>
      </c>
      <c r="P74" s="187">
        <v>703</v>
      </c>
      <c r="Q74" s="231">
        <v>1350</v>
      </c>
      <c r="R74" s="187">
        <v>3077</v>
      </c>
      <c r="S74" s="189">
        <f t="shared" si="18"/>
        <v>0.0013598100773549418</v>
      </c>
      <c r="T74" s="231">
        <v>3949</v>
      </c>
      <c r="U74" s="189">
        <f t="shared" si="26"/>
        <v>0.0017494002910498838</v>
      </c>
      <c r="V74" s="189">
        <f t="shared" si="19"/>
        <v>0.28339291517712056</v>
      </c>
      <c r="W74" s="241">
        <f t="shared" si="20"/>
        <v>4928</v>
      </c>
      <c r="X74" s="189">
        <f t="shared" si="21"/>
        <v>0.0006202317637954056</v>
      </c>
      <c r="Y74" s="231">
        <f t="shared" si="22"/>
        <v>6103</v>
      </c>
      <c r="Z74" s="189">
        <f t="shared" si="23"/>
        <v>0.0007033828763207878</v>
      </c>
      <c r="AA74" s="189">
        <f t="shared" si="28"/>
        <v>0.23843344155844157</v>
      </c>
    </row>
    <row r="75" spans="1:27" ht="15.75" thickBot="1">
      <c r="A75" s="186" t="s">
        <v>181</v>
      </c>
      <c r="B75" s="187">
        <v>0</v>
      </c>
      <c r="C75" s="189">
        <f t="shared" si="12"/>
        <v>0</v>
      </c>
      <c r="D75" s="195">
        <v>0</v>
      </c>
      <c r="E75" s="189">
        <f t="shared" si="15"/>
        <v>0</v>
      </c>
      <c r="F75" s="189" t="s">
        <v>88</v>
      </c>
      <c r="G75" s="187">
        <v>62</v>
      </c>
      <c r="H75" s="189">
        <f t="shared" si="16"/>
        <v>1.730199885527743E-05</v>
      </c>
      <c r="I75" s="195">
        <v>0</v>
      </c>
      <c r="J75" s="189">
        <f t="shared" si="17"/>
        <v>0</v>
      </c>
      <c r="K75" s="189">
        <f t="shared" si="14"/>
        <v>-1</v>
      </c>
      <c r="L75" s="187">
        <v>0</v>
      </c>
      <c r="M75" s="195">
        <v>0</v>
      </c>
      <c r="N75" s="241">
        <v>62</v>
      </c>
      <c r="O75" s="231">
        <v>0</v>
      </c>
      <c r="P75" s="187">
        <v>19</v>
      </c>
      <c r="Q75" s="195">
        <v>0</v>
      </c>
      <c r="R75" s="187">
        <v>-369</v>
      </c>
      <c r="S75" s="189">
        <f t="shared" si="18"/>
        <v>-0.0001630711467481227</v>
      </c>
      <c r="T75" s="195">
        <v>28492</v>
      </c>
      <c r="U75" s="189">
        <f t="shared" si="26"/>
        <v>0.012621907594984372</v>
      </c>
      <c r="V75" s="189">
        <f t="shared" si="19"/>
        <v>-78.21409214092141</v>
      </c>
      <c r="W75" s="187">
        <f t="shared" si="20"/>
        <v>-288</v>
      </c>
      <c r="X75" s="189">
        <f t="shared" si="21"/>
        <v>-3.6247310871160066E-05</v>
      </c>
      <c r="Y75" s="195">
        <f t="shared" si="22"/>
        <v>28492</v>
      </c>
      <c r="Z75" s="189">
        <f t="shared" si="23"/>
        <v>0.0032837596120157114</v>
      </c>
      <c r="AA75" s="189" t="s">
        <v>88</v>
      </c>
    </row>
    <row r="76" spans="1:27" ht="15.75" thickBot="1">
      <c r="A76" s="191" t="s">
        <v>182</v>
      </c>
      <c r="B76" s="192">
        <f>SUM(B68:B75)</f>
        <v>199519</v>
      </c>
      <c r="C76" s="193">
        <f t="shared" si="12"/>
        <v>0.11558144384840865</v>
      </c>
      <c r="D76" s="194">
        <f>SUM(D68:D75)</f>
        <v>194465</v>
      </c>
      <c r="E76" s="193">
        <f t="shared" si="15"/>
        <v>0.09241684313777673</v>
      </c>
      <c r="F76" s="193">
        <f aca="true" t="shared" si="29" ref="F76:F81">(D76-B76)/B76</f>
        <v>-0.025330920864679553</v>
      </c>
      <c r="G76" s="192">
        <f>SUM(G68:G75)</f>
        <v>320614</v>
      </c>
      <c r="H76" s="193">
        <f t="shared" si="16"/>
        <v>0.08947198485461158</v>
      </c>
      <c r="I76" s="194">
        <f>SUM(I68:I75)</f>
        <v>310496</v>
      </c>
      <c r="J76" s="193">
        <f t="shared" si="17"/>
        <v>0.07383474548561893</v>
      </c>
      <c r="K76" s="193">
        <f t="shared" si="14"/>
        <v>-0.031558197708147495</v>
      </c>
      <c r="L76" s="192">
        <f aca="true" t="shared" si="30" ref="L76:R76">SUM(L68:L75)</f>
        <v>199519</v>
      </c>
      <c r="M76" s="194">
        <f t="shared" si="30"/>
        <v>194465</v>
      </c>
      <c r="N76" s="242">
        <f t="shared" si="30"/>
        <v>121095</v>
      </c>
      <c r="O76" s="232">
        <f t="shared" si="30"/>
        <v>116031</v>
      </c>
      <c r="P76" s="192">
        <f t="shared" si="30"/>
        <v>148510</v>
      </c>
      <c r="Q76" s="194">
        <f t="shared" si="30"/>
        <v>117956</v>
      </c>
      <c r="R76" s="192">
        <f t="shared" si="30"/>
        <v>135170</v>
      </c>
      <c r="S76" s="193">
        <f t="shared" si="18"/>
        <v>0.05973530326814023</v>
      </c>
      <c r="T76" s="194">
        <f>SUM(T68:T75)</f>
        <v>116416</v>
      </c>
      <c r="U76" s="193">
        <f t="shared" si="26"/>
        <v>0.051572090221034005</v>
      </c>
      <c r="V76" s="193">
        <f t="shared" si="19"/>
        <v>-0.1387438040985426</v>
      </c>
      <c r="W76" s="192">
        <f t="shared" si="20"/>
        <v>604294</v>
      </c>
      <c r="X76" s="193">
        <f t="shared" si="21"/>
        <v>0.076055668317975</v>
      </c>
      <c r="Y76" s="194">
        <f t="shared" si="22"/>
        <v>544868</v>
      </c>
      <c r="Z76" s="193">
        <f t="shared" si="23"/>
        <v>0.06279711962234229</v>
      </c>
      <c r="AA76" s="193">
        <f>(Y76-W76)/W76</f>
        <v>-0.09833954995416139</v>
      </c>
    </row>
    <row r="77" spans="1:27" ht="15.75" thickBot="1">
      <c r="A77" s="186" t="s">
        <v>183</v>
      </c>
      <c r="B77" s="188">
        <v>-51436</v>
      </c>
      <c r="C77" s="189">
        <f t="shared" si="12"/>
        <v>-0.02979689726686054</v>
      </c>
      <c r="D77" s="190">
        <v>-56024</v>
      </c>
      <c r="E77" s="189">
        <f t="shared" si="15"/>
        <v>-0.026624643097476686</v>
      </c>
      <c r="F77" s="189">
        <f t="shared" si="29"/>
        <v>0.08919822692277782</v>
      </c>
      <c r="G77" s="188">
        <v>-89863</v>
      </c>
      <c r="H77" s="189">
        <f t="shared" si="16"/>
        <v>-0.02507757295373864</v>
      </c>
      <c r="I77" s="190">
        <v>-98207</v>
      </c>
      <c r="J77" s="189">
        <f t="shared" si="17"/>
        <v>-0.023353244002841188</v>
      </c>
      <c r="K77" s="189">
        <f t="shared" si="14"/>
        <v>0.09285245317872762</v>
      </c>
      <c r="L77" s="188">
        <v>-51436</v>
      </c>
      <c r="M77" s="190">
        <v>-56024</v>
      </c>
      <c r="N77" s="241">
        <v>-38427</v>
      </c>
      <c r="O77" s="231">
        <v>-42183</v>
      </c>
      <c r="P77" s="188">
        <v>-47782</v>
      </c>
      <c r="Q77" s="190">
        <v>-37516</v>
      </c>
      <c r="R77" s="188">
        <v>-45916</v>
      </c>
      <c r="S77" s="189">
        <f t="shared" si="18"/>
        <v>-0.020291530553080764</v>
      </c>
      <c r="T77" s="190">
        <v>-37143</v>
      </c>
      <c r="U77" s="189">
        <f t="shared" si="26"/>
        <v>-0.016454285897813583</v>
      </c>
      <c r="V77" s="189">
        <f t="shared" si="19"/>
        <v>-0.19106629497342975</v>
      </c>
      <c r="W77" s="188">
        <f t="shared" si="20"/>
        <v>-183561</v>
      </c>
      <c r="X77" s="189">
        <f t="shared" si="21"/>
        <v>-0.02310275219035074</v>
      </c>
      <c r="Y77" s="190">
        <f t="shared" si="22"/>
        <v>-172866</v>
      </c>
      <c r="Z77" s="189">
        <f t="shared" si="23"/>
        <v>-0.01992314997510557</v>
      </c>
      <c r="AA77" s="189">
        <f>(Y77-W77)/W77</f>
        <v>-0.05826401032899145</v>
      </c>
    </row>
    <row r="78" spans="1:27" ht="15.75" thickBot="1">
      <c r="A78" s="196" t="s">
        <v>184</v>
      </c>
      <c r="B78" s="197">
        <v>3407</v>
      </c>
      <c r="C78" s="198">
        <f t="shared" si="12"/>
        <v>0.0019736765881521474</v>
      </c>
      <c r="D78" s="199">
        <v>14256</v>
      </c>
      <c r="E78" s="198">
        <f t="shared" si="15"/>
        <v>0.006774969870013345</v>
      </c>
      <c r="F78" s="198">
        <f t="shared" si="29"/>
        <v>3.1843263868506018</v>
      </c>
      <c r="G78" s="197">
        <v>4815</v>
      </c>
      <c r="H78" s="198">
        <f t="shared" si="16"/>
        <v>0.0013436955562606584</v>
      </c>
      <c r="I78" s="199">
        <v>20959</v>
      </c>
      <c r="J78" s="198">
        <f t="shared" si="17"/>
        <v>0.0049839689742640384</v>
      </c>
      <c r="K78" s="198">
        <f t="shared" si="14"/>
        <v>3.3528556593977155</v>
      </c>
      <c r="L78" s="197">
        <v>3407</v>
      </c>
      <c r="M78" s="199">
        <v>14256</v>
      </c>
      <c r="N78" s="243">
        <v>1408</v>
      </c>
      <c r="O78" s="233">
        <v>6703</v>
      </c>
      <c r="P78" s="197">
        <v>-3491</v>
      </c>
      <c r="Q78" s="199">
        <v>2620</v>
      </c>
      <c r="R78" s="188">
        <v>15097</v>
      </c>
      <c r="S78" s="198">
        <f t="shared" si="18"/>
        <v>0.006671775345410321</v>
      </c>
      <c r="T78" s="190">
        <v>5954</v>
      </c>
      <c r="U78" s="198">
        <f t="shared" si="26"/>
        <v>0.002637611884758422</v>
      </c>
      <c r="V78" s="198">
        <f t="shared" si="19"/>
        <v>-0.6056170100019872</v>
      </c>
      <c r="W78" s="197">
        <f t="shared" si="20"/>
        <v>16421</v>
      </c>
      <c r="X78" s="198">
        <f t="shared" si="21"/>
        <v>0.002066726013247637</v>
      </c>
      <c r="Y78" s="199">
        <f t="shared" si="22"/>
        <v>29533</v>
      </c>
      <c r="Z78" s="198">
        <f t="shared" si="23"/>
        <v>0.0034037369304246805</v>
      </c>
      <c r="AA78" s="189" t="s">
        <v>88</v>
      </c>
    </row>
    <row r="79" spans="1:27" ht="15.75" thickBot="1">
      <c r="A79" s="191" t="s">
        <v>185</v>
      </c>
      <c r="B79" s="192">
        <f>SUM(B76:B78)</f>
        <v>151490</v>
      </c>
      <c r="C79" s="193">
        <f t="shared" si="12"/>
        <v>0.08775822316970026</v>
      </c>
      <c r="D79" s="194">
        <f>SUM(D76:D78)</f>
        <v>152697</v>
      </c>
      <c r="E79" s="193">
        <f t="shared" si="15"/>
        <v>0.0725671699103134</v>
      </c>
      <c r="F79" s="193">
        <f t="shared" si="29"/>
        <v>0.007967522608753053</v>
      </c>
      <c r="G79" s="192">
        <f>SUM(G76:G78)</f>
        <v>235566</v>
      </c>
      <c r="H79" s="193">
        <f t="shared" si="16"/>
        <v>0.0657381074571336</v>
      </c>
      <c r="I79" s="194">
        <f>SUM(I76:I78)</f>
        <v>233248</v>
      </c>
      <c r="J79" s="193">
        <f t="shared" si="17"/>
        <v>0.055465470457041775</v>
      </c>
      <c r="K79" s="193">
        <f t="shared" si="14"/>
        <v>-0.009840129730096873</v>
      </c>
      <c r="L79" s="192">
        <f aca="true" t="shared" si="31" ref="L79:R79">SUM(L76:L78)</f>
        <v>151490</v>
      </c>
      <c r="M79" s="194">
        <f t="shared" si="31"/>
        <v>152697</v>
      </c>
      <c r="N79" s="242">
        <f t="shared" si="31"/>
        <v>84076</v>
      </c>
      <c r="O79" s="232">
        <f t="shared" si="31"/>
        <v>80551</v>
      </c>
      <c r="P79" s="192">
        <f t="shared" si="31"/>
        <v>97237</v>
      </c>
      <c r="Q79" s="194">
        <f t="shared" si="31"/>
        <v>83060</v>
      </c>
      <c r="R79" s="192">
        <f t="shared" si="31"/>
        <v>104351</v>
      </c>
      <c r="S79" s="193">
        <f t="shared" si="18"/>
        <v>0.04611554806046979</v>
      </c>
      <c r="T79" s="194">
        <f>SUM(T76:T78)</f>
        <v>85227</v>
      </c>
      <c r="U79" s="193">
        <f t="shared" si="26"/>
        <v>0.03775541620797884</v>
      </c>
      <c r="V79" s="193">
        <f t="shared" si="19"/>
        <v>-0.18326609232302518</v>
      </c>
      <c r="W79" s="192">
        <f t="shared" si="20"/>
        <v>437154</v>
      </c>
      <c r="X79" s="193">
        <f t="shared" si="21"/>
        <v>0.0550196421408719</v>
      </c>
      <c r="Y79" s="194">
        <f t="shared" si="22"/>
        <v>401535</v>
      </c>
      <c r="Z79" s="193">
        <f t="shared" si="23"/>
        <v>0.0462777065776614</v>
      </c>
      <c r="AA79" s="193">
        <f>(Y79-W79)/W79</f>
        <v>-0.08147929562579777</v>
      </c>
    </row>
    <row r="80" spans="1:27" ht="15.75" thickBot="1">
      <c r="A80" s="186" t="s">
        <v>186</v>
      </c>
      <c r="B80" s="187">
        <v>-304</v>
      </c>
      <c r="C80" s="189">
        <f t="shared" si="12"/>
        <v>-0.00017610733278492893</v>
      </c>
      <c r="D80" s="195">
        <v>-164</v>
      </c>
      <c r="E80" s="189">
        <f t="shared" si="15"/>
        <v>-7.793876674257775E-05</v>
      </c>
      <c r="F80" s="189">
        <f t="shared" si="29"/>
        <v>-0.4605263157894737</v>
      </c>
      <c r="G80" s="187">
        <v>-4314</v>
      </c>
      <c r="H80" s="189">
        <f t="shared" si="16"/>
        <v>-0.0012038842429301102</v>
      </c>
      <c r="I80" s="195">
        <v>-247</v>
      </c>
      <c r="J80" s="189">
        <f t="shared" si="17"/>
        <v>-5.8735642761735654E-05</v>
      </c>
      <c r="K80" s="189">
        <f t="shared" si="14"/>
        <v>-0.9427445526193787</v>
      </c>
      <c r="L80" s="187">
        <v>-304</v>
      </c>
      <c r="M80" s="195">
        <v>-164</v>
      </c>
      <c r="N80" s="241">
        <v>-4010</v>
      </c>
      <c r="O80" s="231">
        <v>-83</v>
      </c>
      <c r="P80" s="187">
        <v>-446</v>
      </c>
      <c r="Q80" s="195">
        <v>55</v>
      </c>
      <c r="R80" s="187">
        <v>-1575</v>
      </c>
      <c r="S80" s="189">
        <f t="shared" si="18"/>
        <v>-0.0006960353824614993</v>
      </c>
      <c r="T80" s="195">
        <v>-1652</v>
      </c>
      <c r="U80" s="189">
        <f t="shared" si="26"/>
        <v>-0.0007318331934197032</v>
      </c>
      <c r="V80" s="189">
        <f t="shared" si="19"/>
        <v>0.04888888888888889</v>
      </c>
      <c r="W80" s="187">
        <f t="shared" si="20"/>
        <v>-6335</v>
      </c>
      <c r="X80" s="189">
        <f t="shared" si="21"/>
        <v>-0.0007973149804472188</v>
      </c>
      <c r="Y80" s="195">
        <f t="shared" si="22"/>
        <v>-1844</v>
      </c>
      <c r="Z80" s="189">
        <f t="shared" si="23"/>
        <v>-0.00021252466392520606</v>
      </c>
      <c r="AA80" s="189">
        <f>(Y80-W80)/W80</f>
        <v>-0.7089187056037884</v>
      </c>
    </row>
    <row r="81" spans="1:27" ht="15">
      <c r="A81" s="200" t="s">
        <v>187</v>
      </c>
      <c r="B81" s="201">
        <f>SUM(B79:B80)</f>
        <v>151186</v>
      </c>
      <c r="C81" s="202">
        <f t="shared" si="12"/>
        <v>0.08758211583691534</v>
      </c>
      <c r="D81" s="203">
        <f>SUM(D79:D80)</f>
        <v>152533</v>
      </c>
      <c r="E81" s="202">
        <f t="shared" si="15"/>
        <v>0.07248923114357081</v>
      </c>
      <c r="F81" s="202">
        <f t="shared" si="29"/>
        <v>0.008909555117537339</v>
      </c>
      <c r="G81" s="203">
        <f>SUM(G79:G80)</f>
        <v>231252</v>
      </c>
      <c r="H81" s="202">
        <f t="shared" si="16"/>
        <v>0.06453422321420349</v>
      </c>
      <c r="I81" s="203">
        <f>SUM(I79:I80)</f>
        <v>233001</v>
      </c>
      <c r="J81" s="202">
        <f t="shared" si="17"/>
        <v>0.05540673481428004</v>
      </c>
      <c r="K81" s="202">
        <f t="shared" si="14"/>
        <v>0.0075631778319755075</v>
      </c>
      <c r="L81" s="203">
        <f aca="true" t="shared" si="32" ref="L81:R81">SUM(L79:L80)</f>
        <v>151186</v>
      </c>
      <c r="M81" s="203">
        <f t="shared" si="32"/>
        <v>152533</v>
      </c>
      <c r="N81" s="234">
        <f t="shared" si="32"/>
        <v>80066</v>
      </c>
      <c r="O81" s="234">
        <f t="shared" si="32"/>
        <v>80468</v>
      </c>
      <c r="P81" s="201">
        <f t="shared" si="32"/>
        <v>96791</v>
      </c>
      <c r="Q81" s="203">
        <f t="shared" si="32"/>
        <v>83115</v>
      </c>
      <c r="R81" s="201">
        <f t="shared" si="32"/>
        <v>102776</v>
      </c>
      <c r="S81" s="202">
        <f t="shared" si="18"/>
        <v>0.045419512678008284</v>
      </c>
      <c r="T81" s="203">
        <f>SUM(T79:T80)</f>
        <v>83575</v>
      </c>
      <c r="U81" s="202">
        <f t="shared" si="26"/>
        <v>0.03702358301455914</v>
      </c>
      <c r="V81" s="202">
        <f t="shared" si="19"/>
        <v>-0.18682377208686854</v>
      </c>
      <c r="W81" s="201">
        <f t="shared" si="20"/>
        <v>430819</v>
      </c>
      <c r="X81" s="202">
        <f t="shared" si="21"/>
        <v>0.05422232716042468</v>
      </c>
      <c r="Y81" s="203">
        <f t="shared" si="22"/>
        <v>399691</v>
      </c>
      <c r="Z81" s="202">
        <f t="shared" si="23"/>
        <v>0.046065181913736195</v>
      </c>
      <c r="AA81" s="202">
        <f>(Y81-W81)/W81</f>
        <v>-0.0722530807601336</v>
      </c>
    </row>
    <row r="82" spans="1:27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44"/>
      <c r="O82" s="235"/>
      <c r="P82" s="206"/>
      <c r="Q82" s="209"/>
      <c r="R82" s="206"/>
      <c r="S82" s="207"/>
      <c r="T82" s="209"/>
      <c r="U82" s="207"/>
      <c r="V82" s="207"/>
      <c r="W82" s="206"/>
      <c r="X82" s="207"/>
      <c r="Y82" s="209"/>
      <c r="Z82" s="207"/>
      <c r="AA82" s="207"/>
    </row>
    <row r="83" spans="1:27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45"/>
      <c r="O83" s="236"/>
      <c r="P83" s="212"/>
      <c r="Q83" s="215"/>
      <c r="R83" s="212"/>
      <c r="S83" s="213"/>
      <c r="T83" s="215"/>
      <c r="U83" s="213"/>
      <c r="V83" s="213"/>
      <c r="W83" s="212"/>
      <c r="X83" s="213"/>
      <c r="Y83" s="215"/>
      <c r="Z83" s="213"/>
      <c r="AA83" s="213"/>
    </row>
    <row r="84" spans="1:27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 t="shared" si="15"/>
        <v>0.07208005261817228</v>
      </c>
      <c r="F84" s="189">
        <f>(D84-B84)/B84</f>
        <v>0.004510202594856647</v>
      </c>
      <c r="G84" s="188">
        <v>230284</v>
      </c>
      <c r="H84" s="189">
        <f t="shared" si="16"/>
        <v>0.06426408878046302</v>
      </c>
      <c r="I84" s="217">
        <v>231084</v>
      </c>
      <c r="J84" s="189">
        <f t="shared" si="17"/>
        <v>0.054950879643534095</v>
      </c>
      <c r="K84" s="189">
        <f>(I84-G84)/G84</f>
        <v>0.003473971270257595</v>
      </c>
      <c r="L84" s="188">
        <v>150991</v>
      </c>
      <c r="M84" s="217">
        <v>151672</v>
      </c>
      <c r="N84" s="241">
        <v>79293</v>
      </c>
      <c r="O84" s="237">
        <v>79412</v>
      </c>
      <c r="P84" s="188">
        <v>95871</v>
      </c>
      <c r="Q84" s="217">
        <v>81993</v>
      </c>
      <c r="R84" s="188">
        <v>101997</v>
      </c>
      <c r="S84" s="189">
        <f t="shared" si="18"/>
        <v>0.0450752513682067</v>
      </c>
      <c r="T84" s="217">
        <v>82657</v>
      </c>
      <c r="U84" s="189">
        <f t="shared" si="26"/>
        <v>0.03661691057414795</v>
      </c>
      <c r="V84" s="189">
        <f t="shared" si="19"/>
        <v>-0.1896134200025491</v>
      </c>
      <c r="W84" s="188">
        <f t="shared" si="20"/>
        <v>428152</v>
      </c>
      <c r="X84" s="189">
        <f t="shared" si="21"/>
        <v>0.05388666195871154</v>
      </c>
      <c r="Y84" s="217">
        <f t="shared" si="22"/>
        <v>395734</v>
      </c>
      <c r="Z84" s="189">
        <f t="shared" si="23"/>
        <v>0.04560912980139777</v>
      </c>
      <c r="AA84" s="189">
        <f>(Y84-W84)/W84</f>
        <v>-0.07571610082400643</v>
      </c>
    </row>
    <row r="85" spans="1:27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 t="shared" si="15"/>
        <v>0.0004091785253985332</v>
      </c>
      <c r="F85" s="198">
        <f>(D85-B85)/B85</f>
        <v>3.4153846153846152</v>
      </c>
      <c r="G85" s="219">
        <v>968</v>
      </c>
      <c r="H85" s="198">
        <f t="shared" si="16"/>
        <v>0.00027013443374046054</v>
      </c>
      <c r="I85" s="220">
        <v>1917</v>
      </c>
      <c r="J85" s="198">
        <f t="shared" si="17"/>
        <v>0.0004558551707459403</v>
      </c>
      <c r="K85" s="198">
        <f>(I85-G85)/G85</f>
        <v>0.9803719008264463</v>
      </c>
      <c r="L85" s="219">
        <v>195</v>
      </c>
      <c r="M85" s="220">
        <v>861</v>
      </c>
      <c r="N85" s="243">
        <v>773</v>
      </c>
      <c r="O85" s="238">
        <v>1056</v>
      </c>
      <c r="P85" s="219">
        <v>920</v>
      </c>
      <c r="Q85" s="238">
        <v>1122</v>
      </c>
      <c r="R85" s="219">
        <v>779</v>
      </c>
      <c r="S85" s="198">
        <f t="shared" si="18"/>
        <v>0.00034426130980159237</v>
      </c>
      <c r="T85" s="238">
        <v>918</v>
      </c>
      <c r="U85" s="198">
        <f t="shared" si="26"/>
        <v>0.00040667244041119104</v>
      </c>
      <c r="V85" s="198">
        <f t="shared" si="19"/>
        <v>0.17843388960205392</v>
      </c>
      <c r="W85" s="243">
        <f t="shared" si="20"/>
        <v>2667</v>
      </c>
      <c r="X85" s="198">
        <f t="shared" si="21"/>
        <v>0.0003356652017131385</v>
      </c>
      <c r="Y85" s="238">
        <f t="shared" si="22"/>
        <v>3957</v>
      </c>
      <c r="Z85" s="198">
        <f t="shared" si="23"/>
        <v>0.0004560521123384167</v>
      </c>
      <c r="AA85" s="198">
        <f>(Y85-W85)/W85</f>
        <v>0.48368953880764903</v>
      </c>
    </row>
    <row r="86" spans="1:27" ht="15.75" thickBot="1">
      <c r="A86" s="221" t="s">
        <v>187</v>
      </c>
      <c r="B86" s="192">
        <f>SUM(B84:B85)</f>
        <v>151186</v>
      </c>
      <c r="C86" s="193">
        <f>+B86/$B$60</f>
        <v>0.08758211583691534</v>
      </c>
      <c r="D86" s="222">
        <f>SUM(D84:D85)</f>
        <v>152533</v>
      </c>
      <c r="E86" s="193">
        <f t="shared" si="15"/>
        <v>0.07248923114357081</v>
      </c>
      <c r="F86" s="193">
        <f>(D86-B86)/B86</f>
        <v>0.008909555117537339</v>
      </c>
      <c r="G86" s="192">
        <f>SUM(G84:G85)</f>
        <v>231252</v>
      </c>
      <c r="H86" s="193">
        <f t="shared" si="16"/>
        <v>0.06453422321420349</v>
      </c>
      <c r="I86" s="222">
        <f>SUM(I84:I85)</f>
        <v>233001</v>
      </c>
      <c r="J86" s="193">
        <f t="shared" si="17"/>
        <v>0.05540673481428004</v>
      </c>
      <c r="K86" s="193">
        <f>(I86-G86)/G86</f>
        <v>0.0075631778319755075</v>
      </c>
      <c r="L86" s="192">
        <f aca="true" t="shared" si="33" ref="L86:R86">SUM(L84:L85)</f>
        <v>151186</v>
      </c>
      <c r="M86" s="222">
        <f t="shared" si="33"/>
        <v>152533</v>
      </c>
      <c r="N86" s="242">
        <f t="shared" si="33"/>
        <v>80066</v>
      </c>
      <c r="O86" s="239">
        <f t="shared" si="33"/>
        <v>80468</v>
      </c>
      <c r="P86" s="192">
        <f t="shared" si="33"/>
        <v>96791</v>
      </c>
      <c r="Q86" s="222">
        <f t="shared" si="33"/>
        <v>83115</v>
      </c>
      <c r="R86" s="192">
        <f t="shared" si="33"/>
        <v>102776</v>
      </c>
      <c r="S86" s="193">
        <f t="shared" si="18"/>
        <v>0.045419512678008284</v>
      </c>
      <c r="T86" s="222">
        <v>83575</v>
      </c>
      <c r="U86" s="193">
        <f t="shared" si="26"/>
        <v>0.03702358301455914</v>
      </c>
      <c r="V86" s="193">
        <f t="shared" si="19"/>
        <v>-0.18682377208686854</v>
      </c>
      <c r="W86" s="192">
        <f t="shared" si="20"/>
        <v>430819</v>
      </c>
      <c r="X86" s="193">
        <f t="shared" si="21"/>
        <v>0.05422232716042468</v>
      </c>
      <c r="Y86" s="222">
        <f t="shared" si="22"/>
        <v>399691</v>
      </c>
      <c r="Z86" s="193">
        <f t="shared" si="23"/>
        <v>0.046065181913736195</v>
      </c>
      <c r="AA86" s="193">
        <f>(Y86-W86)/W86</f>
        <v>-0.0722530807601336</v>
      </c>
    </row>
    <row r="87" spans="1:27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 t="shared" si="15"/>
        <v>0.13353904732213803</v>
      </c>
      <c r="F87" s="202">
        <f>(D87-B87)/B87</f>
        <v>0.1961509646001124</v>
      </c>
      <c r="G87" s="203">
        <v>458883</v>
      </c>
      <c r="H87" s="202">
        <f t="shared" si="16"/>
        <v>0.12805795388235924</v>
      </c>
      <c r="I87" s="203">
        <v>534203</v>
      </c>
      <c r="J87" s="202">
        <f t="shared" si="17"/>
        <v>0.12703140311841082</v>
      </c>
      <c r="K87" s="202">
        <f>(I87-G87)/G87</f>
        <v>0.16413769958791238</v>
      </c>
      <c r="L87" s="203">
        <v>234916</v>
      </c>
      <c r="M87" s="203">
        <v>280995</v>
      </c>
      <c r="N87" s="234">
        <v>223967</v>
      </c>
      <c r="O87" s="234">
        <v>253208</v>
      </c>
      <c r="P87" s="203">
        <v>270788</v>
      </c>
      <c r="Q87" s="203">
        <v>266125</v>
      </c>
      <c r="R87" s="203">
        <v>245883</v>
      </c>
      <c r="S87" s="202">
        <f t="shared" si="18"/>
        <v>0.10866239234652751</v>
      </c>
      <c r="T87" s="203">
        <v>228625</v>
      </c>
      <c r="U87" s="202">
        <f t="shared" si="26"/>
        <v>0.10128048658933393</v>
      </c>
      <c r="V87" s="202">
        <f t="shared" si="19"/>
        <v>-0.07018785357263414</v>
      </c>
      <c r="W87" s="203">
        <f t="shared" si="20"/>
        <v>975554</v>
      </c>
      <c r="X87" s="202">
        <f t="shared" si="21"/>
        <v>0.1227819760750128</v>
      </c>
      <c r="Y87" s="203">
        <f t="shared" si="22"/>
        <v>1028953</v>
      </c>
      <c r="Z87" s="202">
        <f t="shared" si="23"/>
        <v>0.11858887772225193</v>
      </c>
      <c r="AA87" s="202">
        <f>(Y87-W87)/W87</f>
        <v>0.054737103225449335</v>
      </c>
    </row>
  </sheetData>
  <sheetProtection/>
  <mergeCells count="4"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ignoredErrors>
    <ignoredError sqref="H62:H87" 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6"/>
  <sheetViews>
    <sheetView zoomScale="90" zoomScaleNormal="90" zoomScalePageLayoutView="0" workbookViewId="0" topLeftCell="A55">
      <selection activeCell="F68" sqref="F6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6" width="11.421875" style="143" customWidth="1"/>
    <col min="7" max="16384" width="11.421875" style="143" customWidth="1"/>
  </cols>
  <sheetData>
    <row r="1" spans="1:5" ht="18.75">
      <c r="A1" s="142" t="s">
        <v>196</v>
      </c>
      <c r="B1" s="351"/>
      <c r="C1" s="351"/>
      <c r="D1" s="351"/>
      <c r="E1" s="351"/>
    </row>
    <row r="2" spans="1:5" ht="15">
      <c r="A2" s="270" t="s">
        <v>216</v>
      </c>
      <c r="B2" s="351"/>
      <c r="C2" s="351"/>
      <c r="D2" s="351"/>
      <c r="E2" s="351"/>
    </row>
    <row r="3" spans="1:5" ht="15">
      <c r="A3" s="270" t="s">
        <v>131</v>
      </c>
      <c r="B3" s="351"/>
      <c r="C3" s="351"/>
      <c r="D3" s="351"/>
      <c r="E3" s="351"/>
    </row>
    <row r="4" spans="1:5" ht="15">
      <c r="A4" s="146" t="s">
        <v>132</v>
      </c>
      <c r="B4" s="351"/>
      <c r="C4" s="351"/>
      <c r="D4" s="351"/>
      <c r="E4" s="351"/>
    </row>
    <row r="5" spans="2:5" ht="15.75" thickBot="1">
      <c r="B5" s="351"/>
      <c r="C5" s="351"/>
      <c r="D5" s="351"/>
      <c r="E5" s="351"/>
    </row>
    <row r="6" spans="1:4" ht="36" customHeight="1" thickBot="1">
      <c r="A6" s="271"/>
      <c r="B6" s="272" t="s">
        <v>211</v>
      </c>
      <c r="C6" s="334" t="s">
        <v>219</v>
      </c>
      <c r="D6" s="273" t="s">
        <v>92</v>
      </c>
    </row>
    <row r="7" spans="1:4" ht="15.75" thickTop="1">
      <c r="A7" s="274" t="s">
        <v>16</v>
      </c>
      <c r="B7" s="275"/>
      <c r="C7" s="276"/>
      <c r="D7" s="276"/>
    </row>
    <row r="8" spans="1:4" ht="15">
      <c r="A8" s="277" t="s">
        <v>133</v>
      </c>
      <c r="B8" s="278"/>
      <c r="C8" s="279"/>
      <c r="D8" s="280"/>
    </row>
    <row r="9" spans="1:4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</row>
    <row r="10" spans="1:4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</row>
    <row r="11" spans="1:4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</row>
    <row r="12" spans="1:4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</row>
    <row r="13" spans="1:4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</row>
    <row r="14" spans="1:4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</row>
    <row r="15" spans="1:4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</row>
    <row r="16" spans="1:4" ht="15">
      <c r="A16" s="277" t="s">
        <v>139</v>
      </c>
      <c r="B16" s="278"/>
      <c r="C16" s="279"/>
      <c r="D16" s="280"/>
    </row>
    <row r="17" spans="1:4" ht="15.75" thickBot="1">
      <c r="A17" s="155" t="s">
        <v>135</v>
      </c>
      <c r="B17" s="157">
        <v>23495</v>
      </c>
      <c r="C17" s="281">
        <v>21943</v>
      </c>
      <c r="D17" s="282">
        <f aca="true" t="shared" si="1" ref="D17:D28">(C17-B17)/B17</f>
        <v>-0.06605660778889125</v>
      </c>
    </row>
    <row r="18" spans="1:4" ht="15.75" thickBot="1">
      <c r="A18" s="155" t="s">
        <v>140</v>
      </c>
      <c r="B18" s="157">
        <v>7433</v>
      </c>
      <c r="C18" s="281">
        <v>8040</v>
      </c>
      <c r="D18" s="282">
        <f t="shared" si="1"/>
        <v>0.08166285483653976</v>
      </c>
    </row>
    <row r="19" spans="1:4" ht="15.75" thickBot="1">
      <c r="A19" s="155" t="s">
        <v>141</v>
      </c>
      <c r="B19" s="157">
        <v>164510</v>
      </c>
      <c r="C19" s="281">
        <v>162693</v>
      </c>
      <c r="D19" s="282">
        <f t="shared" si="1"/>
        <v>-0.01104492128138107</v>
      </c>
    </row>
    <row r="20" spans="1:4" ht="15.75" thickBot="1">
      <c r="A20" s="155" t="s">
        <v>142</v>
      </c>
      <c r="B20" s="157">
        <v>3885206</v>
      </c>
      <c r="C20" s="281">
        <v>4010528</v>
      </c>
      <c r="D20" s="282">
        <f t="shared" si="1"/>
        <v>0.03225620469030471</v>
      </c>
    </row>
    <row r="21" spans="1:4" ht="15.75" thickBot="1">
      <c r="A21" s="155" t="s">
        <v>143</v>
      </c>
      <c r="B21" s="157">
        <v>3383513</v>
      </c>
      <c r="C21" s="281">
        <v>3334995</v>
      </c>
      <c r="D21" s="282">
        <f t="shared" si="1"/>
        <v>-0.014339534087795732</v>
      </c>
    </row>
    <row r="22" spans="1:4" ht="15.75" thickBot="1">
      <c r="A22" s="155" t="s">
        <v>144</v>
      </c>
      <c r="B22" s="157">
        <v>71842</v>
      </c>
      <c r="C22" s="281">
        <v>71797</v>
      </c>
      <c r="D22" s="282">
        <f t="shared" si="1"/>
        <v>-0.0006263745441385262</v>
      </c>
    </row>
    <row r="23" spans="1:4" ht="15.75" thickBot="1">
      <c r="A23" s="155" t="s">
        <v>145</v>
      </c>
      <c r="B23" s="157">
        <v>2034454</v>
      </c>
      <c r="C23" s="281">
        <v>2003664</v>
      </c>
      <c r="D23" s="282">
        <f t="shared" si="1"/>
        <v>-0.015134281728660368</v>
      </c>
    </row>
    <row r="24" spans="1:4" ht="15.75" thickBot="1">
      <c r="A24" s="155" t="s">
        <v>146</v>
      </c>
      <c r="B24" s="157">
        <v>1163671</v>
      </c>
      <c r="C24" s="281">
        <v>1143667</v>
      </c>
      <c r="D24" s="282">
        <f t="shared" si="1"/>
        <v>-0.017190425816231564</v>
      </c>
    </row>
    <row r="25" spans="1:4" ht="15.75" thickBot="1">
      <c r="A25" s="155" t="s">
        <v>147</v>
      </c>
      <c r="B25" s="157">
        <v>356994</v>
      </c>
      <c r="C25" s="281">
        <v>355573</v>
      </c>
      <c r="D25" s="282">
        <f t="shared" si="1"/>
        <v>-0.003980459055334264</v>
      </c>
    </row>
    <row r="26" spans="1:4" ht="15.75" thickBot="1">
      <c r="A26" s="160" t="s">
        <v>24</v>
      </c>
      <c r="B26" s="162">
        <v>48661</v>
      </c>
      <c r="C26" s="283">
        <v>49430</v>
      </c>
      <c r="D26" s="285">
        <f t="shared" si="1"/>
        <v>0.015803209962803887</v>
      </c>
    </row>
    <row r="27" spans="1:4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1"/>
        <v>0.0020243669106900595</v>
      </c>
    </row>
    <row r="28" spans="1:4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1"/>
        <v>0.009966674827516283</v>
      </c>
    </row>
    <row r="29" spans="1:4" ht="15">
      <c r="A29" s="274" t="s">
        <v>93</v>
      </c>
      <c r="B29" s="275"/>
      <c r="C29" s="276"/>
      <c r="D29" s="276"/>
    </row>
    <row r="30" spans="1:4" ht="15">
      <c r="A30" s="277" t="s">
        <v>150</v>
      </c>
      <c r="B30" s="278"/>
      <c r="C30" s="279"/>
      <c r="D30" s="280"/>
    </row>
    <row r="31" spans="1:4" ht="15.75" thickBot="1">
      <c r="A31" s="155" t="s">
        <v>151</v>
      </c>
      <c r="B31" s="157">
        <v>847689</v>
      </c>
      <c r="C31" s="281">
        <v>766418</v>
      </c>
      <c r="D31" s="282">
        <f aca="true" t="shared" si="2" ref="D31:D37">(C31-B31)/B31</f>
        <v>-0.09587360458847526</v>
      </c>
    </row>
    <row r="32" spans="1:4" ht="15.75" thickBot="1">
      <c r="A32" s="155" t="s">
        <v>152</v>
      </c>
      <c r="B32" s="157">
        <v>888840</v>
      </c>
      <c r="C32" s="281">
        <v>950671</v>
      </c>
      <c r="D32" s="282">
        <f t="shared" si="2"/>
        <v>0.06956370100355519</v>
      </c>
    </row>
    <row r="33" spans="1:4" ht="15.75" thickBot="1">
      <c r="A33" s="155" t="s">
        <v>153</v>
      </c>
      <c r="B33" s="157">
        <v>163362</v>
      </c>
      <c r="C33" s="281">
        <v>156179</v>
      </c>
      <c r="D33" s="282">
        <f t="shared" si="2"/>
        <v>-0.04396983386589293</v>
      </c>
    </row>
    <row r="34" spans="1:4" ht="15.75" thickBot="1">
      <c r="A34" s="155" t="s">
        <v>154</v>
      </c>
      <c r="B34" s="157">
        <v>161592</v>
      </c>
      <c r="C34" s="281">
        <v>153375</v>
      </c>
      <c r="D34" s="282">
        <f t="shared" si="2"/>
        <v>-0.050850289618297934</v>
      </c>
    </row>
    <row r="35" spans="1:4" ht="15.75" thickBot="1">
      <c r="A35" s="155" t="s">
        <v>155</v>
      </c>
      <c r="B35" s="157">
        <v>2734</v>
      </c>
      <c r="C35" s="281">
        <v>1360</v>
      </c>
      <c r="D35" s="282">
        <f t="shared" si="2"/>
        <v>-0.5025603511338698</v>
      </c>
    </row>
    <row r="36" spans="1:4" ht="15.75" thickBot="1">
      <c r="A36" s="160" t="s">
        <v>35</v>
      </c>
      <c r="B36" s="162">
        <v>49746</v>
      </c>
      <c r="C36" s="283">
        <v>49399</v>
      </c>
      <c r="D36" s="285">
        <f t="shared" si="2"/>
        <v>-0.006975435210871226</v>
      </c>
    </row>
    <row r="37" spans="1:4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2"/>
        <v>-0.017295004690242925</v>
      </c>
    </row>
    <row r="38" spans="1:4" ht="15">
      <c r="A38" s="277" t="s">
        <v>157</v>
      </c>
      <c r="B38" s="278"/>
      <c r="C38" s="279"/>
      <c r="D38" s="280"/>
    </row>
    <row r="39" spans="1:4" ht="15.75" thickBot="1">
      <c r="A39" s="155" t="s">
        <v>151</v>
      </c>
      <c r="B39" s="157">
        <v>2277429</v>
      </c>
      <c r="C39" s="281">
        <v>2521441</v>
      </c>
      <c r="D39" s="282">
        <f aca="true" t="shared" si="3" ref="D39:D45">(C39-B39)/B39</f>
        <v>0.10714362555320056</v>
      </c>
    </row>
    <row r="40" spans="1:4" ht="15.75" thickBot="1">
      <c r="A40" s="155" t="s">
        <v>152</v>
      </c>
      <c r="B40" s="156">
        <v>158</v>
      </c>
      <c r="C40" s="291">
        <v>158</v>
      </c>
      <c r="D40" s="282">
        <f t="shared" si="3"/>
        <v>0</v>
      </c>
    </row>
    <row r="41" spans="1:4" ht="15.75" thickBot="1">
      <c r="A41" s="155" t="s">
        <v>154</v>
      </c>
      <c r="B41" s="157">
        <v>216744</v>
      </c>
      <c r="C41" s="281">
        <v>221537</v>
      </c>
      <c r="D41" s="282">
        <f t="shared" si="3"/>
        <v>0.022113645591112095</v>
      </c>
    </row>
    <row r="42" spans="1:4" ht="15.75" thickBot="1">
      <c r="A42" s="155" t="s">
        <v>158</v>
      </c>
      <c r="B42" s="157">
        <v>705700</v>
      </c>
      <c r="C42" s="281">
        <v>700242</v>
      </c>
      <c r="D42" s="282">
        <f t="shared" si="3"/>
        <v>-0.007734164659203627</v>
      </c>
    </row>
    <row r="43" spans="1:4" ht="15.75" thickBot="1">
      <c r="A43" s="160" t="s">
        <v>35</v>
      </c>
      <c r="B43" s="161">
        <v>600</v>
      </c>
      <c r="C43" s="292">
        <v>618</v>
      </c>
      <c r="D43" s="282">
        <f t="shared" si="3"/>
        <v>0.03</v>
      </c>
    </row>
    <row r="44" spans="1:4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3"/>
        <v>0.07603656903904261</v>
      </c>
    </row>
    <row r="45" spans="1:4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3"/>
        <v>0.03891247384089923</v>
      </c>
    </row>
    <row r="46" spans="1:4" ht="15">
      <c r="A46" s="274" t="s">
        <v>162</v>
      </c>
      <c r="B46" s="275"/>
      <c r="C46" s="276"/>
      <c r="D46" s="276"/>
    </row>
    <row r="47" spans="1:4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</row>
    <row r="48" spans="1:4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</row>
    <row r="49" spans="1:4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</row>
    <row r="50" spans="1:4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</row>
    <row r="53" spans="1:5" ht="18.75">
      <c r="A53" s="179" t="s">
        <v>165</v>
      </c>
      <c r="B53" s="351"/>
      <c r="C53" s="351"/>
      <c r="D53" s="351"/>
      <c r="E53" s="351"/>
    </row>
    <row r="54" spans="1:5" ht="15">
      <c r="A54" s="270" t="s">
        <v>217</v>
      </c>
      <c r="B54" s="351"/>
      <c r="C54" s="351"/>
      <c r="D54" s="351"/>
      <c r="E54" s="351"/>
    </row>
    <row r="55" spans="1:5" ht="15">
      <c r="A55" s="270" t="s">
        <v>131</v>
      </c>
      <c r="B55" s="351"/>
      <c r="C55" s="351"/>
      <c r="D55" s="351"/>
      <c r="E55" s="351"/>
    </row>
    <row r="56" spans="1:5" ht="15">
      <c r="A56" s="146" t="s">
        <v>132</v>
      </c>
      <c r="B56" s="351"/>
      <c r="C56" s="351"/>
      <c r="D56" s="351"/>
      <c r="E56" s="351"/>
    </row>
    <row r="57" spans="2:5" ht="15.75" thickBot="1">
      <c r="B57" s="351"/>
      <c r="C57" s="351"/>
      <c r="D57" s="351"/>
      <c r="E57" s="351"/>
    </row>
    <row r="58" spans="1:6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</row>
    <row r="59" spans="1:6" ht="15.75" thickTop="1">
      <c r="A59" s="300" t="s">
        <v>168</v>
      </c>
      <c r="B59" s="301"/>
      <c r="C59" s="301"/>
      <c r="D59" s="302"/>
      <c r="E59" s="303"/>
      <c r="F59" s="301"/>
    </row>
    <row r="60" spans="1:6" ht="15.75" thickBot="1">
      <c r="A60" s="304" t="s">
        <v>169</v>
      </c>
      <c r="B60" s="305">
        <v>2104216</v>
      </c>
      <c r="C60" s="306">
        <f aca="true" t="shared" si="4" ref="C60:C80">+B60/$B$60</f>
        <v>1</v>
      </c>
      <c r="D60" s="305">
        <v>2041823</v>
      </c>
      <c r="E60" s="306">
        <f aca="true" t="shared" si="5" ref="E60:E80">+D60/$D$60</f>
        <v>1</v>
      </c>
      <c r="F60" s="306">
        <f aca="true" t="shared" si="6" ref="F60:F80">(D60-B60)/B60</f>
        <v>-0.029651423618107648</v>
      </c>
    </row>
    <row r="61" spans="1:6" ht="15.75" thickBot="1">
      <c r="A61" s="307" t="s">
        <v>45</v>
      </c>
      <c r="B61" s="308">
        <v>-1196310</v>
      </c>
      <c r="C61" s="309">
        <f t="shared" si="4"/>
        <v>-0.5685300368403243</v>
      </c>
      <c r="D61" s="310">
        <v>-1150561</v>
      </c>
      <c r="E61" s="311">
        <f t="shared" si="5"/>
        <v>-0.5634969338674312</v>
      </c>
      <c r="F61" s="309">
        <f t="shared" si="6"/>
        <v>-0.038241760078909316</v>
      </c>
    </row>
    <row r="62" spans="1:6" ht="15.75" thickBot="1">
      <c r="A62" s="312" t="s">
        <v>95</v>
      </c>
      <c r="B62" s="313">
        <f>SUM(B60:B61)</f>
        <v>907906</v>
      </c>
      <c r="C62" s="314">
        <f t="shared" si="4"/>
        <v>0.4314699631596756</v>
      </c>
      <c r="D62" s="315">
        <f>SUM(D60:D61)</f>
        <v>891262</v>
      </c>
      <c r="E62" s="316">
        <f t="shared" si="5"/>
        <v>0.4365030661325688</v>
      </c>
      <c r="F62" s="314">
        <f t="shared" si="6"/>
        <v>-0.01833229431240679</v>
      </c>
    </row>
    <row r="63" spans="1:6" ht="15.75" thickBot="1">
      <c r="A63" s="307" t="s">
        <v>170</v>
      </c>
      <c r="B63" s="308">
        <v>-97009</v>
      </c>
      <c r="C63" s="309">
        <f t="shared" si="4"/>
        <v>-0.046102206237382475</v>
      </c>
      <c r="D63" s="310">
        <v>-100251</v>
      </c>
      <c r="E63" s="311">
        <f t="shared" si="5"/>
        <v>-0.049098771049204556</v>
      </c>
      <c r="F63" s="309">
        <f t="shared" si="6"/>
        <v>0.03341957962663258</v>
      </c>
    </row>
    <row r="64" spans="1:6" ht="15.75" thickBot="1">
      <c r="A64" s="307" t="s">
        <v>171</v>
      </c>
      <c r="B64" s="308">
        <v>-547935</v>
      </c>
      <c r="C64" s="309">
        <f t="shared" si="4"/>
        <v>-0.2603986472871606</v>
      </c>
      <c r="D64" s="310">
        <v>-563544</v>
      </c>
      <c r="E64" s="311">
        <f t="shared" si="5"/>
        <v>-0.2760004172741712</v>
      </c>
      <c r="F64" s="309">
        <f t="shared" si="6"/>
        <v>0.028486955569547483</v>
      </c>
    </row>
    <row r="65" spans="1:6" ht="15.75" thickBot="1">
      <c r="A65" s="307" t="s">
        <v>172</v>
      </c>
      <c r="B65" s="308">
        <v>-34692</v>
      </c>
      <c r="C65" s="309">
        <f t="shared" si="4"/>
        <v>-0.016486900584350657</v>
      </c>
      <c r="D65" s="310">
        <v>-32942</v>
      </c>
      <c r="E65" s="311">
        <f t="shared" si="5"/>
        <v>-0.016133621768390307</v>
      </c>
      <c r="F65" s="309">
        <f t="shared" si="6"/>
        <v>-0.050443906376109765</v>
      </c>
    </row>
    <row r="66" spans="1:6" ht="15.75" thickBot="1">
      <c r="A66" s="307" t="s">
        <v>173</v>
      </c>
      <c r="B66" s="308">
        <v>3848</v>
      </c>
      <c r="C66" s="309">
        <f t="shared" si="4"/>
        <v>0.0018287096001551172</v>
      </c>
      <c r="D66" s="310">
        <v>2176</v>
      </c>
      <c r="E66" s="311">
        <f t="shared" si="5"/>
        <v>0.0010657143150997908</v>
      </c>
      <c r="F66" s="309">
        <f t="shared" si="6"/>
        <v>-0.43451143451143454</v>
      </c>
    </row>
    <row r="67" spans="1:6" ht="15.75" thickBot="1">
      <c r="A67" s="307" t="s">
        <v>174</v>
      </c>
      <c r="B67" s="308">
        <v>1169</v>
      </c>
      <c r="C67" s="309">
        <f t="shared" si="4"/>
        <v>0.0005555513312321549</v>
      </c>
      <c r="D67" s="310">
        <v>7084</v>
      </c>
      <c r="E67" s="311">
        <f t="shared" si="5"/>
        <v>0.0034694486250767083</v>
      </c>
      <c r="F67" s="309" t="s">
        <v>88</v>
      </c>
    </row>
    <row r="68" spans="1:6" ht="15.75" thickBot="1">
      <c r="A68" s="304" t="s">
        <v>175</v>
      </c>
      <c r="B68" s="305">
        <f>SUM(B62:B67)</f>
        <v>233287</v>
      </c>
      <c r="C68" s="306">
        <f t="shared" si="4"/>
        <v>0.11086646998216913</v>
      </c>
      <c r="D68" s="305">
        <f>SUM(D62:D67)</f>
        <v>203785</v>
      </c>
      <c r="E68" s="306">
        <f t="shared" si="5"/>
        <v>0.09980541898097925</v>
      </c>
      <c r="F68" s="306">
        <f t="shared" si="6"/>
        <v>-0.1264622546477086</v>
      </c>
    </row>
    <row r="69" spans="1:6" ht="15.75" thickBot="1">
      <c r="A69" s="307" t="s">
        <v>176</v>
      </c>
      <c r="B69" s="308">
        <v>2165</v>
      </c>
      <c r="C69" s="309">
        <f t="shared" si="4"/>
        <v>0.0010288867682785418</v>
      </c>
      <c r="D69" s="310">
        <v>2452</v>
      </c>
      <c r="E69" s="311">
        <f t="shared" si="5"/>
        <v>0.0012008876381547275</v>
      </c>
      <c r="F69" s="309">
        <f t="shared" si="6"/>
        <v>0.1325635103926097</v>
      </c>
    </row>
    <row r="70" spans="1:6" ht="15.75" thickBot="1">
      <c r="A70" s="307" t="s">
        <v>177</v>
      </c>
      <c r="B70" s="308">
        <v>-70846</v>
      </c>
      <c r="C70" s="309">
        <f t="shared" si="4"/>
        <v>-0.03366859676002844</v>
      </c>
      <c r="D70" s="310">
        <v>-82389</v>
      </c>
      <c r="E70" s="311">
        <f t="shared" si="5"/>
        <v>-0.0403507062071492</v>
      </c>
      <c r="F70" s="309">
        <f t="shared" si="6"/>
        <v>0.16293086412782656</v>
      </c>
    </row>
    <row r="71" spans="1:6" ht="15.75" thickBot="1">
      <c r="A71" s="307" t="s">
        <v>194</v>
      </c>
      <c r="B71" s="308">
        <v>50453</v>
      </c>
      <c r="C71" s="309">
        <f t="shared" si="4"/>
        <v>0.023977101210141925</v>
      </c>
      <c r="D71" s="310">
        <v>54235</v>
      </c>
      <c r="E71" s="311">
        <f t="shared" si="5"/>
        <v>0.026562047738711927</v>
      </c>
      <c r="F71" s="309">
        <f t="shared" si="6"/>
        <v>0.07496085465680931</v>
      </c>
    </row>
    <row r="72" spans="1:6" ht="15.75" thickBot="1">
      <c r="A72" s="307" t="s">
        <v>178</v>
      </c>
      <c r="B72" s="308">
        <v>-9738</v>
      </c>
      <c r="C72" s="309">
        <f t="shared" si="4"/>
        <v>-0.004627851893531843</v>
      </c>
      <c r="D72" s="310">
        <v>-3118</v>
      </c>
      <c r="E72" s="311">
        <f t="shared" si="5"/>
        <v>-0.001527066743787292</v>
      </c>
      <c r="F72" s="309">
        <f t="shared" si="6"/>
        <v>-0.6798110494968166</v>
      </c>
    </row>
    <row r="73" spans="1:6" ht="15.75" thickBot="1">
      <c r="A73" s="307" t="s">
        <v>179</v>
      </c>
      <c r="B73" s="308">
        <v>-11041</v>
      </c>
      <c r="C73" s="309">
        <f t="shared" si="4"/>
        <v>-0.005247084900029274</v>
      </c>
      <c r="D73" s="310">
        <v>0</v>
      </c>
      <c r="E73" s="311">
        <f t="shared" si="5"/>
        <v>0</v>
      </c>
      <c r="F73" s="309">
        <f t="shared" si="6"/>
        <v>-1</v>
      </c>
    </row>
    <row r="74" spans="1:6" ht="15.75" thickBot="1">
      <c r="A74" s="307" t="s">
        <v>180</v>
      </c>
      <c r="B74" s="317">
        <v>185</v>
      </c>
      <c r="C74" s="309">
        <f t="shared" si="4"/>
        <v>8.791873077668833E-05</v>
      </c>
      <c r="D74" s="318">
        <v>-1600</v>
      </c>
      <c r="E74" s="311">
        <f t="shared" si="5"/>
        <v>-0.0007836134669851403</v>
      </c>
      <c r="F74" s="309" t="s">
        <v>88</v>
      </c>
    </row>
    <row r="75" spans="1:6" ht="15.75" thickBot="1">
      <c r="A75" s="312" t="s">
        <v>182</v>
      </c>
      <c r="B75" s="313">
        <f>SUM(B68:B74)</f>
        <v>194465</v>
      </c>
      <c r="C75" s="314">
        <f t="shared" si="4"/>
        <v>0.09241684313777673</v>
      </c>
      <c r="D75" s="315">
        <f>SUM(D68:D74)</f>
        <v>173365</v>
      </c>
      <c r="E75" s="316">
        <f t="shared" si="5"/>
        <v>0.08490696793992428</v>
      </c>
      <c r="F75" s="314">
        <f t="shared" si="6"/>
        <v>-0.10850281541665595</v>
      </c>
    </row>
    <row r="76" spans="1:6" ht="15.75" thickBot="1">
      <c r="A76" s="307" t="s">
        <v>183</v>
      </c>
      <c r="B76" s="308">
        <v>-56024</v>
      </c>
      <c r="C76" s="309">
        <f t="shared" si="4"/>
        <v>-0.026624643097476686</v>
      </c>
      <c r="D76" s="310">
        <v>-40723</v>
      </c>
      <c r="E76" s="311">
        <f t="shared" si="5"/>
        <v>-0.019944432010022415</v>
      </c>
      <c r="F76" s="309">
        <f t="shared" si="6"/>
        <v>-0.2731150935313437</v>
      </c>
    </row>
    <row r="77" spans="1:6" ht="15.75" thickBot="1">
      <c r="A77" s="319" t="s">
        <v>184</v>
      </c>
      <c r="B77" s="320">
        <v>14256</v>
      </c>
      <c r="C77" s="321">
        <f t="shared" si="4"/>
        <v>0.006774969870013345</v>
      </c>
      <c r="D77" s="322">
        <v>8078</v>
      </c>
      <c r="E77" s="323">
        <f t="shared" si="5"/>
        <v>0.003956268491441227</v>
      </c>
      <c r="F77" s="321">
        <f t="shared" si="6"/>
        <v>-0.43336139169472504</v>
      </c>
    </row>
    <row r="78" spans="1:6" ht="15.75" thickBot="1">
      <c r="A78" s="312" t="s">
        <v>185</v>
      </c>
      <c r="B78" s="313">
        <f>SUM(B75:B77)</f>
        <v>152697</v>
      </c>
      <c r="C78" s="314">
        <f t="shared" si="4"/>
        <v>0.0725671699103134</v>
      </c>
      <c r="D78" s="315">
        <f>SUM(D75:D77)</f>
        <v>140720</v>
      </c>
      <c r="E78" s="316">
        <f t="shared" si="5"/>
        <v>0.06891880442134309</v>
      </c>
      <c r="F78" s="314">
        <f t="shared" si="6"/>
        <v>-0.07843638054447698</v>
      </c>
    </row>
    <row r="79" spans="1:6" ht="15.75" thickBot="1">
      <c r="A79" s="307" t="s">
        <v>186</v>
      </c>
      <c r="B79" s="317">
        <v>-164</v>
      </c>
      <c r="C79" s="309">
        <f t="shared" si="4"/>
        <v>-7.793876674257775E-05</v>
      </c>
      <c r="D79" s="318">
        <v>-892</v>
      </c>
      <c r="E79" s="311">
        <f t="shared" si="5"/>
        <v>-0.0004368645078442157</v>
      </c>
      <c r="F79" s="309" t="s">
        <v>88</v>
      </c>
    </row>
    <row r="80" spans="1:6" ht="15.75" thickBot="1">
      <c r="A80" s="304" t="s">
        <v>187</v>
      </c>
      <c r="B80" s="305">
        <f>SUM(B78:B79)</f>
        <v>152533</v>
      </c>
      <c r="C80" s="306">
        <f t="shared" si="4"/>
        <v>0.07248923114357081</v>
      </c>
      <c r="D80" s="305">
        <f>SUM(D78:D79)</f>
        <v>139828</v>
      </c>
      <c r="E80" s="306">
        <f t="shared" si="5"/>
        <v>0.06848193991349887</v>
      </c>
      <c r="F80" s="306">
        <f t="shared" si="6"/>
        <v>-0.08329345125317145</v>
      </c>
    </row>
    <row r="81" spans="1:6" ht="15">
      <c r="A81" s="204"/>
      <c r="B81" s="206"/>
      <c r="C81" s="207"/>
      <c r="D81" s="209"/>
      <c r="E81" s="207"/>
      <c r="F81" s="207"/>
    </row>
    <row r="82" spans="1:6" ht="15">
      <c r="A82" s="210" t="s">
        <v>188</v>
      </c>
      <c r="B82" s="212"/>
      <c r="C82" s="213"/>
      <c r="D82" s="215"/>
      <c r="E82" s="213"/>
      <c r="F82" s="213"/>
    </row>
    <row r="83" spans="1:6" ht="15.75" thickBot="1">
      <c r="A83" s="216" t="s">
        <v>189</v>
      </c>
      <c r="B83" s="188">
        <v>151672</v>
      </c>
      <c r="C83" s="309">
        <f>+B83/$B$60</f>
        <v>0.07208005261817228</v>
      </c>
      <c r="D83" s="324">
        <v>139150</v>
      </c>
      <c r="E83" s="325">
        <f>+D83/$D$60</f>
        <v>0.06814988370686391</v>
      </c>
      <c r="F83" s="309">
        <f>(D83-B83)/B83</f>
        <v>-0.08255973416319426</v>
      </c>
    </row>
    <row r="84" spans="1:6" ht="15.75" thickBot="1">
      <c r="A84" s="218" t="s">
        <v>96</v>
      </c>
      <c r="B84" s="219">
        <v>861</v>
      </c>
      <c r="C84" s="321">
        <f>+B84/$B$60</f>
        <v>0.0004091785253985332</v>
      </c>
      <c r="D84" s="326">
        <v>678</v>
      </c>
      <c r="E84" s="327">
        <f>+D84/$D$60</f>
        <v>0.0003320562066349532</v>
      </c>
      <c r="F84" s="321">
        <f>(D84-B84)/B84</f>
        <v>-0.21254355400696864</v>
      </c>
    </row>
    <row r="85" spans="1:6" ht="15.75" thickBot="1">
      <c r="A85" s="221" t="s">
        <v>187</v>
      </c>
      <c r="B85" s="192">
        <f>SUM(B83:B84)</f>
        <v>152533</v>
      </c>
      <c r="C85" s="314">
        <f>+B85/$B$60</f>
        <v>0.07248923114357081</v>
      </c>
      <c r="D85" s="328">
        <f>SUM(D83:D84)</f>
        <v>139828</v>
      </c>
      <c r="E85" s="329">
        <f>+D85/$D$60</f>
        <v>0.06848193991349887</v>
      </c>
      <c r="F85" s="314">
        <f>(D85-B85)/B85</f>
        <v>-0.08329345125317145</v>
      </c>
    </row>
    <row r="86" spans="1:6" ht="15.75" thickBot="1">
      <c r="A86" s="330" t="s">
        <v>94</v>
      </c>
      <c r="B86" s="331">
        <v>280995</v>
      </c>
      <c r="C86" s="306">
        <f>+B86/$B$60</f>
        <v>0.13353904732213803</v>
      </c>
      <c r="D86" s="332">
        <v>264549</v>
      </c>
      <c r="E86" s="333">
        <f>+D86/$D$60</f>
        <v>0.1295650994234074</v>
      </c>
      <c r="F86" s="306">
        <f>(D86-B86)/B86</f>
        <v>-0.05852773181017456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1">
      <pane xSplit="1" ySplit="10" topLeftCell="J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8" sqref="A38"/>
    </sheetView>
  </sheetViews>
  <sheetFormatPr defaultColWidth="11.421875" defaultRowHeight="12.75"/>
  <cols>
    <col min="1" max="1" width="45.57421875" style="1" bestFit="1" customWidth="1"/>
    <col min="2" max="4" width="10.421875" style="1" bestFit="1" customWidth="1"/>
    <col min="5" max="7" width="11.140625" style="1" bestFit="1" customWidth="1"/>
    <col min="8" max="10" width="11.140625" style="2" bestFit="1" customWidth="1"/>
    <col min="11" max="11" width="11.57421875" style="2" bestFit="1" customWidth="1"/>
    <col min="12" max="12" width="11.140625" style="3" bestFit="1" customWidth="1"/>
    <col min="13" max="13" width="10.28125" style="3" bestFit="1" customWidth="1"/>
    <col min="14" max="15" width="10.28125" style="3" customWidth="1"/>
    <col min="16" max="17" width="10.421875" style="4" bestFit="1" customWidth="1"/>
    <col min="18" max="18" width="10.28125" style="1" bestFit="1" customWidth="1"/>
    <col min="19" max="16384" width="11.421875" style="1" customWidth="1"/>
  </cols>
  <sheetData>
    <row r="1" ht="15"/>
    <row r="2" ht="15"/>
    <row r="3" ht="15"/>
    <row r="4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115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21" s="13" customFormat="1" ht="15">
      <c r="H9" s="9"/>
      <c r="I9" s="9"/>
      <c r="J9" s="9"/>
      <c r="K9" s="9"/>
      <c r="L9" s="10"/>
      <c r="M9" s="10"/>
      <c r="N9" s="10"/>
      <c r="O9" s="10"/>
      <c r="P9" s="11"/>
      <c r="Q9" s="11"/>
      <c r="R9" s="12"/>
      <c r="S9" s="12"/>
      <c r="T9" s="12"/>
      <c r="U9" s="12"/>
    </row>
    <row r="10" spans="1:21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50">
        <v>2011</v>
      </c>
      <c r="I10" s="50">
        <v>2012</v>
      </c>
      <c r="J10" s="41">
        <v>2012</v>
      </c>
      <c r="K10" s="15">
        <v>2013</v>
      </c>
      <c r="L10" s="51" t="s">
        <v>0</v>
      </c>
      <c r="P10" s="11"/>
      <c r="Q10" s="11"/>
      <c r="R10" s="52"/>
      <c r="S10" s="12"/>
      <c r="T10" s="12"/>
      <c r="U10" s="12"/>
    </row>
    <row r="11" spans="1:21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54">
        <v>193087</v>
      </c>
      <c r="I11" s="54">
        <v>291812</v>
      </c>
      <c r="J11" s="44">
        <v>291812</v>
      </c>
      <c r="K11" s="55">
        <v>415478</v>
      </c>
      <c r="L11" s="19">
        <f aca="true" t="shared" si="0" ref="L11:L16">+(K11-J11)/J11</f>
        <v>0.423786547503187</v>
      </c>
      <c r="P11" s="11"/>
      <c r="Q11" s="11"/>
      <c r="R11" s="56"/>
      <c r="S11" s="12"/>
      <c r="T11" s="12"/>
      <c r="U11" s="12"/>
    </row>
    <row r="12" spans="1:21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54">
        <v>329071</v>
      </c>
      <c r="I12" s="54">
        <v>330090</v>
      </c>
      <c r="J12" s="44">
        <v>330090</v>
      </c>
      <c r="K12" s="55">
        <v>357830</v>
      </c>
      <c r="L12" s="19">
        <f t="shared" si="0"/>
        <v>0.08403768669150838</v>
      </c>
      <c r="P12" s="57"/>
      <c r="Q12" s="11"/>
      <c r="R12" s="52"/>
      <c r="S12" s="12"/>
      <c r="T12" s="12"/>
      <c r="U12" s="12"/>
    </row>
    <row r="13" spans="1:21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54">
        <v>650631</v>
      </c>
      <c r="I13" s="54">
        <v>681860</v>
      </c>
      <c r="J13" s="44">
        <v>681860</v>
      </c>
      <c r="K13" s="55">
        <v>857299</v>
      </c>
      <c r="L13" s="19">
        <f t="shared" si="0"/>
        <v>0.2572947525885079</v>
      </c>
      <c r="P13" s="11"/>
      <c r="Q13" s="11"/>
      <c r="R13" s="52"/>
      <c r="S13" s="12"/>
      <c r="T13" s="12"/>
      <c r="U13" s="12"/>
    </row>
    <row r="14" spans="1:21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54">
        <v>601866</v>
      </c>
      <c r="I14" s="54">
        <v>555796</v>
      </c>
      <c r="J14" s="44">
        <v>555795</v>
      </c>
      <c r="K14" s="55">
        <v>725323</v>
      </c>
      <c r="L14" s="19">
        <f t="shared" si="0"/>
        <v>0.30501893683822273</v>
      </c>
      <c r="P14" s="11"/>
      <c r="Q14" s="11"/>
      <c r="R14" s="52"/>
      <c r="S14" s="12"/>
      <c r="T14" s="12"/>
      <c r="U14" s="12"/>
    </row>
    <row r="15" spans="1:21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54">
        <v>1009855</v>
      </c>
      <c r="I15" s="54">
        <v>1135785</v>
      </c>
      <c r="J15" s="44">
        <v>1135785</v>
      </c>
      <c r="K15" s="55">
        <v>1456074</v>
      </c>
      <c r="L15" s="19">
        <f t="shared" si="0"/>
        <v>0.28199791333747143</v>
      </c>
      <c r="P15" s="11"/>
      <c r="Q15" s="11"/>
      <c r="R15" s="52"/>
      <c r="S15" s="12"/>
      <c r="T15" s="12"/>
      <c r="U15" s="12"/>
    </row>
    <row r="16" spans="1:21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54">
        <v>900384</v>
      </c>
      <c r="I16" s="54">
        <v>1025441</v>
      </c>
      <c r="J16" s="44">
        <v>1025441</v>
      </c>
      <c r="K16" s="55">
        <v>2038332</v>
      </c>
      <c r="L16" s="19">
        <f t="shared" si="0"/>
        <v>0.9877613631598503</v>
      </c>
      <c r="P16" s="11"/>
      <c r="Q16" s="11"/>
      <c r="R16" s="52"/>
      <c r="S16" s="12"/>
      <c r="T16" s="12"/>
      <c r="U16" s="12"/>
    </row>
    <row r="17" spans="1:21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54">
        <v>130401</v>
      </c>
      <c r="I17" s="54">
        <v>57452</v>
      </c>
      <c r="J17" s="44">
        <v>57452</v>
      </c>
      <c r="K17" s="55">
        <v>101223</v>
      </c>
      <c r="L17" s="19">
        <f>+(K17-J17)/J17</f>
        <v>0.7618707790851493</v>
      </c>
      <c r="P17" s="11"/>
      <c r="Q17" s="11"/>
      <c r="R17" s="52"/>
      <c r="S17" s="12"/>
      <c r="T17" s="12"/>
      <c r="U17" s="12"/>
    </row>
    <row r="18" spans="1:21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54">
        <v>18323</v>
      </c>
      <c r="I18" s="54">
        <v>6913</v>
      </c>
      <c r="J18" s="44">
        <v>6913</v>
      </c>
      <c r="K18" s="55">
        <v>16502</v>
      </c>
      <c r="L18" s="19">
        <f>+(K18-J18)/J18</f>
        <v>1.3870967741935485</v>
      </c>
      <c r="P18" s="11"/>
      <c r="Q18" s="11"/>
      <c r="R18" s="52"/>
      <c r="S18" s="12"/>
      <c r="T18" s="12"/>
      <c r="U18" s="12"/>
    </row>
    <row r="19" spans="1:21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54">
        <v>4097551</v>
      </c>
      <c r="I19" s="54">
        <v>4866415</v>
      </c>
      <c r="J19" s="44">
        <v>4866415</v>
      </c>
      <c r="K19" s="55">
        <v>4612437</v>
      </c>
      <c r="L19" s="19">
        <f>+(K19-J19)/J19</f>
        <v>-0.0521899591382979</v>
      </c>
      <c r="P19" s="11"/>
      <c r="Q19" s="11"/>
      <c r="R19" s="52"/>
      <c r="S19" s="12"/>
      <c r="T19" s="12"/>
      <c r="U19" s="12"/>
    </row>
    <row r="20" spans="1:21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59">
        <f>SUM(H11:H19)</f>
        <v>7931169</v>
      </c>
      <c r="I20" s="59">
        <f>SUM(I11:I19)</f>
        <v>8951564</v>
      </c>
      <c r="J20" s="60">
        <f>SUM(J11:J19)</f>
        <v>8951563</v>
      </c>
      <c r="K20" s="61">
        <f>SUM(K11:K19)</f>
        <v>10580498</v>
      </c>
      <c r="L20" s="34">
        <f>+(K20-J20)/J20</f>
        <v>0.18197213157076592</v>
      </c>
      <c r="P20" s="11"/>
      <c r="Q20" s="11"/>
      <c r="R20" s="52"/>
      <c r="S20" s="12"/>
      <c r="T20" s="12"/>
      <c r="U20" s="12"/>
    </row>
    <row r="21" spans="1:21" s="13" customFormat="1" ht="15">
      <c r="A21" s="53"/>
      <c r="B21" s="9"/>
      <c r="C21" s="9"/>
      <c r="D21" s="9"/>
      <c r="E21" s="9"/>
      <c r="F21" s="9"/>
      <c r="G21" s="9"/>
      <c r="H21" s="54"/>
      <c r="I21" s="54"/>
      <c r="J21" s="44"/>
      <c r="K21" s="55"/>
      <c r="L21" s="19"/>
      <c r="P21" s="11"/>
      <c r="Q21" s="11"/>
      <c r="R21" s="52"/>
      <c r="S21" s="12"/>
      <c r="T21" s="12"/>
      <c r="U21" s="12"/>
    </row>
    <row r="22" spans="1:21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63">
        <v>2011</v>
      </c>
      <c r="I22" s="63">
        <v>2012</v>
      </c>
      <c r="J22" s="64">
        <v>2012</v>
      </c>
      <c r="K22" s="65">
        <v>2013</v>
      </c>
      <c r="L22" s="66" t="s">
        <v>0</v>
      </c>
      <c r="P22" s="11"/>
      <c r="Q22" s="11"/>
      <c r="R22" s="56"/>
      <c r="S22" s="12"/>
      <c r="T22" s="12"/>
      <c r="U22" s="12"/>
    </row>
    <row r="23" spans="1:21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54">
        <v>679598</v>
      </c>
      <c r="I23" s="54">
        <v>690354</v>
      </c>
      <c r="J23" s="44">
        <v>690354</v>
      </c>
      <c r="K23" s="55">
        <v>1996737</v>
      </c>
      <c r="L23" s="19">
        <f aca="true" t="shared" si="1" ref="L23:L34">+(K23-J23)/J23</f>
        <v>1.8923378440626113</v>
      </c>
      <c r="P23" s="11"/>
      <c r="Q23" s="11"/>
      <c r="R23" s="52"/>
      <c r="S23" s="12"/>
      <c r="T23" s="12"/>
      <c r="U23" s="12"/>
    </row>
    <row r="24" spans="1:21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54">
        <v>163168</v>
      </c>
      <c r="I24" s="54">
        <v>170648</v>
      </c>
      <c r="J24" s="44">
        <v>170648</v>
      </c>
      <c r="K24" s="55">
        <v>299136</v>
      </c>
      <c r="L24" s="19">
        <f t="shared" si="1"/>
        <v>0.7529417280015002</v>
      </c>
      <c r="P24" s="11"/>
      <c r="Q24" s="11"/>
      <c r="R24" s="56"/>
      <c r="S24" s="12"/>
      <c r="T24" s="12"/>
      <c r="U24" s="12"/>
    </row>
    <row r="25" spans="1:21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54">
        <v>217244</v>
      </c>
      <c r="I25" s="54">
        <v>259622</v>
      </c>
      <c r="J25" s="44">
        <v>259623</v>
      </c>
      <c r="K25" s="55">
        <v>339737</v>
      </c>
      <c r="L25" s="19">
        <f t="shared" si="1"/>
        <v>0.3085782076318354</v>
      </c>
      <c r="P25" s="11"/>
      <c r="Q25" s="11"/>
      <c r="R25" s="52"/>
      <c r="S25" s="12"/>
      <c r="T25" s="12"/>
      <c r="U25" s="12"/>
    </row>
    <row r="26" spans="1:21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54">
        <v>132822</v>
      </c>
      <c r="I26" s="54">
        <v>138203</v>
      </c>
      <c r="J26" s="44">
        <v>138203</v>
      </c>
      <c r="K26" s="55">
        <v>159523</v>
      </c>
      <c r="L26" s="19">
        <f t="shared" si="1"/>
        <v>0.15426582635688083</v>
      </c>
      <c r="P26" s="11"/>
      <c r="Q26" s="11"/>
      <c r="R26" s="52"/>
      <c r="S26" s="12"/>
      <c r="T26" s="12"/>
      <c r="U26" s="12"/>
    </row>
    <row r="27" spans="1:21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54">
        <v>96429</v>
      </c>
      <c r="I27" s="54">
        <v>109969</v>
      </c>
      <c r="J27" s="44">
        <v>109969</v>
      </c>
      <c r="K27" s="55">
        <v>138378</v>
      </c>
      <c r="L27" s="19">
        <f t="shared" si="1"/>
        <v>0.2583364402695305</v>
      </c>
      <c r="P27" s="11"/>
      <c r="Q27" s="11"/>
      <c r="R27" s="52"/>
      <c r="S27" s="12"/>
      <c r="T27" s="12"/>
      <c r="U27" s="12"/>
    </row>
    <row r="28" spans="1:21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54">
        <v>33608</v>
      </c>
      <c r="I28" s="54">
        <v>28288</v>
      </c>
      <c r="J28" s="44">
        <v>28288</v>
      </c>
      <c r="K28" s="55">
        <v>54184</v>
      </c>
      <c r="L28" s="19">
        <f t="shared" si="1"/>
        <v>0.9154411764705882</v>
      </c>
      <c r="P28" s="11"/>
      <c r="Q28" s="11"/>
      <c r="R28" s="52"/>
      <c r="S28" s="12"/>
      <c r="T28" s="12"/>
      <c r="U28" s="12"/>
    </row>
    <row r="29" spans="1:21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54">
        <v>112430</v>
      </c>
      <c r="I29" s="54">
        <v>125466</v>
      </c>
      <c r="J29" s="44">
        <v>125466</v>
      </c>
      <c r="K29" s="55">
        <v>159573</v>
      </c>
      <c r="L29" s="19">
        <f t="shared" si="1"/>
        <v>0.27184257089570085</v>
      </c>
      <c r="P29" s="11"/>
      <c r="Q29" s="11"/>
      <c r="R29" s="52"/>
      <c r="S29" s="12"/>
      <c r="T29" s="12"/>
      <c r="U29" s="12"/>
    </row>
    <row r="30" spans="1:21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54">
        <v>5031</v>
      </c>
      <c r="I30" s="54">
        <v>3762</v>
      </c>
      <c r="J30" s="44">
        <v>3761</v>
      </c>
      <c r="K30" s="55">
        <v>3159</v>
      </c>
      <c r="L30" s="19">
        <f t="shared" si="1"/>
        <v>-0.1600638128157405</v>
      </c>
      <c r="P30" s="11"/>
      <c r="Q30" s="11"/>
      <c r="R30" s="52"/>
      <c r="S30" s="12"/>
      <c r="T30" s="12"/>
      <c r="U30" s="12"/>
    </row>
    <row r="31" spans="1:21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68">
        <f>SUM(H23:H30)</f>
        <v>1440330</v>
      </c>
      <c r="I31" s="68">
        <f>SUM(I23:I30)</f>
        <v>1526312</v>
      </c>
      <c r="J31" s="42">
        <f>SUM(J23:J30)</f>
        <v>1526312</v>
      </c>
      <c r="K31" s="69">
        <f>SUM(K23:K30)</f>
        <v>3150427</v>
      </c>
      <c r="L31" s="19">
        <f t="shared" si="1"/>
        <v>1.0640779866763808</v>
      </c>
      <c r="P31" s="11"/>
      <c r="Q31" s="11"/>
      <c r="R31" s="52"/>
      <c r="S31" s="12"/>
      <c r="T31" s="12"/>
      <c r="U31" s="12"/>
    </row>
    <row r="32" spans="1:21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54">
        <v>16209</v>
      </c>
      <c r="I32" s="54">
        <v>16294</v>
      </c>
      <c r="J32" s="44">
        <v>16294</v>
      </c>
      <c r="K32" s="55">
        <v>19208</v>
      </c>
      <c r="L32" s="19">
        <f t="shared" si="1"/>
        <v>0.17883883638149012</v>
      </c>
      <c r="P32" s="11"/>
      <c r="Q32" s="11"/>
      <c r="R32" s="52"/>
      <c r="S32" s="12"/>
      <c r="T32" s="12"/>
      <c r="U32" s="12"/>
    </row>
    <row r="33" spans="1:21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71">
        <v>6474630</v>
      </c>
      <c r="I33" s="71">
        <v>7408958</v>
      </c>
      <c r="J33" s="72">
        <v>7408957</v>
      </c>
      <c r="K33" s="73">
        <v>7410863</v>
      </c>
      <c r="L33" s="33">
        <f t="shared" si="1"/>
        <v>0.00025725618329273606</v>
      </c>
      <c r="P33" s="11"/>
      <c r="Q33" s="11"/>
      <c r="R33" s="56"/>
      <c r="S33" s="12"/>
      <c r="T33" s="12"/>
      <c r="U33" s="12"/>
    </row>
    <row r="34" spans="1:21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59">
        <f>+H31+H32+H33</f>
        <v>7931169</v>
      </c>
      <c r="I34" s="59">
        <f>+I31+I32+I33</f>
        <v>8951564</v>
      </c>
      <c r="J34" s="60">
        <f>+J31+J32+J33</f>
        <v>8951563</v>
      </c>
      <c r="K34" s="61">
        <f>+K31+K32+K33</f>
        <v>10580498</v>
      </c>
      <c r="L34" s="34">
        <f t="shared" si="1"/>
        <v>0.18197213157076592</v>
      </c>
      <c r="P34" s="11"/>
      <c r="Q34" s="11"/>
      <c r="R34" s="56"/>
      <c r="S34" s="12"/>
      <c r="T34" s="12"/>
      <c r="U34" s="12"/>
    </row>
    <row r="35" spans="8:21" s="13" customFormat="1" ht="15">
      <c r="H35" s="9"/>
      <c r="I35" s="9"/>
      <c r="J35" s="9"/>
      <c r="K35" s="9"/>
      <c r="L35" s="10"/>
      <c r="M35" s="38"/>
      <c r="N35" s="38"/>
      <c r="O35" s="38"/>
      <c r="P35" s="11"/>
      <c r="Q35" s="11"/>
      <c r="R35" s="56"/>
      <c r="S35" s="12"/>
      <c r="T35" s="12"/>
      <c r="U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75" t="s">
        <v>116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15" t="s">
        <v>4</v>
      </c>
      <c r="K39" s="15" t="s">
        <v>5</v>
      </c>
      <c r="L39" s="15" t="s">
        <v>6</v>
      </c>
      <c r="M39" s="15" t="s">
        <v>7</v>
      </c>
      <c r="N39" s="15" t="s">
        <v>8</v>
      </c>
      <c r="O39" s="15" t="s">
        <v>10</v>
      </c>
      <c r="P39" s="51" t="s">
        <v>41</v>
      </c>
      <c r="Q39" s="15" t="s">
        <v>11</v>
      </c>
      <c r="R39" s="51" t="s">
        <v>41</v>
      </c>
      <c r="S39" s="76" t="s">
        <v>0</v>
      </c>
      <c r="T39" s="41" t="s">
        <v>42</v>
      </c>
      <c r="U39" s="77" t="s">
        <v>41</v>
      </c>
      <c r="V39" s="41" t="s">
        <v>43</v>
      </c>
      <c r="W39" s="77" t="s">
        <v>41</v>
      </c>
      <c r="X39" s="78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1">
        <v>1237546</v>
      </c>
      <c r="K40" s="81">
        <v>1242052</v>
      </c>
      <c r="L40" s="81">
        <v>1265469</v>
      </c>
      <c r="M40" s="81">
        <v>1370524</v>
      </c>
      <c r="N40" s="81">
        <v>1329904</v>
      </c>
      <c r="O40" s="81">
        <v>1472863</v>
      </c>
      <c r="P40" s="29">
        <v>1</v>
      </c>
      <c r="Q40" s="81">
        <v>1796994</v>
      </c>
      <c r="R40" s="29">
        <v>1</v>
      </c>
      <c r="S40" s="29">
        <f aca="true" t="shared" si="2" ref="S40:S56">IF(O40&lt;&gt;0,(Q40-O40)/O40,0)</f>
        <v>0.22006866898007485</v>
      </c>
      <c r="T40" s="82">
        <v>5305782</v>
      </c>
      <c r="U40" s="83">
        <v>1</v>
      </c>
      <c r="V40" s="82">
        <v>5898466</v>
      </c>
      <c r="W40" s="83">
        <v>1</v>
      </c>
      <c r="X40" s="84">
        <f aca="true" t="shared" si="3" ref="X40:X52">IF(T40&lt;&gt;0,(V40-T40)/T40,0)</f>
        <v>0.11170530564580301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7">
        <v>-724520</v>
      </c>
      <c r="K41" s="87">
        <v>-682801</v>
      </c>
      <c r="L41" s="87">
        <v>-728867</v>
      </c>
      <c r="M41" s="87">
        <v>-750580</v>
      </c>
      <c r="N41" s="87">
        <v>-749719</v>
      </c>
      <c r="O41" s="87">
        <v>-861354</v>
      </c>
      <c r="P41" s="19">
        <f>+O41/$O$40</f>
        <v>-0.584816103059144</v>
      </c>
      <c r="Q41" s="87">
        <v>-1003718</v>
      </c>
      <c r="R41" s="19">
        <f aca="true" t="shared" si="4" ref="R41:R59">+Q41/$Q$40</f>
        <v>-0.5585538961176275</v>
      </c>
      <c r="S41" s="19">
        <f t="shared" si="2"/>
        <v>0.1652793160535622</v>
      </c>
      <c r="T41" s="88">
        <v>-3064460</v>
      </c>
      <c r="U41" s="84">
        <f aca="true" t="shared" si="5" ref="U41:U59">+T41/$T$40</f>
        <v>-0.5775699039274512</v>
      </c>
      <c r="V41" s="88">
        <v>-3260968</v>
      </c>
      <c r="W41" s="84">
        <f aca="true" t="shared" si="6" ref="W41:W59">+V41/$V$40</f>
        <v>-0.5528501817252146</v>
      </c>
      <c r="X41" s="84">
        <f t="shared" si="3"/>
        <v>0.06412483765492126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N42">SUM(H40:H41)</f>
        <v>2027180.7720842743</v>
      </c>
      <c r="I42" s="8">
        <f t="shared" si="7"/>
        <v>2241322</v>
      </c>
      <c r="J42" s="28">
        <f t="shared" si="7"/>
        <v>513026</v>
      </c>
      <c r="K42" s="28">
        <f t="shared" si="7"/>
        <v>559251</v>
      </c>
      <c r="L42" s="28">
        <f t="shared" si="7"/>
        <v>536602</v>
      </c>
      <c r="M42" s="28">
        <f t="shared" si="7"/>
        <v>619944</v>
      </c>
      <c r="N42" s="28">
        <f t="shared" si="7"/>
        <v>580185</v>
      </c>
      <c r="O42" s="28">
        <f>SUM(O40:O41)</f>
        <v>611509</v>
      </c>
      <c r="P42" s="29">
        <f>+O42/$O$40</f>
        <v>0.415183896940856</v>
      </c>
      <c r="Q42" s="28">
        <f>SUM(Q40:Q41)</f>
        <v>793276</v>
      </c>
      <c r="R42" s="29">
        <f t="shared" si="4"/>
        <v>0.44144610388237243</v>
      </c>
      <c r="S42" s="29">
        <f t="shared" si="2"/>
        <v>0.2972433766305974</v>
      </c>
      <c r="T42" s="42">
        <f>SUM(T40:T41)</f>
        <v>2241322</v>
      </c>
      <c r="U42" s="84">
        <f t="shared" si="5"/>
        <v>0.4224300960725488</v>
      </c>
      <c r="V42" s="42">
        <f>SUM(V40:V41)</f>
        <v>2637498</v>
      </c>
      <c r="W42" s="84">
        <f t="shared" si="6"/>
        <v>0.44714981827478534</v>
      </c>
      <c r="X42" s="84">
        <f t="shared" si="3"/>
        <v>0.1767599657702017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18">
        <v>-59529</v>
      </c>
      <c r="K43" s="18">
        <v>-64873</v>
      </c>
      <c r="L43" s="18">
        <v>-62802</v>
      </c>
      <c r="M43" s="18">
        <v>-73939</v>
      </c>
      <c r="N43" s="18">
        <v>-70895</v>
      </c>
      <c r="O43" s="18">
        <v>-77077</v>
      </c>
      <c r="P43" s="19">
        <f>+O43/$O$40</f>
        <v>-0.05233141167915821</v>
      </c>
      <c r="Q43" s="18">
        <v>-105338</v>
      </c>
      <c r="R43" s="19">
        <f t="shared" si="4"/>
        <v>-0.05861900484920929</v>
      </c>
      <c r="S43" s="19">
        <f t="shared" si="2"/>
        <v>0.3666593147112628</v>
      </c>
      <c r="T43" s="44">
        <v>-270303</v>
      </c>
      <c r="U43" s="84">
        <f t="shared" si="5"/>
        <v>-0.05094498793957234</v>
      </c>
      <c r="V43" s="44">
        <v>-347578</v>
      </c>
      <c r="W43" s="84">
        <f t="shared" si="6"/>
        <v>-0.0589268464037938</v>
      </c>
      <c r="X43" s="84">
        <f t="shared" si="3"/>
        <v>0.28588287958328246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18">
        <v>-305689</v>
      </c>
      <c r="K44" s="18">
        <v>-325559</v>
      </c>
      <c r="L44" s="18">
        <v>-310054</v>
      </c>
      <c r="M44" s="18">
        <v>-355546</v>
      </c>
      <c r="N44" s="18">
        <v>-335753</v>
      </c>
      <c r="O44" s="18">
        <v>-375480</v>
      </c>
      <c r="P44" s="19">
        <f>+O44/$O$40</f>
        <v>-0.25493206089093146</v>
      </c>
      <c r="Q44" s="18">
        <v>-448571</v>
      </c>
      <c r="R44" s="19">
        <f t="shared" si="4"/>
        <v>-0.24962298149019974</v>
      </c>
      <c r="S44" s="19">
        <f t="shared" si="2"/>
        <v>0.19466016831788643</v>
      </c>
      <c r="T44" s="44">
        <v>-1326976</v>
      </c>
      <c r="U44" s="84">
        <f t="shared" si="5"/>
        <v>-0.250099985261362</v>
      </c>
      <c r="V44" s="44">
        <v>-1505166</v>
      </c>
      <c r="W44" s="84">
        <f t="shared" si="6"/>
        <v>-0.25517922795520054</v>
      </c>
      <c r="X44" s="84">
        <f t="shared" si="3"/>
        <v>0.13428276020063665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18">
        <v>-33091</v>
      </c>
      <c r="K45" s="18">
        <v>-27738</v>
      </c>
      <c r="L45" s="18">
        <v>-37645</v>
      </c>
      <c r="M45" s="18">
        <v>-33697</v>
      </c>
      <c r="N45" s="18">
        <v>-33984</v>
      </c>
      <c r="O45" s="18">
        <v>-18211</v>
      </c>
      <c r="P45" s="19">
        <f>+O45/$O$40</f>
        <v>-0.01236435432216031</v>
      </c>
      <c r="Q45" s="18">
        <v>-41010</v>
      </c>
      <c r="R45" s="19">
        <f t="shared" si="4"/>
        <v>-0.02282144514672837</v>
      </c>
      <c r="S45" s="19">
        <f t="shared" si="2"/>
        <v>1.2519356432925155</v>
      </c>
      <c r="T45" s="44">
        <v>-122931</v>
      </c>
      <c r="U45" s="84">
        <f t="shared" si="5"/>
        <v>-0.023169251959466106</v>
      </c>
      <c r="V45" s="44">
        <v>-134527</v>
      </c>
      <c r="W45" s="84">
        <f t="shared" si="6"/>
        <v>-0.022807116290913605</v>
      </c>
      <c r="X45" s="84">
        <f t="shared" si="3"/>
        <v>0.09432933922281606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8" ref="H46:N46">SUM(H43:H45)</f>
        <v>-1594685.7556710679</v>
      </c>
      <c r="I46" s="8">
        <f t="shared" si="8"/>
        <v>-1720210</v>
      </c>
      <c r="J46" s="28">
        <f t="shared" si="8"/>
        <v>-398309</v>
      </c>
      <c r="K46" s="28">
        <f t="shared" si="8"/>
        <v>-418170</v>
      </c>
      <c r="L46" s="28">
        <f t="shared" si="8"/>
        <v>-410501</v>
      </c>
      <c r="M46" s="28">
        <f t="shared" si="8"/>
        <v>-463182</v>
      </c>
      <c r="N46" s="28">
        <f t="shared" si="8"/>
        <v>-440632</v>
      </c>
      <c r="O46" s="28">
        <f>SUM(O43:O45)</f>
        <v>-470768</v>
      </c>
      <c r="P46" s="29">
        <f aca="true" t="shared" si="9" ref="P46:P57">+O46/$O$40</f>
        <v>-0.31962782689225</v>
      </c>
      <c r="Q46" s="28">
        <f>SUM(Q43:Q45)</f>
        <v>-594919</v>
      </c>
      <c r="R46" s="29">
        <f t="shared" si="4"/>
        <v>-0.3310634314861374</v>
      </c>
      <c r="S46" s="29">
        <f t="shared" si="2"/>
        <v>0.2637201339088468</v>
      </c>
      <c r="T46" s="42">
        <f>SUM(T43:T45)</f>
        <v>-1720210</v>
      </c>
      <c r="U46" s="84">
        <f t="shared" si="5"/>
        <v>-0.3242142251604005</v>
      </c>
      <c r="V46" s="42">
        <f>SUM(V43:V45)</f>
        <v>-1987271</v>
      </c>
      <c r="W46" s="84">
        <f t="shared" si="6"/>
        <v>-0.33691319064990793</v>
      </c>
      <c r="X46" s="84">
        <f t="shared" si="3"/>
        <v>0.15524906842769196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0" ref="H47:N47">+H42+H46</f>
        <v>432495.01641320647</v>
      </c>
      <c r="I47" s="8">
        <f t="shared" si="10"/>
        <v>521112</v>
      </c>
      <c r="J47" s="28">
        <f t="shared" si="10"/>
        <v>114717</v>
      </c>
      <c r="K47" s="28">
        <f t="shared" si="10"/>
        <v>141081</v>
      </c>
      <c r="L47" s="28">
        <f t="shared" si="10"/>
        <v>126101</v>
      </c>
      <c r="M47" s="28">
        <f t="shared" si="10"/>
        <v>156762</v>
      </c>
      <c r="N47" s="28">
        <f t="shared" si="10"/>
        <v>139553</v>
      </c>
      <c r="O47" s="28">
        <f>+O42+O46</f>
        <v>140741</v>
      </c>
      <c r="P47" s="29">
        <f t="shared" si="9"/>
        <v>0.09555607004860601</v>
      </c>
      <c r="Q47" s="28">
        <f>+Q42+Q46</f>
        <v>198357</v>
      </c>
      <c r="R47" s="29">
        <f t="shared" si="4"/>
        <v>0.11038267239623505</v>
      </c>
      <c r="S47" s="29">
        <f t="shared" si="2"/>
        <v>0.40937608799141684</v>
      </c>
      <c r="T47" s="42">
        <f>+T42+T46</f>
        <v>521112</v>
      </c>
      <c r="U47" s="84">
        <f t="shared" si="5"/>
        <v>0.0982158709121483</v>
      </c>
      <c r="V47" s="42">
        <f>+V42+V46</f>
        <v>650227</v>
      </c>
      <c r="W47" s="84">
        <f t="shared" si="6"/>
        <v>0.11023662762487739</v>
      </c>
      <c r="X47" s="84">
        <f t="shared" si="3"/>
        <v>0.24776823408403567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18">
        <v>2281</v>
      </c>
      <c r="K48" s="18">
        <v>2375</v>
      </c>
      <c r="L48" s="18">
        <v>2318</v>
      </c>
      <c r="M48" s="18">
        <v>2770</v>
      </c>
      <c r="N48" s="18">
        <v>3549</v>
      </c>
      <c r="O48" s="18">
        <v>4148</v>
      </c>
      <c r="P48" s="19">
        <f t="shared" si="9"/>
        <v>0.0028162836597837</v>
      </c>
      <c r="Q48" s="18">
        <v>3996</v>
      </c>
      <c r="R48" s="19">
        <f t="shared" si="4"/>
        <v>0.0022237136017148637</v>
      </c>
      <c r="S48" s="19">
        <f t="shared" si="2"/>
        <v>-0.03664416586306654</v>
      </c>
      <c r="T48" s="44">
        <v>12296</v>
      </c>
      <c r="U48" s="84">
        <f t="shared" si="5"/>
        <v>0.0023174717694771476</v>
      </c>
      <c r="V48" s="44">
        <v>12207</v>
      </c>
      <c r="W48" s="84">
        <f t="shared" si="6"/>
        <v>0.0020695211263403062</v>
      </c>
      <c r="X48" s="84">
        <f t="shared" si="3"/>
        <v>-0.007238126219908913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18">
        <v>-18188</v>
      </c>
      <c r="K49" s="18">
        <v>-16818</v>
      </c>
      <c r="L49" s="18">
        <v>-17611</v>
      </c>
      <c r="M49" s="18">
        <v>-17303</v>
      </c>
      <c r="N49" s="18">
        <v>-17493</v>
      </c>
      <c r="O49" s="18">
        <v>-17430</v>
      </c>
      <c r="P49" s="19">
        <f t="shared" si="9"/>
        <v>-0.011834094549187536</v>
      </c>
      <c r="Q49" s="18">
        <v>-39725</v>
      </c>
      <c r="R49" s="19">
        <f t="shared" si="4"/>
        <v>-0.02210636206909984</v>
      </c>
      <c r="S49" s="19">
        <f t="shared" si="2"/>
        <v>1.2791164658634537</v>
      </c>
      <c r="T49" s="44">
        <v>-70722</v>
      </c>
      <c r="U49" s="84">
        <f t="shared" si="5"/>
        <v>-0.013329232147117993</v>
      </c>
      <c r="V49" s="44">
        <v>-101111</v>
      </c>
      <c r="W49" s="84">
        <f t="shared" si="6"/>
        <v>-0.017141914524895118</v>
      </c>
      <c r="X49" s="84">
        <f t="shared" si="3"/>
        <v>0.4296965583552501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18">
        <v>-1259</v>
      </c>
      <c r="K50" s="18">
        <v>-1758</v>
      </c>
      <c r="L50" s="18">
        <v>13430</v>
      </c>
      <c r="M50" s="18">
        <v>4040</v>
      </c>
      <c r="N50" s="18">
        <v>-3185</v>
      </c>
      <c r="O50" s="18">
        <v>-7204</v>
      </c>
      <c r="P50" s="19">
        <f t="shared" si="9"/>
        <v>-0.004891154167088181</v>
      </c>
      <c r="Q50" s="18">
        <v>-4104</v>
      </c>
      <c r="R50" s="19">
        <f t="shared" si="4"/>
        <v>-0.002283813969328779</v>
      </c>
      <c r="S50" s="19">
        <f t="shared" si="2"/>
        <v>-0.4303164908384231</v>
      </c>
      <c r="T50" s="44">
        <v>1782</v>
      </c>
      <c r="U50" s="84">
        <f t="shared" si="5"/>
        <v>0.00033586001083346433</v>
      </c>
      <c r="V50" s="44">
        <v>8732</v>
      </c>
      <c r="W50" s="84">
        <f t="shared" si="6"/>
        <v>0.0014803849000740192</v>
      </c>
      <c r="X50" s="84">
        <f t="shared" si="3"/>
        <v>3.900112233445567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18">
        <v>-5552</v>
      </c>
      <c r="K51" s="18">
        <v>-7981</v>
      </c>
      <c r="L51" s="18">
        <v>-7455</v>
      </c>
      <c r="M51" s="18">
        <v>-15076</v>
      </c>
      <c r="N51" s="18">
        <v>2332</v>
      </c>
      <c r="O51" s="18">
        <v>-2858</v>
      </c>
      <c r="P51" s="19">
        <f t="shared" si="9"/>
        <v>-0.0019404384521846227</v>
      </c>
      <c r="Q51" s="18">
        <v>-28914</v>
      </c>
      <c r="R51" s="19">
        <f t="shared" si="4"/>
        <v>-0.016090203973969864</v>
      </c>
      <c r="S51" s="19">
        <f t="shared" si="2"/>
        <v>9.116864940517845</v>
      </c>
      <c r="T51" s="44">
        <v>-13533</v>
      </c>
      <c r="U51" s="84">
        <f t="shared" si="5"/>
        <v>-0.002550613651295888</v>
      </c>
      <c r="V51" s="44">
        <v>-54534</v>
      </c>
      <c r="W51" s="84">
        <f t="shared" si="6"/>
        <v>-0.009245454665670701</v>
      </c>
      <c r="X51" s="84">
        <f t="shared" si="3"/>
        <v>3.029705165151851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18">
        <v>8296</v>
      </c>
      <c r="K52" s="18">
        <v>8803</v>
      </c>
      <c r="L52" s="18">
        <v>9263</v>
      </c>
      <c r="M52" s="18">
        <v>9924</v>
      </c>
      <c r="N52" s="18">
        <v>8787</v>
      </c>
      <c r="O52" s="18">
        <v>8842</v>
      </c>
      <c r="P52" s="19">
        <f t="shared" si="9"/>
        <v>0.00600327389580701</v>
      </c>
      <c r="Q52" s="18">
        <v>9643</v>
      </c>
      <c r="R52" s="19">
        <f t="shared" si="4"/>
        <v>0.005366183749083191</v>
      </c>
      <c r="S52" s="19">
        <f t="shared" si="2"/>
        <v>0.09059036417100204</v>
      </c>
      <c r="T52" s="44">
        <v>35188</v>
      </c>
      <c r="U52" s="84">
        <f t="shared" si="5"/>
        <v>0.006632010135357993</v>
      </c>
      <c r="V52" s="44">
        <v>39510</v>
      </c>
      <c r="W52" s="84">
        <f t="shared" si="6"/>
        <v>0.0066983517409441706</v>
      </c>
      <c r="X52" s="84">
        <f t="shared" si="3"/>
        <v>0.12282596339661248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18">
        <v>-1</v>
      </c>
      <c r="K53" s="18">
        <v>0</v>
      </c>
      <c r="L53" s="18">
        <v>36</v>
      </c>
      <c r="M53" s="18">
        <v>107</v>
      </c>
      <c r="N53" s="18">
        <v>0</v>
      </c>
      <c r="O53" s="18">
        <v>-37</v>
      </c>
      <c r="P53" s="19">
        <f t="shared" si="9"/>
        <v>-2.512114161330687E-05</v>
      </c>
      <c r="Q53" s="18">
        <v>0</v>
      </c>
      <c r="R53" s="19">
        <f t="shared" si="4"/>
        <v>0</v>
      </c>
      <c r="S53" s="19">
        <f t="shared" si="2"/>
        <v>-1</v>
      </c>
      <c r="T53" s="44">
        <v>-2</v>
      </c>
      <c r="U53" s="84">
        <f t="shared" si="5"/>
        <v>-3.769472624393539E-07</v>
      </c>
      <c r="V53" s="44">
        <v>107</v>
      </c>
      <c r="W53" s="84">
        <f t="shared" si="6"/>
        <v>1.8140309700861208E-05</v>
      </c>
      <c r="X53" s="89" t="s">
        <v>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1" ref="H54:N54">SUM(H48:H53)</f>
        <v>-62927</v>
      </c>
      <c r="I54" s="8">
        <f t="shared" si="11"/>
        <v>-34992</v>
      </c>
      <c r="J54" s="28">
        <f t="shared" si="11"/>
        <v>-14423</v>
      </c>
      <c r="K54" s="28">
        <f t="shared" si="11"/>
        <v>-15379</v>
      </c>
      <c r="L54" s="28">
        <f t="shared" si="11"/>
        <v>-19</v>
      </c>
      <c r="M54" s="28">
        <f t="shared" si="11"/>
        <v>-15538</v>
      </c>
      <c r="N54" s="28">
        <f t="shared" si="11"/>
        <v>-6010</v>
      </c>
      <c r="O54" s="28">
        <f>SUM(O48:O53)</f>
        <v>-14539</v>
      </c>
      <c r="P54" s="29">
        <f t="shared" si="9"/>
        <v>-0.009871250754482936</v>
      </c>
      <c r="Q54" s="28">
        <f>SUM(Q48:Q53)</f>
        <v>-59104</v>
      </c>
      <c r="R54" s="29">
        <f t="shared" si="4"/>
        <v>-0.032890482661600426</v>
      </c>
      <c r="S54" s="29">
        <f t="shared" si="2"/>
        <v>3.0652039342458215</v>
      </c>
      <c r="T54" s="42">
        <f>SUM(T48:T53)</f>
        <v>-34991</v>
      </c>
      <c r="U54" s="84">
        <f t="shared" si="5"/>
        <v>-0.006594880830007716</v>
      </c>
      <c r="V54" s="42">
        <f>SUM(V48:V53)</f>
        <v>-95089</v>
      </c>
      <c r="W54" s="84">
        <f t="shared" si="6"/>
        <v>-0.016120971113506462</v>
      </c>
      <c r="X54" s="84">
        <f>IF(T54&lt;&gt;0,(V54-T54)/T54,0)</f>
        <v>1.7175273641793605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2" ref="H55:N55">+H47+H54</f>
        <v>369568.01641320647</v>
      </c>
      <c r="I55" s="8">
        <f t="shared" si="12"/>
        <v>486120</v>
      </c>
      <c r="J55" s="28">
        <f t="shared" si="12"/>
        <v>100294</v>
      </c>
      <c r="K55" s="28">
        <f t="shared" si="12"/>
        <v>125702</v>
      </c>
      <c r="L55" s="28">
        <f t="shared" si="12"/>
        <v>126082</v>
      </c>
      <c r="M55" s="28">
        <f t="shared" si="12"/>
        <v>141224</v>
      </c>
      <c r="N55" s="28">
        <f t="shared" si="12"/>
        <v>133543</v>
      </c>
      <c r="O55" s="28">
        <f>+O47+O54</f>
        <v>126202</v>
      </c>
      <c r="P55" s="29">
        <f t="shared" si="9"/>
        <v>0.08568481929412308</v>
      </c>
      <c r="Q55" s="28">
        <f>+Q47+Q54</f>
        <v>139253</v>
      </c>
      <c r="R55" s="29">
        <f t="shared" si="4"/>
        <v>0.07749218973463462</v>
      </c>
      <c r="S55" s="29">
        <f t="shared" si="2"/>
        <v>0.10341357506220186</v>
      </c>
      <c r="T55" s="42">
        <f>+T47+T54</f>
        <v>486121</v>
      </c>
      <c r="U55" s="84">
        <f t="shared" si="5"/>
        <v>0.09162099008214057</v>
      </c>
      <c r="V55" s="42">
        <f>+V47+V54</f>
        <v>555138</v>
      </c>
      <c r="W55" s="84">
        <f t="shared" si="6"/>
        <v>0.09411565651137092</v>
      </c>
      <c r="X55" s="84">
        <f>IF(T55&lt;&gt;0,(V55-T55)/T55,0)</f>
        <v>0.14197494039549824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18">
        <v>-39773</v>
      </c>
      <c r="K56" s="18">
        <v>-46692</v>
      </c>
      <c r="L56" s="18">
        <v>-37735</v>
      </c>
      <c r="M56" s="18">
        <v>-44055</v>
      </c>
      <c r="N56" s="18">
        <v>-39317</v>
      </c>
      <c r="O56" s="18">
        <v>-21632</v>
      </c>
      <c r="P56" s="19">
        <f t="shared" si="9"/>
        <v>-0.014687041496731196</v>
      </c>
      <c r="Q56" s="18">
        <v>-38830</v>
      </c>
      <c r="R56" s="19">
        <f t="shared" si="4"/>
        <v>-0.021608308096743783</v>
      </c>
      <c r="S56" s="19">
        <f t="shared" si="2"/>
        <v>0.7950258875739645</v>
      </c>
      <c r="T56" s="44">
        <v>-138457</v>
      </c>
      <c r="U56" s="84">
        <f t="shared" si="5"/>
        <v>-0.02609549355778281</v>
      </c>
      <c r="V56" s="44">
        <v>-174487</v>
      </c>
      <c r="W56" s="84">
        <f t="shared" si="6"/>
        <v>-0.0295817590539642</v>
      </c>
      <c r="X56" s="84">
        <f>IF(T56&lt;&gt;0,(V56-T56)/T56,0)</f>
        <v>0.2602251962703222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18">
        <v>-917</v>
      </c>
      <c r="K57" s="18">
        <v>276</v>
      </c>
      <c r="L57" s="18">
        <v>-863</v>
      </c>
      <c r="M57" s="18">
        <v>-50</v>
      </c>
      <c r="N57" s="18">
        <v>-209</v>
      </c>
      <c r="O57" s="18">
        <v>-168</v>
      </c>
      <c r="P57" s="19">
        <f t="shared" si="9"/>
        <v>-0.00011406356191987986</v>
      </c>
      <c r="Q57" s="18">
        <v>-343</v>
      </c>
      <c r="R57" s="19">
        <f t="shared" si="4"/>
        <v>-0.00019087431566271228</v>
      </c>
      <c r="S57" s="19">
        <f>IF(O57&lt;&gt;0,(Q57-O57)/O57,0)</f>
        <v>1.0416666666666667</v>
      </c>
      <c r="T57" s="44">
        <v>-2157</v>
      </c>
      <c r="U57" s="90">
        <f t="shared" si="5"/>
        <v>-0.0004065376225408432</v>
      </c>
      <c r="V57" s="44">
        <v>-416</v>
      </c>
      <c r="W57" s="90">
        <f t="shared" si="6"/>
        <v>-7.052681154727348E-05</v>
      </c>
      <c r="X57" s="84">
        <f>IF(T57&lt;&gt;0,(V57-T57)/T57,0)</f>
        <v>-0.8071395456652758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3" ref="H58:M58">+H55+H56+H57</f>
        <v>253511.3458988165</v>
      </c>
      <c r="I58" s="92">
        <f t="shared" si="13"/>
        <v>345507</v>
      </c>
      <c r="J58" s="93">
        <f t="shared" si="13"/>
        <v>59604</v>
      </c>
      <c r="K58" s="93">
        <f t="shared" si="13"/>
        <v>79286</v>
      </c>
      <c r="L58" s="93">
        <f t="shared" si="13"/>
        <v>87484</v>
      </c>
      <c r="M58" s="93">
        <f t="shared" si="13"/>
        <v>97119</v>
      </c>
      <c r="N58" s="93">
        <v>94017</v>
      </c>
      <c r="O58" s="93">
        <f>+O55+O56+O57</f>
        <v>104402</v>
      </c>
      <c r="P58" s="94">
        <f>+O58/$O$40</f>
        <v>0.070883714235472</v>
      </c>
      <c r="Q58" s="93">
        <f>+Q55+Q56+Q57</f>
        <v>100080</v>
      </c>
      <c r="R58" s="94">
        <f t="shared" si="4"/>
        <v>0.05569300732222812</v>
      </c>
      <c r="S58" s="94">
        <f>IF(O58&lt;&gt;0,(Q58-O58)/O58,0)</f>
        <v>-0.04139767437405414</v>
      </c>
      <c r="T58" s="95">
        <f>+T55+T56+T57</f>
        <v>345507</v>
      </c>
      <c r="U58" s="90">
        <f t="shared" si="5"/>
        <v>0.06511895890181692</v>
      </c>
      <c r="V58" s="95">
        <f>+V55+V56+V57</f>
        <v>380235</v>
      </c>
      <c r="W58" s="90">
        <f t="shared" si="6"/>
        <v>0.06446337064585946</v>
      </c>
      <c r="X58" s="96">
        <f>+(V58-T58)/T58</f>
        <v>0.10051315892297406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3">
        <v>150246</v>
      </c>
      <c r="K59" s="23">
        <v>179705</v>
      </c>
      <c r="L59" s="23">
        <v>161808</v>
      </c>
      <c r="M59" s="23">
        <v>196119</v>
      </c>
      <c r="N59" s="23">
        <v>176006</v>
      </c>
      <c r="O59" s="23">
        <v>183035</v>
      </c>
      <c r="P59" s="97">
        <f>+O59/$O$40</f>
        <v>0.12427157176193576</v>
      </c>
      <c r="Q59" s="23">
        <v>257673</v>
      </c>
      <c r="R59" s="97">
        <f t="shared" si="4"/>
        <v>0.14339112985352204</v>
      </c>
      <c r="S59" s="97">
        <f>IF(O59&lt;&gt;0,(Q59-O59)/O59,0)</f>
        <v>0.40777993279973773</v>
      </c>
      <c r="T59" s="60">
        <v>671095</v>
      </c>
      <c r="U59" s="98">
        <f t="shared" si="5"/>
        <v>0.1264837115433691</v>
      </c>
      <c r="V59" s="60">
        <v>832827</v>
      </c>
      <c r="W59" s="98">
        <f t="shared" si="6"/>
        <v>0.1411938290396181</v>
      </c>
      <c r="X59" s="99">
        <f>+(V59-T59)/T59</f>
        <v>0.24099717625671477</v>
      </c>
    </row>
    <row r="60" spans="1:17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"/>
      <c r="O60" s="10"/>
      <c r="P60" s="100"/>
      <c r="Q60" s="100"/>
    </row>
    <row r="61" spans="1:17" s="13" customFormat="1" ht="15">
      <c r="A61" s="101" t="s">
        <v>63</v>
      </c>
      <c r="H61" s="86"/>
      <c r="I61" s="86"/>
      <c r="J61" s="86"/>
      <c r="K61" s="86"/>
      <c r="L61" s="86"/>
      <c r="M61" s="10"/>
      <c r="N61" s="10"/>
      <c r="O61" s="10"/>
      <c r="P61" s="100"/>
      <c r="Q61" s="100"/>
    </row>
    <row r="62" spans="8:17" s="13" customFormat="1" ht="15">
      <c r="H62" s="9"/>
      <c r="I62" s="9"/>
      <c r="J62" s="9"/>
      <c r="K62" s="9"/>
      <c r="L62" s="86"/>
      <c r="M62" s="10"/>
      <c r="N62" s="10"/>
      <c r="O62" s="10"/>
      <c r="P62" s="100"/>
      <c r="Q62" s="100"/>
    </row>
    <row r="63" spans="8:17" s="13" customFormat="1" ht="15">
      <c r="H63" s="9"/>
      <c r="I63" s="9"/>
      <c r="J63" s="9"/>
      <c r="K63" s="9"/>
      <c r="L63" s="10"/>
      <c r="M63" s="10"/>
      <c r="N63" s="10"/>
      <c r="O63" s="10"/>
      <c r="P63" s="100"/>
      <c r="Q63" s="100"/>
    </row>
    <row r="64" spans="8:18" s="13" customFormat="1" ht="15">
      <c r="H64" s="9"/>
      <c r="I64" s="9"/>
      <c r="J64" s="9"/>
      <c r="K64" s="9"/>
      <c r="L64" s="20"/>
      <c r="M64" s="10"/>
      <c r="N64" s="10"/>
      <c r="O64" s="10"/>
      <c r="P64" s="100"/>
      <c r="Q64" s="100"/>
      <c r="R64" s="102"/>
    </row>
    <row r="65" spans="13:15" ht="15">
      <c r="M65" s="103"/>
      <c r="N65" s="103"/>
      <c r="O65" s="103"/>
    </row>
    <row r="82" spans="13:15" ht="15">
      <c r="M82" s="103"/>
      <c r="N82" s="103"/>
      <c r="O82" s="10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A1">
      <selection activeCell="A54" sqref="A54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9" width="11.421875" style="143" customWidth="1"/>
    <col min="10" max="10" width="12.140625" style="143" bestFit="1" customWidth="1"/>
    <col min="11" max="11" width="11.421875" style="143" customWidth="1"/>
    <col min="12" max="12" width="12.140625" style="143" bestFit="1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6384" width="11.421875" style="143" customWidth="1"/>
  </cols>
  <sheetData>
    <row r="1" spans="1:5" ht="18.75">
      <c r="A1" s="142" t="s">
        <v>196</v>
      </c>
      <c r="B1" s="351"/>
      <c r="C1" s="351"/>
      <c r="D1" s="351"/>
      <c r="E1" s="351"/>
    </row>
    <row r="2" spans="1:5" ht="15">
      <c r="A2" s="335" t="s">
        <v>231</v>
      </c>
      <c r="B2" s="351"/>
      <c r="C2" s="351"/>
      <c r="D2" s="351"/>
      <c r="E2" s="351"/>
    </row>
    <row r="3" spans="1:5" ht="15">
      <c r="A3" s="335" t="s">
        <v>131</v>
      </c>
      <c r="B3" s="351"/>
      <c r="C3" s="351"/>
      <c r="D3" s="351"/>
      <c r="E3" s="351"/>
    </row>
    <row r="4" spans="1:5" ht="15">
      <c r="A4" s="146" t="s">
        <v>132</v>
      </c>
      <c r="B4" s="351"/>
      <c r="C4" s="351"/>
      <c r="D4" s="351"/>
      <c r="E4" s="351"/>
    </row>
    <row r="5" spans="2:5" ht="15.75" thickBot="1">
      <c r="B5" s="351"/>
      <c r="C5" s="351"/>
      <c r="D5" s="351"/>
      <c r="E5" s="351"/>
    </row>
    <row r="6" spans="1:7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220</v>
      </c>
      <c r="F6" s="336" t="s">
        <v>221</v>
      </c>
      <c r="G6" s="273" t="s">
        <v>92</v>
      </c>
    </row>
    <row r="7" spans="1:7" ht="15.75" thickTop="1">
      <c r="A7" s="274" t="s">
        <v>16</v>
      </c>
      <c r="B7" s="275"/>
      <c r="C7" s="276"/>
      <c r="D7" s="276"/>
      <c r="E7" s="275"/>
      <c r="F7" s="276"/>
      <c r="G7" s="276"/>
    </row>
    <row r="8" spans="1:7" ht="15">
      <c r="A8" s="277" t="s">
        <v>133</v>
      </c>
      <c r="B8" s="278"/>
      <c r="C8" s="279"/>
      <c r="D8" s="280"/>
      <c r="E8" s="278"/>
      <c r="F8" s="279"/>
      <c r="G8" s="280"/>
    </row>
    <row r="9" spans="1:7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</row>
    <row r="10" spans="1:7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</row>
    <row r="11" spans="1:7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</row>
    <row r="12" spans="1:7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</row>
    <row r="13" spans="1:7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</row>
    <row r="14" spans="1:7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  <c r="E14" s="162">
        <v>100330</v>
      </c>
      <c r="F14" s="283">
        <v>35803</v>
      </c>
      <c r="G14" s="282">
        <f t="shared" si="1"/>
        <v>-0.6431476128775042</v>
      </c>
    </row>
    <row r="15" spans="1:7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  <c r="E15" s="165">
        <f>SUM(E9:E14)</f>
        <v>2559775</v>
      </c>
      <c r="F15" s="284">
        <f>SUM(F9:F14)</f>
        <v>2642128</v>
      </c>
      <c r="G15" s="282">
        <f t="shared" si="1"/>
        <v>0.03217196823939604</v>
      </c>
    </row>
    <row r="16" spans="1:7" ht="15">
      <c r="A16" s="277" t="s">
        <v>139</v>
      </c>
      <c r="B16" s="278"/>
      <c r="C16" s="279"/>
      <c r="D16" s="280"/>
      <c r="E16" s="278"/>
      <c r="F16" s="279"/>
      <c r="G16" s="280"/>
    </row>
    <row r="17" spans="1:7" ht="15.75" thickBot="1">
      <c r="A17" s="155" t="s">
        <v>135</v>
      </c>
      <c r="B17" s="157">
        <v>23495</v>
      </c>
      <c r="C17" s="281">
        <v>21943</v>
      </c>
      <c r="D17" s="282">
        <f aca="true" t="shared" si="2" ref="D17:D28">(C17-B17)/B17</f>
        <v>-0.06605660778889125</v>
      </c>
      <c r="E17" s="157">
        <v>23495</v>
      </c>
      <c r="F17" s="281">
        <v>23944</v>
      </c>
      <c r="G17" s="282">
        <f aca="true" t="shared" si="3" ref="G17:G28">(F17-E17)/E17</f>
        <v>0.019110449031708873</v>
      </c>
    </row>
    <row r="18" spans="1:7" ht="15.75" thickBot="1">
      <c r="A18" s="155" t="s">
        <v>136</v>
      </c>
      <c r="B18" s="157">
        <v>7433</v>
      </c>
      <c r="C18" s="281">
        <v>8040</v>
      </c>
      <c r="D18" s="282">
        <f t="shared" si="2"/>
        <v>0.08166285483653976</v>
      </c>
      <c r="E18" s="157">
        <v>7433</v>
      </c>
      <c r="F18" s="281">
        <v>8563</v>
      </c>
      <c r="G18" s="282">
        <f t="shared" si="3"/>
        <v>0.15202475447329478</v>
      </c>
    </row>
    <row r="19" spans="1:7" ht="15.75" thickBot="1">
      <c r="A19" s="155" t="s">
        <v>141</v>
      </c>
      <c r="B19" s="157">
        <v>164510</v>
      </c>
      <c r="C19" s="281">
        <v>162693</v>
      </c>
      <c r="D19" s="282">
        <f t="shared" si="2"/>
        <v>-0.01104492128138107</v>
      </c>
      <c r="E19" s="157">
        <v>164510</v>
      </c>
      <c r="F19" s="281">
        <v>175634</v>
      </c>
      <c r="G19" s="282">
        <f t="shared" si="3"/>
        <v>0.06761898972706826</v>
      </c>
    </row>
    <row r="20" spans="1:7" ht="15.75" thickBot="1">
      <c r="A20" s="155" t="s">
        <v>142</v>
      </c>
      <c r="B20" s="157">
        <v>3885206</v>
      </c>
      <c r="C20" s="281">
        <v>4010528</v>
      </c>
      <c r="D20" s="282">
        <f t="shared" si="2"/>
        <v>0.03225620469030471</v>
      </c>
      <c r="E20" s="157">
        <v>3885206</v>
      </c>
      <c r="F20" s="281">
        <v>4081768</v>
      </c>
      <c r="G20" s="282">
        <f t="shared" si="3"/>
        <v>0.0505924267593533</v>
      </c>
    </row>
    <row r="21" spans="1:7" ht="15.75" thickBot="1">
      <c r="A21" s="155" t="s">
        <v>143</v>
      </c>
      <c r="B21" s="157">
        <v>3383513</v>
      </c>
      <c r="C21" s="281">
        <v>3334995</v>
      </c>
      <c r="D21" s="282">
        <f t="shared" si="2"/>
        <v>-0.014339534087795732</v>
      </c>
      <c r="E21" s="157">
        <v>3383513</v>
      </c>
      <c r="F21" s="281">
        <v>3377048</v>
      </c>
      <c r="G21" s="282">
        <f t="shared" si="3"/>
        <v>-0.0019107359717548003</v>
      </c>
    </row>
    <row r="22" spans="1:7" ht="15.75" thickBot="1">
      <c r="A22" s="155" t="s">
        <v>144</v>
      </c>
      <c r="B22" s="157">
        <v>71842</v>
      </c>
      <c r="C22" s="281">
        <v>71797</v>
      </c>
      <c r="D22" s="282">
        <f t="shared" si="2"/>
        <v>-0.0006263745441385262</v>
      </c>
      <c r="E22" s="157">
        <v>71842</v>
      </c>
      <c r="F22" s="281">
        <v>71751</v>
      </c>
      <c r="G22" s="282">
        <f t="shared" si="3"/>
        <v>-0.0012666685225912419</v>
      </c>
    </row>
    <row r="23" spans="1:7" ht="15.75" thickBot="1">
      <c r="A23" s="155" t="s">
        <v>145</v>
      </c>
      <c r="B23" s="157">
        <v>2034454</v>
      </c>
      <c r="C23" s="281">
        <v>2003664</v>
      </c>
      <c r="D23" s="282">
        <f t="shared" si="2"/>
        <v>-0.015134281728660368</v>
      </c>
      <c r="E23" s="157">
        <v>2034454</v>
      </c>
      <c r="F23" s="281">
        <v>2059277</v>
      </c>
      <c r="G23" s="282">
        <f t="shared" si="3"/>
        <v>0.012201308065947915</v>
      </c>
    </row>
    <row r="24" spans="1:7" ht="15.75" thickBot="1">
      <c r="A24" s="155" t="s">
        <v>146</v>
      </c>
      <c r="B24" s="157">
        <v>1163671</v>
      </c>
      <c r="C24" s="281">
        <v>1143667</v>
      </c>
      <c r="D24" s="282">
        <f t="shared" si="2"/>
        <v>-0.017190425816231564</v>
      </c>
      <c r="E24" s="157">
        <v>1163671</v>
      </c>
      <c r="F24" s="281">
        <v>1162725</v>
      </c>
      <c r="G24" s="282">
        <f t="shared" si="3"/>
        <v>-0.0008129445521973135</v>
      </c>
    </row>
    <row r="25" spans="1:7" ht="15.75" thickBot="1">
      <c r="A25" s="155" t="s">
        <v>147</v>
      </c>
      <c r="B25" s="157">
        <v>356994</v>
      </c>
      <c r="C25" s="281">
        <v>355573</v>
      </c>
      <c r="D25" s="282">
        <f t="shared" si="2"/>
        <v>-0.003980459055334264</v>
      </c>
      <c r="E25" s="157">
        <v>356994</v>
      </c>
      <c r="F25" s="281">
        <v>374942</v>
      </c>
      <c r="G25" s="282">
        <f t="shared" si="3"/>
        <v>0.05027535476786725</v>
      </c>
    </row>
    <row r="26" spans="1:7" ht="15.75" thickBot="1">
      <c r="A26" s="160" t="s">
        <v>222</v>
      </c>
      <c r="B26" s="162">
        <v>48661</v>
      </c>
      <c r="C26" s="283">
        <v>49430</v>
      </c>
      <c r="D26" s="285">
        <f t="shared" si="2"/>
        <v>0.015803209962803887</v>
      </c>
      <c r="E26" s="162">
        <v>48661</v>
      </c>
      <c r="F26" s="283">
        <v>95978</v>
      </c>
      <c r="G26" s="285">
        <f t="shared" si="3"/>
        <v>0.9723803456566861</v>
      </c>
    </row>
    <row r="27" spans="1:7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2"/>
        <v>0.0020243669106900595</v>
      </c>
      <c r="E27" s="165">
        <f>SUM(E17:E26)</f>
        <v>11139779</v>
      </c>
      <c r="F27" s="284">
        <f>SUM(F17:F26)</f>
        <v>11431630</v>
      </c>
      <c r="G27" s="286">
        <f t="shared" si="3"/>
        <v>0.026198993714327726</v>
      </c>
    </row>
    <row r="28" spans="1:7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2"/>
        <v>0.009966674827516283</v>
      </c>
      <c r="E28" s="288">
        <f>+E15+E27</f>
        <v>13699554</v>
      </c>
      <c r="F28" s="289">
        <f>+F15+F27</f>
        <v>14073758</v>
      </c>
      <c r="G28" s="290">
        <f t="shared" si="3"/>
        <v>0.027315049818410146</v>
      </c>
    </row>
    <row r="29" spans="1:7" ht="15">
      <c r="A29" s="274" t="s">
        <v>93</v>
      </c>
      <c r="B29" s="275"/>
      <c r="C29" s="276"/>
      <c r="D29" s="276"/>
      <c r="E29" s="275"/>
      <c r="F29" s="276"/>
      <c r="G29" s="276"/>
    </row>
    <row r="30" spans="1:7" ht="15">
      <c r="A30" s="277" t="s">
        <v>150</v>
      </c>
      <c r="B30" s="278"/>
      <c r="C30" s="279"/>
      <c r="D30" s="280"/>
      <c r="E30" s="278"/>
      <c r="F30" s="279"/>
      <c r="G30" s="280"/>
    </row>
    <row r="31" spans="1:7" ht="15.75" thickBot="1">
      <c r="A31" s="155" t="s">
        <v>151</v>
      </c>
      <c r="B31" s="157">
        <v>847689</v>
      </c>
      <c r="C31" s="281">
        <v>766418</v>
      </c>
      <c r="D31" s="282">
        <f aca="true" t="shared" si="4" ref="D31:D37">(C31-B31)/B31</f>
        <v>-0.09587360458847526</v>
      </c>
      <c r="E31" s="157">
        <v>847689</v>
      </c>
      <c r="F31" s="281">
        <v>656202</v>
      </c>
      <c r="G31" s="282">
        <f aca="true" t="shared" si="5" ref="G31:G37">(F31-E31)/E31</f>
        <v>-0.22589298669677205</v>
      </c>
    </row>
    <row r="32" spans="1:7" ht="15.75" thickBot="1">
      <c r="A32" s="155" t="s">
        <v>152</v>
      </c>
      <c r="B32" s="157">
        <v>888840</v>
      </c>
      <c r="C32" s="281">
        <v>950671</v>
      </c>
      <c r="D32" s="282">
        <f t="shared" si="4"/>
        <v>0.06956370100355519</v>
      </c>
      <c r="E32" s="157">
        <v>888840</v>
      </c>
      <c r="F32" s="281">
        <v>930722</v>
      </c>
      <c r="G32" s="282">
        <f t="shared" si="5"/>
        <v>0.04711984159128752</v>
      </c>
    </row>
    <row r="33" spans="1:7" ht="15.75" thickBot="1">
      <c r="A33" s="155" t="s">
        <v>153</v>
      </c>
      <c r="B33" s="157">
        <v>163362</v>
      </c>
      <c r="C33" s="281">
        <v>156179</v>
      </c>
      <c r="D33" s="282">
        <f t="shared" si="4"/>
        <v>-0.04396983386589293</v>
      </c>
      <c r="E33" s="157">
        <v>163362</v>
      </c>
      <c r="F33" s="281">
        <v>200054</v>
      </c>
      <c r="G33" s="282">
        <f t="shared" si="5"/>
        <v>0.22460547740600628</v>
      </c>
    </row>
    <row r="34" spans="1:7" ht="15.75" thickBot="1">
      <c r="A34" s="155" t="s">
        <v>154</v>
      </c>
      <c r="B34" s="157">
        <v>161592</v>
      </c>
      <c r="C34" s="281">
        <v>153375</v>
      </c>
      <c r="D34" s="282">
        <f t="shared" si="4"/>
        <v>-0.050850289618297934</v>
      </c>
      <c r="E34" s="157">
        <v>161592</v>
      </c>
      <c r="F34" s="281">
        <v>151445</v>
      </c>
      <c r="G34" s="282">
        <f t="shared" si="5"/>
        <v>-0.06279395019555424</v>
      </c>
    </row>
    <row r="35" spans="1:7" ht="15.75" thickBot="1">
      <c r="A35" s="155" t="s">
        <v>155</v>
      </c>
      <c r="B35" s="157">
        <v>2734</v>
      </c>
      <c r="C35" s="281">
        <v>1360</v>
      </c>
      <c r="D35" s="282">
        <f t="shared" si="4"/>
        <v>-0.5025603511338698</v>
      </c>
      <c r="E35" s="157">
        <v>2734</v>
      </c>
      <c r="F35" s="281">
        <v>1139</v>
      </c>
      <c r="G35" s="282">
        <f t="shared" si="5"/>
        <v>-0.583394294074616</v>
      </c>
    </row>
    <row r="36" spans="1:7" ht="15.75" thickBot="1">
      <c r="A36" s="160" t="s">
        <v>223</v>
      </c>
      <c r="B36" s="162">
        <v>49746</v>
      </c>
      <c r="C36" s="283">
        <v>49399</v>
      </c>
      <c r="D36" s="285">
        <f t="shared" si="4"/>
        <v>-0.006975435210871226</v>
      </c>
      <c r="E36" s="162">
        <v>49746</v>
      </c>
      <c r="F36" s="283">
        <v>43019</v>
      </c>
      <c r="G36" s="285">
        <f t="shared" si="5"/>
        <v>-0.13522695292083786</v>
      </c>
    </row>
    <row r="37" spans="1:7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4"/>
        <v>-0.017295004690242925</v>
      </c>
      <c r="E37" s="165">
        <f>SUM(E31:E36)</f>
        <v>2113963</v>
      </c>
      <c r="F37" s="284">
        <f>SUM(F31:F36)</f>
        <v>1982581</v>
      </c>
      <c r="G37" s="286">
        <f t="shared" si="5"/>
        <v>-0.06214962135098864</v>
      </c>
    </row>
    <row r="38" spans="1:7" ht="15">
      <c r="A38" s="277" t="s">
        <v>157</v>
      </c>
      <c r="B38" s="278"/>
      <c r="C38" s="279"/>
      <c r="D38" s="280"/>
      <c r="E38" s="278"/>
      <c r="F38" s="279"/>
      <c r="G38" s="280"/>
    </row>
    <row r="39" spans="1:7" ht="15.75" thickBot="1">
      <c r="A39" s="155" t="s">
        <v>151</v>
      </c>
      <c r="B39" s="157">
        <v>2277429</v>
      </c>
      <c r="C39" s="281">
        <v>2521441</v>
      </c>
      <c r="D39" s="282">
        <f aca="true" t="shared" si="6" ref="D39:D45">(C39-B39)/B39</f>
        <v>0.10714362555320056</v>
      </c>
      <c r="E39" s="157">
        <v>2277429</v>
      </c>
      <c r="F39" s="281">
        <v>2514525</v>
      </c>
      <c r="G39" s="282">
        <f aca="true" t="shared" si="7" ref="G39:G45">(F39-E39)/E39</f>
        <v>0.10410686787601282</v>
      </c>
    </row>
    <row r="40" spans="1:7" ht="15.75" thickBot="1">
      <c r="A40" s="155" t="s">
        <v>152</v>
      </c>
      <c r="B40" s="156">
        <v>158</v>
      </c>
      <c r="C40" s="291">
        <v>158</v>
      </c>
      <c r="D40" s="282">
        <f t="shared" si="6"/>
        <v>0</v>
      </c>
      <c r="E40" s="156">
        <v>158</v>
      </c>
      <c r="F40" s="291">
        <v>158</v>
      </c>
      <c r="G40" s="282">
        <f t="shared" si="7"/>
        <v>0</v>
      </c>
    </row>
    <row r="41" spans="1:7" ht="15.75" thickBot="1">
      <c r="A41" s="155" t="s">
        <v>154</v>
      </c>
      <c r="B41" s="157">
        <v>216744</v>
      </c>
      <c r="C41" s="281">
        <v>221537</v>
      </c>
      <c r="D41" s="282">
        <f t="shared" si="6"/>
        <v>0.022113645591112095</v>
      </c>
      <c r="E41" s="157">
        <v>216744</v>
      </c>
      <c r="F41" s="281">
        <v>229319</v>
      </c>
      <c r="G41" s="282">
        <f t="shared" si="7"/>
        <v>0.058017753663307865</v>
      </c>
    </row>
    <row r="42" spans="1:7" ht="15.75" thickBot="1">
      <c r="A42" s="155" t="s">
        <v>158</v>
      </c>
      <c r="B42" s="157">
        <v>705700</v>
      </c>
      <c r="C42" s="281">
        <v>700242</v>
      </c>
      <c r="D42" s="282">
        <f t="shared" si="6"/>
        <v>-0.007734164659203627</v>
      </c>
      <c r="E42" s="157">
        <v>705700</v>
      </c>
      <c r="F42" s="281">
        <v>701487</v>
      </c>
      <c r="G42" s="282">
        <f t="shared" si="7"/>
        <v>-0.00596995890605073</v>
      </c>
    </row>
    <row r="43" spans="1:7" ht="15.75" thickBot="1">
      <c r="A43" s="160" t="s">
        <v>224</v>
      </c>
      <c r="B43" s="161">
        <v>600</v>
      </c>
      <c r="C43" s="292">
        <v>618</v>
      </c>
      <c r="D43" s="282">
        <f t="shared" si="6"/>
        <v>0.03</v>
      </c>
      <c r="E43" s="161">
        <v>600</v>
      </c>
      <c r="F43" s="292">
        <v>657</v>
      </c>
      <c r="G43" s="282">
        <f>(F43-E43)/E43</f>
        <v>0.095</v>
      </c>
    </row>
    <row r="44" spans="1:7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6"/>
        <v>0.07603656903904261</v>
      </c>
      <c r="E44" s="165">
        <f>SUM(E39:E43)</f>
        <v>3200631</v>
      </c>
      <c r="F44" s="284">
        <f>SUM(F39:F43)</f>
        <v>3446146</v>
      </c>
      <c r="G44" s="286">
        <f t="shared" si="7"/>
        <v>0.07670831157981035</v>
      </c>
    </row>
    <row r="45" spans="1:7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6"/>
        <v>0.03891247384089923</v>
      </c>
      <c r="E45" s="288">
        <f>+E37+E44</f>
        <v>5314594</v>
      </c>
      <c r="F45" s="289">
        <f>+F37+F44</f>
        <v>5428727</v>
      </c>
      <c r="G45" s="290">
        <f t="shared" si="7"/>
        <v>0.021475393981177114</v>
      </c>
    </row>
    <row r="46" spans="1:7" ht="15">
      <c r="A46" s="274" t="s">
        <v>162</v>
      </c>
      <c r="B46" s="275"/>
      <c r="C46" s="276"/>
      <c r="D46" s="276"/>
      <c r="E46" s="275"/>
      <c r="F46" s="276"/>
      <c r="G46" s="276"/>
    </row>
    <row r="47" spans="1:7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  <c r="E47" s="165">
        <v>8346719</v>
      </c>
      <c r="F47" s="284">
        <v>8606275</v>
      </c>
      <c r="G47" s="286">
        <f>(F47-E47)/E47</f>
        <v>0.03109676988047639</v>
      </c>
    </row>
    <row r="48" spans="1:7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  <c r="E48" s="162">
        <v>38241</v>
      </c>
      <c r="F48" s="283">
        <v>38756</v>
      </c>
      <c r="G48" s="285">
        <f>(F48-E48)/E48</f>
        <v>0.013467221045474752</v>
      </c>
    </row>
    <row r="49" spans="1:7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  <c r="E49" s="288">
        <f>SUM(E47:E48)</f>
        <v>8384960</v>
      </c>
      <c r="F49" s="289">
        <f>SUM(F47:F48)</f>
        <v>8645031</v>
      </c>
      <c r="G49" s="290">
        <f>(F49-E49)/E49</f>
        <v>0.031016367400679312</v>
      </c>
    </row>
    <row r="50" spans="1:7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  <c r="E50" s="294">
        <f>+E45+E49</f>
        <v>13699554</v>
      </c>
      <c r="F50" s="295">
        <f>+F45+F49</f>
        <v>14073758</v>
      </c>
      <c r="G50" s="296">
        <f>(F50-E50)/E50</f>
        <v>0.027315049818410146</v>
      </c>
    </row>
    <row r="53" spans="1:5" ht="18.75">
      <c r="A53" s="179" t="s">
        <v>165</v>
      </c>
      <c r="B53" s="351"/>
      <c r="C53" s="351"/>
      <c r="D53" s="351"/>
      <c r="E53" s="351"/>
    </row>
    <row r="54" spans="1:5" ht="15">
      <c r="A54" s="335" t="s">
        <v>227</v>
      </c>
      <c r="B54" s="351"/>
      <c r="C54" s="351"/>
      <c r="D54" s="351"/>
      <c r="E54" s="351"/>
    </row>
    <row r="55" spans="1:5" ht="15">
      <c r="A55" s="335" t="s">
        <v>131</v>
      </c>
      <c r="B55" s="351"/>
      <c r="C55" s="351"/>
      <c r="D55" s="351"/>
      <c r="E55" s="351"/>
    </row>
    <row r="56" spans="1:5" ht="15">
      <c r="A56" s="146" t="s">
        <v>132</v>
      </c>
      <c r="B56" s="351"/>
      <c r="C56" s="351"/>
      <c r="D56" s="351"/>
      <c r="E56" s="351"/>
    </row>
    <row r="57" spans="2:5" ht="15.75" thickBot="1">
      <c r="B57" s="351"/>
      <c r="C57" s="351"/>
      <c r="D57" s="351"/>
      <c r="E57" s="351"/>
    </row>
    <row r="58" spans="1:18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  <c r="G58" s="298" t="s">
        <v>193</v>
      </c>
      <c r="H58" s="299" t="s">
        <v>218</v>
      </c>
      <c r="I58" s="298" t="s">
        <v>204</v>
      </c>
      <c r="J58" s="298" t="s">
        <v>98</v>
      </c>
      <c r="K58" s="299" t="s">
        <v>225</v>
      </c>
      <c r="L58" s="299" t="s">
        <v>98</v>
      </c>
      <c r="M58" s="298" t="s">
        <v>99</v>
      </c>
      <c r="N58" s="298" t="s">
        <v>205</v>
      </c>
      <c r="O58" s="298" t="s">
        <v>98</v>
      </c>
      <c r="P58" s="299" t="s">
        <v>226</v>
      </c>
      <c r="Q58" s="299" t="s">
        <v>98</v>
      </c>
      <c r="R58" s="298" t="s">
        <v>99</v>
      </c>
    </row>
    <row r="59" spans="1:18" ht="15.75" thickTop="1">
      <c r="A59" s="300" t="s">
        <v>168</v>
      </c>
      <c r="B59" s="301"/>
      <c r="C59" s="301"/>
      <c r="D59" s="302"/>
      <c r="E59" s="303"/>
      <c r="F59" s="301"/>
      <c r="G59" s="301"/>
      <c r="H59" s="302"/>
      <c r="I59" s="301"/>
      <c r="J59" s="301"/>
      <c r="K59" s="302"/>
      <c r="L59" s="303"/>
      <c r="M59" s="301"/>
      <c r="N59" s="301"/>
      <c r="O59" s="301"/>
      <c r="P59" s="302"/>
      <c r="Q59" s="303"/>
      <c r="R59" s="301"/>
    </row>
    <row r="60" spans="1:18" ht="15.75" thickBot="1">
      <c r="A60" s="304" t="s">
        <v>169</v>
      </c>
      <c r="B60" s="305">
        <v>2104216</v>
      </c>
      <c r="C60" s="306">
        <f aca="true" t="shared" si="8" ref="C60:C81">+B60/$B$60</f>
        <v>1</v>
      </c>
      <c r="D60" s="305">
        <v>2041823</v>
      </c>
      <c r="E60" s="306">
        <f aca="true" t="shared" si="9" ref="E60:E81">+D60/$D$60</f>
        <v>1</v>
      </c>
      <c r="F60" s="306">
        <f aca="true" t="shared" si="10" ref="F60:F81">(D60-B60)/B60</f>
        <v>-0.029651423618107648</v>
      </c>
      <c r="G60" s="305">
        <v>2104216</v>
      </c>
      <c r="H60" s="305">
        <v>2041823</v>
      </c>
      <c r="I60" s="305">
        <v>2101067</v>
      </c>
      <c r="J60" s="306">
        <f aca="true" t="shared" si="11" ref="J60:J81">+I60/$I$60</f>
        <v>1</v>
      </c>
      <c r="K60" s="305">
        <v>2117243</v>
      </c>
      <c r="L60" s="306">
        <f aca="true" t="shared" si="12" ref="L60:L81">+K60/$K$60</f>
        <v>1</v>
      </c>
      <c r="M60" s="306">
        <f>(K60-I60)/I60</f>
        <v>0.007698945345388795</v>
      </c>
      <c r="N60" s="305">
        <f>+G60+I60</f>
        <v>4205283</v>
      </c>
      <c r="O60" s="306">
        <f aca="true" t="shared" si="13" ref="O60:O81">+N60/$N$60</f>
        <v>1</v>
      </c>
      <c r="P60" s="305">
        <f>+H60+K60</f>
        <v>4159066</v>
      </c>
      <c r="Q60" s="306">
        <f aca="true" t="shared" si="14" ref="Q60:Q81">+P60/$P$60</f>
        <v>1</v>
      </c>
      <c r="R60" s="306">
        <f>(P60-N60)/N60</f>
        <v>-0.010990223487931728</v>
      </c>
    </row>
    <row r="61" spans="1:18" ht="15.75" thickBot="1">
      <c r="A61" s="307" t="s">
        <v>45</v>
      </c>
      <c r="B61" s="308">
        <v>-1196310</v>
      </c>
      <c r="C61" s="309">
        <f t="shared" si="8"/>
        <v>-0.5685300368403243</v>
      </c>
      <c r="D61" s="310">
        <v>-1150561</v>
      </c>
      <c r="E61" s="311">
        <f t="shared" si="9"/>
        <v>-0.5634969338674312</v>
      </c>
      <c r="F61" s="309">
        <f t="shared" si="10"/>
        <v>-0.038241760078909316</v>
      </c>
      <c r="G61" s="308">
        <v>-1196310</v>
      </c>
      <c r="H61" s="310">
        <v>-1150561</v>
      </c>
      <c r="I61" s="308">
        <v>-1202985</v>
      </c>
      <c r="J61" s="309">
        <f t="shared" si="11"/>
        <v>-0.5725590854551521</v>
      </c>
      <c r="K61" s="310">
        <v>-1182469</v>
      </c>
      <c r="L61" s="311">
        <f t="shared" si="12"/>
        <v>-0.5584947027809278</v>
      </c>
      <c r="M61" s="309">
        <f aca="true" t="shared" si="15" ref="M61:M81">(K61-I61)/I61</f>
        <v>-0.017054244234134257</v>
      </c>
      <c r="N61" s="308">
        <f aca="true" t="shared" si="16" ref="N61:N87">+G61+I61</f>
        <v>-2399295</v>
      </c>
      <c r="O61" s="309">
        <f t="shared" si="13"/>
        <v>-0.5705430526316541</v>
      </c>
      <c r="P61" s="310">
        <f aca="true" t="shared" si="17" ref="P61:P87">+H61+K61</f>
        <v>-2333030</v>
      </c>
      <c r="Q61" s="311">
        <f t="shared" si="14"/>
        <v>-0.5609504633973108</v>
      </c>
      <c r="R61" s="309">
        <f aca="true" t="shared" si="18" ref="R61:R81">(P61-N61)/N61</f>
        <v>-0.02761852960973953</v>
      </c>
    </row>
    <row r="62" spans="1:18" ht="15.75" thickBot="1">
      <c r="A62" s="312" t="s">
        <v>95</v>
      </c>
      <c r="B62" s="313">
        <f>SUM(B60:B61)</f>
        <v>907906</v>
      </c>
      <c r="C62" s="314">
        <f t="shared" si="8"/>
        <v>0.4314699631596756</v>
      </c>
      <c r="D62" s="315">
        <f>SUM(D60:D61)</f>
        <v>891262</v>
      </c>
      <c r="E62" s="316">
        <f t="shared" si="9"/>
        <v>0.4365030661325688</v>
      </c>
      <c r="F62" s="314">
        <f t="shared" si="10"/>
        <v>-0.01833229431240679</v>
      </c>
      <c r="G62" s="313">
        <f>SUM(G60:G61)</f>
        <v>907906</v>
      </c>
      <c r="H62" s="315">
        <f>SUM(H60:H61)</f>
        <v>891262</v>
      </c>
      <c r="I62" s="313">
        <f>SUM(I60:I61)</f>
        <v>898082</v>
      </c>
      <c r="J62" s="314">
        <f t="shared" si="11"/>
        <v>0.42744091454484795</v>
      </c>
      <c r="K62" s="315">
        <f>SUM(K60:K61)</f>
        <v>934774</v>
      </c>
      <c r="L62" s="316">
        <f t="shared" si="12"/>
        <v>0.44150529721907217</v>
      </c>
      <c r="M62" s="314">
        <f t="shared" si="15"/>
        <v>0.04085595747381642</v>
      </c>
      <c r="N62" s="313">
        <f t="shared" si="16"/>
        <v>1805988</v>
      </c>
      <c r="O62" s="314">
        <f t="shared" si="13"/>
        <v>0.42945694736834594</v>
      </c>
      <c r="P62" s="315">
        <f t="shared" si="17"/>
        <v>1826036</v>
      </c>
      <c r="Q62" s="316">
        <f t="shared" si="14"/>
        <v>0.43904953660268914</v>
      </c>
      <c r="R62" s="314">
        <f t="shared" si="18"/>
        <v>0.011100848953592162</v>
      </c>
    </row>
    <row r="63" spans="1:18" ht="15.75" thickBot="1">
      <c r="A63" s="307" t="s">
        <v>170</v>
      </c>
      <c r="B63" s="308">
        <v>-97009</v>
      </c>
      <c r="C63" s="309">
        <f t="shared" si="8"/>
        <v>-0.046102206237382475</v>
      </c>
      <c r="D63" s="310">
        <v>-100251</v>
      </c>
      <c r="E63" s="311">
        <f t="shared" si="9"/>
        <v>-0.049098771049204556</v>
      </c>
      <c r="F63" s="309">
        <f t="shared" si="10"/>
        <v>0.03341957962663258</v>
      </c>
      <c r="G63" s="308">
        <v>-97009</v>
      </c>
      <c r="H63" s="310">
        <v>-100251</v>
      </c>
      <c r="I63" s="308">
        <v>-96978</v>
      </c>
      <c r="J63" s="309">
        <f t="shared" si="11"/>
        <v>-0.0461565480777148</v>
      </c>
      <c r="K63" s="310">
        <v>-95340</v>
      </c>
      <c r="L63" s="311">
        <f t="shared" si="12"/>
        <v>-0.04503025869019286</v>
      </c>
      <c r="M63" s="309">
        <f t="shared" si="15"/>
        <v>-0.016890428757037678</v>
      </c>
      <c r="N63" s="308">
        <f t="shared" si="16"/>
        <v>-193987</v>
      </c>
      <c r="O63" s="309">
        <f t="shared" si="13"/>
        <v>-0.0461293568114203</v>
      </c>
      <c r="P63" s="310">
        <f t="shared" si="17"/>
        <v>-195591</v>
      </c>
      <c r="Q63" s="311">
        <f t="shared" si="14"/>
        <v>-0.04702762591408744</v>
      </c>
      <c r="R63" s="309">
        <f t="shared" si="18"/>
        <v>0.008268595318242975</v>
      </c>
    </row>
    <row r="64" spans="1:18" ht="15.75" thickBot="1">
      <c r="A64" s="307" t="s">
        <v>171</v>
      </c>
      <c r="B64" s="308">
        <v>-547935</v>
      </c>
      <c r="C64" s="309">
        <f t="shared" si="8"/>
        <v>-0.2603986472871606</v>
      </c>
      <c r="D64" s="310">
        <v>-563544</v>
      </c>
      <c r="E64" s="311">
        <f t="shared" si="9"/>
        <v>-0.2760004172741712</v>
      </c>
      <c r="F64" s="309">
        <f t="shared" si="10"/>
        <v>0.028486955569547483</v>
      </c>
      <c r="G64" s="308">
        <v>-547935</v>
      </c>
      <c r="H64" s="310">
        <v>-563544</v>
      </c>
      <c r="I64" s="308">
        <v>-580720</v>
      </c>
      <c r="J64" s="309">
        <f t="shared" si="11"/>
        <v>-0.27639289941729606</v>
      </c>
      <c r="K64" s="310">
        <v>-624951</v>
      </c>
      <c r="L64" s="311">
        <f t="shared" si="12"/>
        <v>-0.29517207047089067</v>
      </c>
      <c r="M64" s="309">
        <f t="shared" si="15"/>
        <v>0.07616579418652707</v>
      </c>
      <c r="N64" s="308">
        <f t="shared" si="16"/>
        <v>-1128655</v>
      </c>
      <c r="O64" s="309">
        <f t="shared" si="13"/>
        <v>-0.26838978494431887</v>
      </c>
      <c r="P64" s="310">
        <f t="shared" si="17"/>
        <v>-1188495</v>
      </c>
      <c r="Q64" s="311">
        <f t="shared" si="14"/>
        <v>-0.2857600720931094</v>
      </c>
      <c r="R64" s="309">
        <f t="shared" si="18"/>
        <v>0.05301885873008138</v>
      </c>
    </row>
    <row r="65" spans="1:18" ht="15.75" thickBot="1">
      <c r="A65" s="307" t="s">
        <v>172</v>
      </c>
      <c r="B65" s="308">
        <v>-34692</v>
      </c>
      <c r="C65" s="309">
        <f t="shared" si="8"/>
        <v>-0.016486900584350657</v>
      </c>
      <c r="D65" s="310">
        <v>-32942</v>
      </c>
      <c r="E65" s="311">
        <f t="shared" si="9"/>
        <v>-0.016133621768390307</v>
      </c>
      <c r="F65" s="309">
        <f t="shared" si="10"/>
        <v>-0.050443906376109765</v>
      </c>
      <c r="G65" s="308">
        <v>-34692</v>
      </c>
      <c r="H65" s="310">
        <v>-32942</v>
      </c>
      <c r="I65" s="308">
        <v>-34612</v>
      </c>
      <c r="J65" s="309">
        <f t="shared" si="11"/>
        <v>-0.0164735346374009</v>
      </c>
      <c r="K65" s="310">
        <v>-33440</v>
      </c>
      <c r="L65" s="311">
        <f t="shared" si="12"/>
        <v>-0.015794124717852416</v>
      </c>
      <c r="M65" s="309">
        <f t="shared" si="15"/>
        <v>-0.03386108863977811</v>
      </c>
      <c r="N65" s="308">
        <f t="shared" si="16"/>
        <v>-69304</v>
      </c>
      <c r="O65" s="309">
        <f t="shared" si="13"/>
        <v>-0.01648022261521995</v>
      </c>
      <c r="P65" s="310">
        <f t="shared" si="17"/>
        <v>-66382</v>
      </c>
      <c r="Q65" s="311">
        <f t="shared" si="14"/>
        <v>-0.015960795043887258</v>
      </c>
      <c r="R65" s="309">
        <f t="shared" si="18"/>
        <v>-0.04216206856747085</v>
      </c>
    </row>
    <row r="66" spans="1:18" ht="15.75" thickBot="1">
      <c r="A66" s="307" t="s">
        <v>173</v>
      </c>
      <c r="B66" s="308">
        <v>3848</v>
      </c>
      <c r="C66" s="309">
        <f t="shared" si="8"/>
        <v>0.0018287096001551172</v>
      </c>
      <c r="D66" s="310">
        <v>2176</v>
      </c>
      <c r="E66" s="311">
        <f t="shared" si="9"/>
        <v>0.0010657143150997908</v>
      </c>
      <c r="F66" s="309">
        <f t="shared" si="10"/>
        <v>-0.43451143451143454</v>
      </c>
      <c r="G66" s="308">
        <v>3848</v>
      </c>
      <c r="H66" s="310">
        <v>2176</v>
      </c>
      <c r="I66" s="308">
        <v>11938</v>
      </c>
      <c r="J66" s="309">
        <f t="shared" si="11"/>
        <v>0.0056818749711456135</v>
      </c>
      <c r="K66" s="310">
        <v>-1953</v>
      </c>
      <c r="L66" s="311">
        <f t="shared" si="12"/>
        <v>-0.0009224260040061533</v>
      </c>
      <c r="M66" s="309">
        <f t="shared" si="15"/>
        <v>-1.1635952420841011</v>
      </c>
      <c r="N66" s="308">
        <f t="shared" si="16"/>
        <v>15786</v>
      </c>
      <c r="O66" s="309">
        <f t="shared" si="13"/>
        <v>0.00375384962201117</v>
      </c>
      <c r="P66" s="310">
        <f t="shared" si="17"/>
        <v>223</v>
      </c>
      <c r="Q66" s="311">
        <f t="shared" si="14"/>
        <v>5.361780745965561E-05</v>
      </c>
      <c r="R66" s="309">
        <f t="shared" si="18"/>
        <v>-0.9858735588496136</v>
      </c>
    </row>
    <row r="67" spans="1:18" ht="15.75" thickBot="1">
      <c r="A67" s="307" t="s">
        <v>174</v>
      </c>
      <c r="B67" s="308">
        <v>1169</v>
      </c>
      <c r="C67" s="309">
        <f t="shared" si="8"/>
        <v>0.0005555513312321549</v>
      </c>
      <c r="D67" s="310">
        <v>7084</v>
      </c>
      <c r="E67" s="311">
        <f t="shared" si="9"/>
        <v>0.0034694486250767083</v>
      </c>
      <c r="F67" s="309">
        <f t="shared" si="10"/>
        <v>5.059880239520958</v>
      </c>
      <c r="G67" s="308">
        <v>1169</v>
      </c>
      <c r="H67" s="310">
        <v>7084</v>
      </c>
      <c r="I67" s="308">
        <v>7387</v>
      </c>
      <c r="J67" s="309">
        <f t="shared" si="11"/>
        <v>0.0035158326697815917</v>
      </c>
      <c r="K67" s="310">
        <v>14508</v>
      </c>
      <c r="L67" s="311">
        <f t="shared" si="12"/>
        <v>0.006852307458331424</v>
      </c>
      <c r="M67" s="309">
        <f t="shared" si="15"/>
        <v>0.9639907946392311</v>
      </c>
      <c r="N67" s="308">
        <f t="shared" si="16"/>
        <v>8556</v>
      </c>
      <c r="O67" s="309">
        <f t="shared" si="13"/>
        <v>0.0020345836415765596</v>
      </c>
      <c r="P67" s="310">
        <f t="shared" si="17"/>
        <v>21592</v>
      </c>
      <c r="Q67" s="311">
        <f t="shared" si="14"/>
        <v>0.005191550218246116</v>
      </c>
      <c r="R67" s="309">
        <f t="shared" si="18"/>
        <v>1.5236091631603552</v>
      </c>
    </row>
    <row r="68" spans="1:18" ht="15.75" thickBot="1">
      <c r="A68" s="304" t="s">
        <v>175</v>
      </c>
      <c r="B68" s="305">
        <f>SUM(B62:B67)</f>
        <v>233287</v>
      </c>
      <c r="C68" s="306">
        <f t="shared" si="8"/>
        <v>0.11086646998216913</v>
      </c>
      <c r="D68" s="305">
        <f>SUM(D62:D67)</f>
        <v>203785</v>
      </c>
      <c r="E68" s="306">
        <f t="shared" si="9"/>
        <v>0.09980541898097925</v>
      </c>
      <c r="F68" s="306">
        <f t="shared" si="10"/>
        <v>-0.1264622546477086</v>
      </c>
      <c r="G68" s="305">
        <f>SUM(G62:G67)</f>
        <v>233287</v>
      </c>
      <c r="H68" s="305">
        <f>SUM(H62:H67)</f>
        <v>203785</v>
      </c>
      <c r="I68" s="305">
        <f>SUM(I62:I67)</f>
        <v>205097</v>
      </c>
      <c r="J68" s="306">
        <f t="shared" si="11"/>
        <v>0.09761564005336336</v>
      </c>
      <c r="K68" s="305">
        <f>SUM(K62:K67)</f>
        <v>193598</v>
      </c>
      <c r="L68" s="306">
        <f t="shared" si="12"/>
        <v>0.09143872479446148</v>
      </c>
      <c r="M68" s="306">
        <f t="shared" si="15"/>
        <v>-0.05606615406368694</v>
      </c>
      <c r="N68" s="305">
        <f t="shared" si="16"/>
        <v>438384</v>
      </c>
      <c r="O68" s="306">
        <f t="shared" si="13"/>
        <v>0.10424601626097459</v>
      </c>
      <c r="P68" s="305">
        <f t="shared" si="17"/>
        <v>397383</v>
      </c>
      <c r="Q68" s="306">
        <f t="shared" si="14"/>
        <v>0.09554621157731087</v>
      </c>
      <c r="R68" s="306">
        <f t="shared" si="18"/>
        <v>-0.09352759224789226</v>
      </c>
    </row>
    <row r="69" spans="1:18" ht="15.75" thickBot="1">
      <c r="A69" s="307" t="s">
        <v>176</v>
      </c>
      <c r="B69" s="308">
        <v>2165</v>
      </c>
      <c r="C69" s="309">
        <f t="shared" si="8"/>
        <v>0.0010288867682785418</v>
      </c>
      <c r="D69" s="310">
        <v>2452</v>
      </c>
      <c r="E69" s="311">
        <f t="shared" si="9"/>
        <v>0.0012008876381547275</v>
      </c>
      <c r="F69" s="309">
        <f t="shared" si="10"/>
        <v>0.1325635103926097</v>
      </c>
      <c r="G69" s="308">
        <v>2165</v>
      </c>
      <c r="H69" s="310">
        <v>2452</v>
      </c>
      <c r="I69" s="308">
        <v>2482</v>
      </c>
      <c r="J69" s="309">
        <f t="shared" si="11"/>
        <v>0.0011813045466898485</v>
      </c>
      <c r="K69" s="310">
        <v>4392</v>
      </c>
      <c r="L69" s="311">
        <f t="shared" si="12"/>
        <v>0.0020743958062442525</v>
      </c>
      <c r="M69" s="309">
        <f t="shared" si="15"/>
        <v>0.7695406929895245</v>
      </c>
      <c r="N69" s="308">
        <f t="shared" si="16"/>
        <v>4647</v>
      </c>
      <c r="O69" s="309">
        <f t="shared" si="13"/>
        <v>0.0011050385907440713</v>
      </c>
      <c r="P69" s="310">
        <f t="shared" si="17"/>
        <v>6844</v>
      </c>
      <c r="Q69" s="311">
        <f t="shared" si="14"/>
        <v>0.0016455617679546322</v>
      </c>
      <c r="R69" s="309">
        <f t="shared" si="18"/>
        <v>0.47277813643210675</v>
      </c>
    </row>
    <row r="70" spans="1:18" ht="15.75" thickBot="1">
      <c r="A70" s="307" t="s">
        <v>177</v>
      </c>
      <c r="B70" s="308">
        <v>-70846</v>
      </c>
      <c r="C70" s="309">
        <f t="shared" si="8"/>
        <v>-0.03366859676002844</v>
      </c>
      <c r="D70" s="310">
        <v>-82389</v>
      </c>
      <c r="E70" s="311">
        <f t="shared" si="9"/>
        <v>-0.0403507062071492</v>
      </c>
      <c r="F70" s="309">
        <f t="shared" si="10"/>
        <v>0.16293086412782656</v>
      </c>
      <c r="G70" s="308">
        <v>-70846</v>
      </c>
      <c r="H70" s="310">
        <v>-82389</v>
      </c>
      <c r="I70" s="308">
        <v>-82107</v>
      </c>
      <c r="J70" s="309">
        <f t="shared" si="11"/>
        <v>-0.03907871571920362</v>
      </c>
      <c r="K70" s="310">
        <v>-85584</v>
      </c>
      <c r="L70" s="311">
        <f t="shared" si="12"/>
        <v>-0.040422379481240465</v>
      </c>
      <c r="M70" s="309">
        <f t="shared" si="15"/>
        <v>0.04234718111732252</v>
      </c>
      <c r="N70" s="308">
        <f t="shared" si="16"/>
        <v>-152953</v>
      </c>
      <c r="O70" s="309">
        <f t="shared" si="13"/>
        <v>-0.036371630636986854</v>
      </c>
      <c r="P70" s="310">
        <f t="shared" si="17"/>
        <v>-167973</v>
      </c>
      <c r="Q70" s="311">
        <f t="shared" si="14"/>
        <v>-0.04038719270143826</v>
      </c>
      <c r="R70" s="309">
        <f t="shared" si="18"/>
        <v>0.098200100684524</v>
      </c>
    </row>
    <row r="71" spans="1:18" ht="15.75" thickBot="1">
      <c r="A71" s="307" t="s">
        <v>228</v>
      </c>
      <c r="B71" s="308">
        <v>50453</v>
      </c>
      <c r="C71" s="309">
        <f t="shared" si="8"/>
        <v>0.023977101210141925</v>
      </c>
      <c r="D71" s="310">
        <v>54235</v>
      </c>
      <c r="E71" s="311">
        <f t="shared" si="9"/>
        <v>0.026562047738711927</v>
      </c>
      <c r="F71" s="309">
        <f t="shared" si="10"/>
        <v>0.07496085465680931</v>
      </c>
      <c r="G71" s="308">
        <v>50453</v>
      </c>
      <c r="H71" s="310">
        <v>54235</v>
      </c>
      <c r="I71" s="308">
        <v>41</v>
      </c>
      <c r="J71" s="309">
        <f t="shared" si="11"/>
        <v>1.9513894606883074E-05</v>
      </c>
      <c r="K71" s="310">
        <v>86</v>
      </c>
      <c r="L71" s="311">
        <f t="shared" si="12"/>
        <v>4.0618861415529534E-05</v>
      </c>
      <c r="M71" s="309">
        <f t="shared" si="15"/>
        <v>1.0975609756097562</v>
      </c>
      <c r="N71" s="308">
        <f t="shared" si="16"/>
        <v>50494</v>
      </c>
      <c r="O71" s="309">
        <f t="shared" si="13"/>
        <v>0.012007277512595466</v>
      </c>
      <c r="P71" s="310">
        <f t="shared" si="17"/>
        <v>54321</v>
      </c>
      <c r="Q71" s="311">
        <f t="shared" si="14"/>
        <v>0.013060865107694853</v>
      </c>
      <c r="R71" s="309">
        <f t="shared" si="18"/>
        <v>0.07579118311086466</v>
      </c>
    </row>
    <row r="72" spans="1:18" ht="15.75" thickBot="1">
      <c r="A72" s="307" t="s">
        <v>178</v>
      </c>
      <c r="B72" s="308">
        <v>-9738</v>
      </c>
      <c r="C72" s="309">
        <f t="shared" si="8"/>
        <v>-0.004627851893531843</v>
      </c>
      <c r="D72" s="310">
        <v>-3118</v>
      </c>
      <c r="E72" s="311">
        <f t="shared" si="9"/>
        <v>-0.001527066743787292</v>
      </c>
      <c r="F72" s="309">
        <f t="shared" si="10"/>
        <v>-0.6798110494968166</v>
      </c>
      <c r="G72" s="308">
        <v>-9738</v>
      </c>
      <c r="H72" s="310">
        <v>-3118</v>
      </c>
      <c r="I72" s="308">
        <v>-2615</v>
      </c>
      <c r="J72" s="309">
        <f t="shared" si="11"/>
        <v>-0.0012446057169999815</v>
      </c>
      <c r="K72" s="310">
        <v>-1691</v>
      </c>
      <c r="L72" s="311">
        <f t="shared" si="12"/>
        <v>-0.0007986801703914005</v>
      </c>
      <c r="M72" s="309">
        <f t="shared" si="15"/>
        <v>-0.35334608030592735</v>
      </c>
      <c r="N72" s="308">
        <f t="shared" si="16"/>
        <v>-12353</v>
      </c>
      <c r="O72" s="309">
        <f t="shared" si="13"/>
        <v>-0.002937495526460407</v>
      </c>
      <c r="P72" s="310">
        <f t="shared" si="17"/>
        <v>-4809</v>
      </c>
      <c r="Q72" s="311">
        <f t="shared" si="14"/>
        <v>-0.0011562692200604654</v>
      </c>
      <c r="R72" s="309">
        <f t="shared" si="18"/>
        <v>-0.6107018538006962</v>
      </c>
    </row>
    <row r="73" spans="1:18" ht="15.75" thickBot="1">
      <c r="A73" s="307" t="s">
        <v>179</v>
      </c>
      <c r="B73" s="308">
        <v>-11041</v>
      </c>
      <c r="C73" s="309">
        <f t="shared" si="8"/>
        <v>-0.005247084900029274</v>
      </c>
      <c r="D73" s="310">
        <v>0</v>
      </c>
      <c r="E73" s="311">
        <f t="shared" si="9"/>
        <v>0</v>
      </c>
      <c r="F73" s="309">
        <f t="shared" si="10"/>
        <v>-1</v>
      </c>
      <c r="G73" s="308">
        <v>-11041</v>
      </c>
      <c r="H73" s="310">
        <v>0</v>
      </c>
      <c r="I73" s="308">
        <v>-7486</v>
      </c>
      <c r="J73" s="309">
        <f t="shared" si="11"/>
        <v>-0.0035629515860274804</v>
      </c>
      <c r="K73" s="310">
        <v>0</v>
      </c>
      <c r="L73" s="311">
        <f t="shared" si="12"/>
        <v>0</v>
      </c>
      <c r="M73" s="309">
        <f t="shared" si="15"/>
        <v>-1</v>
      </c>
      <c r="N73" s="308">
        <f t="shared" si="16"/>
        <v>-18527</v>
      </c>
      <c r="O73" s="309">
        <f t="shared" si="13"/>
        <v>-0.004405648799379257</v>
      </c>
      <c r="P73" s="310">
        <f t="shared" si="17"/>
        <v>0</v>
      </c>
      <c r="Q73" s="311">
        <f t="shared" si="14"/>
        <v>0</v>
      </c>
      <c r="R73" s="309">
        <f t="shared" si="18"/>
        <v>-1</v>
      </c>
    </row>
    <row r="74" spans="1:18" ht="15.75" thickBot="1">
      <c r="A74" s="307" t="s">
        <v>180</v>
      </c>
      <c r="B74" s="317">
        <v>185</v>
      </c>
      <c r="C74" s="309">
        <f t="shared" si="8"/>
        <v>8.791873077668833E-05</v>
      </c>
      <c r="D74" s="318">
        <v>-1600</v>
      </c>
      <c r="E74" s="311">
        <f t="shared" si="9"/>
        <v>-0.0007836134669851403</v>
      </c>
      <c r="F74" s="309" t="s">
        <v>88</v>
      </c>
      <c r="G74" s="317">
        <v>185</v>
      </c>
      <c r="H74" s="318">
        <v>-1600</v>
      </c>
      <c r="I74" s="317">
        <v>619</v>
      </c>
      <c r="J74" s="309">
        <f t="shared" si="11"/>
        <v>0.00029461221369903956</v>
      </c>
      <c r="K74" s="318">
        <v>2816</v>
      </c>
      <c r="L74" s="311">
        <f t="shared" si="12"/>
        <v>0.0013300315551875717</v>
      </c>
      <c r="M74" s="309" t="s">
        <v>88</v>
      </c>
      <c r="N74" s="317">
        <f t="shared" si="16"/>
        <v>804</v>
      </c>
      <c r="O74" s="309">
        <f t="shared" si="13"/>
        <v>0.00019118808413131768</v>
      </c>
      <c r="P74" s="318">
        <f t="shared" si="17"/>
        <v>1216</v>
      </c>
      <c r="Q74" s="311">
        <f t="shared" si="14"/>
        <v>0.000292373335744131</v>
      </c>
      <c r="R74" s="309">
        <f t="shared" si="18"/>
        <v>0.5124378109452736</v>
      </c>
    </row>
    <row r="75" spans="1:18" ht="15.75" thickBot="1">
      <c r="A75" s="307" t="s">
        <v>229</v>
      </c>
      <c r="B75" s="317">
        <v>0</v>
      </c>
      <c r="C75" s="309">
        <f t="shared" si="8"/>
        <v>0</v>
      </c>
      <c r="D75" s="318">
        <v>0</v>
      </c>
      <c r="E75" s="311">
        <f t="shared" si="9"/>
        <v>0</v>
      </c>
      <c r="F75" s="309" t="s">
        <v>88</v>
      </c>
      <c r="G75" s="317">
        <v>0</v>
      </c>
      <c r="H75" s="318">
        <v>0</v>
      </c>
      <c r="I75" s="317">
        <v>0</v>
      </c>
      <c r="J75" s="309">
        <f t="shared" si="11"/>
        <v>0</v>
      </c>
      <c r="K75" s="318">
        <v>3313</v>
      </c>
      <c r="L75" s="311">
        <f t="shared" si="12"/>
        <v>0.0015647707891819692</v>
      </c>
      <c r="M75" s="309" t="s">
        <v>88</v>
      </c>
      <c r="N75" s="317">
        <f t="shared" si="16"/>
        <v>0</v>
      </c>
      <c r="O75" s="309">
        <f t="shared" si="13"/>
        <v>0</v>
      </c>
      <c r="P75" s="318">
        <f t="shared" si="17"/>
        <v>3313</v>
      </c>
      <c r="Q75" s="311">
        <f t="shared" si="14"/>
        <v>0.0007965730767436727</v>
      </c>
      <c r="R75" s="309" t="s">
        <v>88</v>
      </c>
    </row>
    <row r="76" spans="1:18" ht="15.75" thickBot="1">
      <c r="A76" s="312" t="s">
        <v>182</v>
      </c>
      <c r="B76" s="313">
        <f>SUM(B68:B75)</f>
        <v>194465</v>
      </c>
      <c r="C76" s="314">
        <f t="shared" si="8"/>
        <v>0.09241684313777673</v>
      </c>
      <c r="D76" s="315">
        <f>SUM(D68:D75)</f>
        <v>173365</v>
      </c>
      <c r="E76" s="316">
        <f t="shared" si="9"/>
        <v>0.08490696793992428</v>
      </c>
      <c r="F76" s="314">
        <f t="shared" si="10"/>
        <v>-0.10850281541665595</v>
      </c>
      <c r="G76" s="313">
        <f>SUM(G68:G75)</f>
        <v>194465</v>
      </c>
      <c r="H76" s="315">
        <f>SUM(H68:H75)</f>
        <v>173365</v>
      </c>
      <c r="I76" s="313">
        <f>SUM(I68:I75)</f>
        <v>116031</v>
      </c>
      <c r="J76" s="314">
        <f t="shared" si="11"/>
        <v>0.05522479768612805</v>
      </c>
      <c r="K76" s="315">
        <f>SUM(K68:K75)</f>
        <v>116930</v>
      </c>
      <c r="L76" s="316">
        <f t="shared" si="12"/>
        <v>0.05522748215485894</v>
      </c>
      <c r="M76" s="314">
        <f t="shared" si="15"/>
        <v>0.007747929432651619</v>
      </c>
      <c r="N76" s="313">
        <f t="shared" si="16"/>
        <v>310496</v>
      </c>
      <c r="O76" s="314">
        <f t="shared" si="13"/>
        <v>0.07383474548561893</v>
      </c>
      <c r="P76" s="315">
        <f t="shared" si="17"/>
        <v>290295</v>
      </c>
      <c r="Q76" s="316">
        <f t="shared" si="14"/>
        <v>0.06979812294394944</v>
      </c>
      <c r="R76" s="314">
        <f t="shared" si="18"/>
        <v>-0.06506041945789962</v>
      </c>
    </row>
    <row r="77" spans="1:18" ht="15.75" thickBot="1">
      <c r="A77" s="307" t="s">
        <v>183</v>
      </c>
      <c r="B77" s="308">
        <v>-56024</v>
      </c>
      <c r="C77" s="309">
        <f t="shared" si="8"/>
        <v>-0.026624643097476686</v>
      </c>
      <c r="D77" s="310">
        <v>-40723</v>
      </c>
      <c r="E77" s="311">
        <f t="shared" si="9"/>
        <v>-0.019944432010022415</v>
      </c>
      <c r="F77" s="309">
        <f t="shared" si="10"/>
        <v>-0.2731150935313437</v>
      </c>
      <c r="G77" s="308">
        <v>-56024</v>
      </c>
      <c r="H77" s="310">
        <v>-40723</v>
      </c>
      <c r="I77" s="308">
        <v>-42183</v>
      </c>
      <c r="J77" s="309">
        <f t="shared" si="11"/>
        <v>-0.020076941858588992</v>
      </c>
      <c r="K77" s="310">
        <v>-29714</v>
      </c>
      <c r="L77" s="311">
        <f t="shared" si="12"/>
        <v>-0.014034288931407495</v>
      </c>
      <c r="M77" s="309">
        <f t="shared" si="15"/>
        <v>-0.2955930114026978</v>
      </c>
      <c r="N77" s="308">
        <f t="shared" si="16"/>
        <v>-98207</v>
      </c>
      <c r="O77" s="309">
        <f t="shared" si="13"/>
        <v>-0.023353244002841188</v>
      </c>
      <c r="P77" s="310">
        <f t="shared" si="17"/>
        <v>-70437</v>
      </c>
      <c r="Q77" s="311">
        <f t="shared" si="14"/>
        <v>-0.016935773560698485</v>
      </c>
      <c r="R77" s="309">
        <f t="shared" si="18"/>
        <v>-0.28277006730681115</v>
      </c>
    </row>
    <row r="78" spans="1:18" ht="15.75" thickBot="1">
      <c r="A78" s="319" t="s">
        <v>184</v>
      </c>
      <c r="B78" s="320">
        <v>14256</v>
      </c>
      <c r="C78" s="321">
        <f t="shared" si="8"/>
        <v>0.006774969870013345</v>
      </c>
      <c r="D78" s="322">
        <v>8078</v>
      </c>
      <c r="E78" s="323">
        <f t="shared" si="9"/>
        <v>0.003956268491441227</v>
      </c>
      <c r="F78" s="321">
        <f t="shared" si="10"/>
        <v>-0.43336139169472504</v>
      </c>
      <c r="G78" s="320">
        <v>14256</v>
      </c>
      <c r="H78" s="322">
        <v>8078</v>
      </c>
      <c r="I78" s="320">
        <v>6703</v>
      </c>
      <c r="J78" s="321">
        <f t="shared" si="11"/>
        <v>0.0031902837939009085</v>
      </c>
      <c r="K78" s="322">
        <v>10599</v>
      </c>
      <c r="L78" s="323">
        <f t="shared" si="12"/>
        <v>0.005006038513292995</v>
      </c>
      <c r="M78" s="321">
        <f t="shared" si="15"/>
        <v>0.5812322840519171</v>
      </c>
      <c r="N78" s="320">
        <f t="shared" si="16"/>
        <v>20959</v>
      </c>
      <c r="O78" s="321">
        <f t="shared" si="13"/>
        <v>0.0049839689742640384</v>
      </c>
      <c r="P78" s="322">
        <f t="shared" si="17"/>
        <v>18677</v>
      </c>
      <c r="Q78" s="323">
        <f t="shared" si="14"/>
        <v>0.004490671703695012</v>
      </c>
      <c r="R78" s="321">
        <f t="shared" si="18"/>
        <v>-0.10887924042177585</v>
      </c>
    </row>
    <row r="79" spans="1:18" ht="15.75" thickBot="1">
      <c r="A79" s="312" t="s">
        <v>185</v>
      </c>
      <c r="B79" s="313">
        <f>SUM(B76:B78)</f>
        <v>152697</v>
      </c>
      <c r="C79" s="314">
        <f t="shared" si="8"/>
        <v>0.0725671699103134</v>
      </c>
      <c r="D79" s="315">
        <f>SUM(D76:D78)</f>
        <v>140720</v>
      </c>
      <c r="E79" s="316">
        <f t="shared" si="9"/>
        <v>0.06891880442134309</v>
      </c>
      <c r="F79" s="314">
        <f t="shared" si="10"/>
        <v>-0.07843638054447698</v>
      </c>
      <c r="G79" s="313">
        <f>SUM(G76:G78)</f>
        <v>152697</v>
      </c>
      <c r="H79" s="315">
        <f>SUM(H76:H78)</f>
        <v>140720</v>
      </c>
      <c r="I79" s="313">
        <f>SUM(I76:I78)</f>
        <v>80551</v>
      </c>
      <c r="J79" s="314">
        <f t="shared" si="11"/>
        <v>0.03833813962143996</v>
      </c>
      <c r="K79" s="315">
        <f>SUM(K76:K78)</f>
        <v>97815</v>
      </c>
      <c r="L79" s="316">
        <f t="shared" si="12"/>
        <v>0.04619923173674444</v>
      </c>
      <c r="M79" s="314">
        <f t="shared" si="15"/>
        <v>0.21432384452086256</v>
      </c>
      <c r="N79" s="313">
        <f t="shared" si="16"/>
        <v>233248</v>
      </c>
      <c r="O79" s="314">
        <f t="shared" si="13"/>
        <v>0.055465470457041775</v>
      </c>
      <c r="P79" s="315">
        <f t="shared" si="17"/>
        <v>238535</v>
      </c>
      <c r="Q79" s="316">
        <f t="shared" si="14"/>
        <v>0.05735302108694596</v>
      </c>
      <c r="R79" s="314">
        <f t="shared" si="18"/>
        <v>0.022666861023460008</v>
      </c>
    </row>
    <row r="80" spans="1:18" ht="15.75" thickBot="1">
      <c r="A80" s="307" t="s">
        <v>186</v>
      </c>
      <c r="B80" s="317">
        <v>-164</v>
      </c>
      <c r="C80" s="309">
        <f t="shared" si="8"/>
        <v>-7.793876674257775E-05</v>
      </c>
      <c r="D80" s="318">
        <v>-892</v>
      </c>
      <c r="E80" s="311">
        <f t="shared" si="9"/>
        <v>-0.0004368645078442157</v>
      </c>
      <c r="F80" s="309" t="s">
        <v>88</v>
      </c>
      <c r="G80" s="317">
        <v>-164</v>
      </c>
      <c r="H80" s="318">
        <v>-892</v>
      </c>
      <c r="I80" s="317">
        <v>-83</v>
      </c>
      <c r="J80" s="309">
        <f t="shared" si="11"/>
        <v>-3.9503737862714516E-05</v>
      </c>
      <c r="K80" s="318">
        <v>-142</v>
      </c>
      <c r="L80" s="311">
        <f t="shared" si="12"/>
        <v>-6.706835256982784E-05</v>
      </c>
      <c r="M80" s="309">
        <f t="shared" si="15"/>
        <v>0.7108433734939759</v>
      </c>
      <c r="N80" s="317">
        <f t="shared" si="16"/>
        <v>-247</v>
      </c>
      <c r="O80" s="309">
        <f t="shared" si="13"/>
        <v>-5.8735642761735654E-05</v>
      </c>
      <c r="P80" s="318">
        <f t="shared" si="17"/>
        <v>-1034</v>
      </c>
      <c r="Q80" s="311">
        <f t="shared" si="14"/>
        <v>-0.0002486135108219009</v>
      </c>
      <c r="R80" s="309" t="s">
        <v>88</v>
      </c>
    </row>
    <row r="81" spans="1:18" ht="15.75" thickBot="1">
      <c r="A81" s="304" t="s">
        <v>230</v>
      </c>
      <c r="B81" s="305">
        <f>SUM(B79:B80)</f>
        <v>152533</v>
      </c>
      <c r="C81" s="306">
        <f t="shared" si="8"/>
        <v>0.07248923114357081</v>
      </c>
      <c r="D81" s="305">
        <f>SUM(D79:D80)</f>
        <v>139828</v>
      </c>
      <c r="E81" s="306">
        <f t="shared" si="9"/>
        <v>0.06848193991349887</v>
      </c>
      <c r="F81" s="306">
        <f t="shared" si="10"/>
        <v>-0.08329345125317145</v>
      </c>
      <c r="G81" s="305">
        <f>SUM(G79:G80)</f>
        <v>152533</v>
      </c>
      <c r="H81" s="305">
        <f>SUM(H79:H80)</f>
        <v>139828</v>
      </c>
      <c r="I81" s="305">
        <f>SUM(I79:I80)</f>
        <v>80468</v>
      </c>
      <c r="J81" s="306">
        <f t="shared" si="11"/>
        <v>0.03829863588357725</v>
      </c>
      <c r="K81" s="305">
        <f>SUM(K79:K80)</f>
        <v>97673</v>
      </c>
      <c r="L81" s="306">
        <f t="shared" si="12"/>
        <v>0.046132163384174606</v>
      </c>
      <c r="M81" s="306">
        <f t="shared" si="15"/>
        <v>0.21381170154595616</v>
      </c>
      <c r="N81" s="305">
        <f t="shared" si="16"/>
        <v>233001</v>
      </c>
      <c r="O81" s="306">
        <f t="shared" si="13"/>
        <v>0.05540673481428004</v>
      </c>
      <c r="P81" s="305">
        <f t="shared" si="17"/>
        <v>237501</v>
      </c>
      <c r="Q81" s="306">
        <f t="shared" si="14"/>
        <v>0.05710440757612406</v>
      </c>
      <c r="R81" s="306">
        <f t="shared" si="18"/>
        <v>0.019313221831665957</v>
      </c>
    </row>
    <row r="82" spans="1:8" ht="15">
      <c r="A82" s="204"/>
      <c r="B82" s="206"/>
      <c r="C82" s="207"/>
      <c r="D82" s="209"/>
      <c r="E82" s="207"/>
      <c r="F82" s="207"/>
      <c r="G82" s="206"/>
      <c r="H82" s="209"/>
    </row>
    <row r="83" spans="1:8" ht="15">
      <c r="A83" s="210" t="s">
        <v>188</v>
      </c>
      <c r="B83" s="212"/>
      <c r="C83" s="213"/>
      <c r="D83" s="215"/>
      <c r="E83" s="213"/>
      <c r="F83" s="213"/>
      <c r="G83" s="212"/>
      <c r="H83" s="215"/>
    </row>
    <row r="84" spans="1:18" ht="15.75" thickBot="1">
      <c r="A84" s="216" t="s">
        <v>189</v>
      </c>
      <c r="B84" s="188">
        <v>151672</v>
      </c>
      <c r="C84" s="309">
        <f>+B84/$B$60</f>
        <v>0.07208005261817228</v>
      </c>
      <c r="D84" s="324">
        <v>139150</v>
      </c>
      <c r="E84" s="325">
        <f>+D84/$D$60</f>
        <v>0.06814988370686391</v>
      </c>
      <c r="F84" s="309">
        <f>(D84-B84)/B84</f>
        <v>-0.08255973416319426</v>
      </c>
      <c r="G84" s="188">
        <v>151672</v>
      </c>
      <c r="H84" s="324">
        <v>139150</v>
      </c>
      <c r="I84" s="188">
        <v>79412</v>
      </c>
      <c r="J84" s="309">
        <f>+I84/$I$60</f>
        <v>0.03779603411028777</v>
      </c>
      <c r="K84" s="324">
        <v>96529</v>
      </c>
      <c r="L84" s="325">
        <f>+K84/$K$60</f>
        <v>0.04559183806487966</v>
      </c>
      <c r="M84" s="309">
        <f>(K84-I84)/I84</f>
        <v>0.2155467687503148</v>
      </c>
      <c r="N84" s="188">
        <f t="shared" si="16"/>
        <v>231084</v>
      </c>
      <c r="O84" s="309">
        <f>+N84/$N$60</f>
        <v>0.054950879643534095</v>
      </c>
      <c r="P84" s="324">
        <f t="shared" si="17"/>
        <v>235679</v>
      </c>
      <c r="Q84" s="325">
        <f>+P84/$P$60</f>
        <v>0.05666632844970482</v>
      </c>
      <c r="R84" s="309">
        <f>(P84-N84)/N84</f>
        <v>0.019884544148448185</v>
      </c>
    </row>
    <row r="85" spans="1:18" ht="15.75" thickBot="1">
      <c r="A85" s="218" t="s">
        <v>96</v>
      </c>
      <c r="B85" s="219">
        <v>861</v>
      </c>
      <c r="C85" s="321">
        <f>+B85/$B$60</f>
        <v>0.0004091785253985332</v>
      </c>
      <c r="D85" s="326">
        <v>678</v>
      </c>
      <c r="E85" s="327">
        <f>+D85/$D$60</f>
        <v>0.0003320562066349532</v>
      </c>
      <c r="F85" s="321">
        <f>(D85-B85)/B85</f>
        <v>-0.21254355400696864</v>
      </c>
      <c r="G85" s="219">
        <v>861</v>
      </c>
      <c r="H85" s="326">
        <v>678</v>
      </c>
      <c r="I85" s="219">
        <v>1056</v>
      </c>
      <c r="J85" s="321">
        <f>+I85/$I$60</f>
        <v>0.0005026017732894763</v>
      </c>
      <c r="K85" s="326">
        <v>1144</v>
      </c>
      <c r="L85" s="327">
        <f>+K85/$K$60</f>
        <v>0.0005403253192949511</v>
      </c>
      <c r="M85" s="321">
        <f>(K85-I85)/I85</f>
        <v>0.08333333333333333</v>
      </c>
      <c r="N85" s="219">
        <f t="shared" si="16"/>
        <v>1917</v>
      </c>
      <c r="O85" s="321">
        <f>+N85/$N$60</f>
        <v>0.0004558551707459403</v>
      </c>
      <c r="P85" s="326">
        <f t="shared" si="17"/>
        <v>1822</v>
      </c>
      <c r="Q85" s="327">
        <f>+P85/$P$60</f>
        <v>0.00043807912641924895</v>
      </c>
      <c r="R85" s="321">
        <f>(P85-N85)/N85</f>
        <v>-0.0495565988523735</v>
      </c>
    </row>
    <row r="86" spans="1:18" ht="15.75" thickBot="1">
      <c r="A86" s="221" t="s">
        <v>230</v>
      </c>
      <c r="B86" s="192">
        <f>SUM(B84:B85)</f>
        <v>152533</v>
      </c>
      <c r="C86" s="314">
        <f>+B86/$B$60</f>
        <v>0.07248923114357081</v>
      </c>
      <c r="D86" s="328">
        <f>SUM(D84:D85)</f>
        <v>139828</v>
      </c>
      <c r="E86" s="329">
        <f>+D86/$D$60</f>
        <v>0.06848193991349887</v>
      </c>
      <c r="F86" s="314">
        <f>(D86-B86)/B86</f>
        <v>-0.08329345125317145</v>
      </c>
      <c r="G86" s="192">
        <f>SUM(G84:G85)</f>
        <v>152533</v>
      </c>
      <c r="H86" s="328">
        <f>SUM(H84:H85)</f>
        <v>139828</v>
      </c>
      <c r="I86" s="192">
        <f>SUM(I84:I85)</f>
        <v>80468</v>
      </c>
      <c r="J86" s="314">
        <f>+I86/$I$60</f>
        <v>0.03829863588357725</v>
      </c>
      <c r="K86" s="328">
        <f>SUM(K84:K85)</f>
        <v>97673</v>
      </c>
      <c r="L86" s="329">
        <f>+K86/$K$60</f>
        <v>0.046132163384174606</v>
      </c>
      <c r="M86" s="314">
        <f>(K86-I86)/I86</f>
        <v>0.21381170154595616</v>
      </c>
      <c r="N86" s="192">
        <f t="shared" si="16"/>
        <v>233001</v>
      </c>
      <c r="O86" s="314">
        <f>+N86/$N$60</f>
        <v>0.05540673481428004</v>
      </c>
      <c r="P86" s="328">
        <f t="shared" si="17"/>
        <v>237501</v>
      </c>
      <c r="Q86" s="329">
        <f>+P86/$P$60</f>
        <v>0.05710440757612406</v>
      </c>
      <c r="R86" s="314">
        <f>(P86-N86)/N86</f>
        <v>0.019313221831665957</v>
      </c>
    </row>
    <row r="87" spans="1:18" ht="15.75" thickBot="1">
      <c r="A87" s="330" t="s">
        <v>94</v>
      </c>
      <c r="B87" s="331">
        <v>280995</v>
      </c>
      <c r="C87" s="306">
        <f>+B87/$B$60</f>
        <v>0.13353904732213803</v>
      </c>
      <c r="D87" s="332">
        <v>264549</v>
      </c>
      <c r="E87" s="333">
        <f>+D87/$D$60</f>
        <v>0.1295650994234074</v>
      </c>
      <c r="F87" s="306">
        <f>(D87-B87)/B87</f>
        <v>-0.05852773181017456</v>
      </c>
      <c r="G87" s="331">
        <v>280995</v>
      </c>
      <c r="H87" s="332">
        <v>264549</v>
      </c>
      <c r="I87" s="331">
        <v>253208</v>
      </c>
      <c r="J87" s="306">
        <f>+I87/$I$60</f>
        <v>0.12051400550291828</v>
      </c>
      <c r="K87" s="332">
        <v>262661</v>
      </c>
      <c r="L87" s="333">
        <f>+K87/$K$60</f>
        <v>0.1240580320728419</v>
      </c>
      <c r="M87" s="306">
        <f>(K87-I87)/I87</f>
        <v>0.037332943666866764</v>
      </c>
      <c r="N87" s="331">
        <f t="shared" si="16"/>
        <v>534203</v>
      </c>
      <c r="O87" s="306">
        <f>+N87/$N$60</f>
        <v>0.12703140311841082</v>
      </c>
      <c r="P87" s="332">
        <f t="shared" si="17"/>
        <v>527210</v>
      </c>
      <c r="Q87" s="333">
        <f>+P87/$P$60</f>
        <v>0.12676163350136785</v>
      </c>
      <c r="R87" s="306">
        <f>(P87-N87)/N87</f>
        <v>-0.013090529255732371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Y87"/>
  <sheetViews>
    <sheetView tabSelected="1" zoomScale="90" zoomScaleNormal="90" zoomScalePageLayoutView="0" workbookViewId="0" topLeftCell="A1">
      <selection activeCell="A11" sqref="A11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7" width="11.421875" style="143" customWidth="1"/>
    <col min="8" max="8" width="13.00390625" style="143" customWidth="1"/>
    <col min="9" max="9" width="20.140625" style="143" customWidth="1"/>
    <col min="10" max="10" width="12.140625" style="143" customWidth="1"/>
    <col min="11" max="11" width="11.421875" style="143" customWidth="1"/>
    <col min="12" max="12" width="12.140625" style="143" bestFit="1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8" width="11.421875" style="143" customWidth="1"/>
    <col min="19" max="19" width="12.140625" style="143" bestFit="1" customWidth="1"/>
    <col min="20" max="21" width="11.421875" style="143" customWidth="1"/>
    <col min="22" max="22" width="12.421875" style="143" customWidth="1"/>
    <col min="23" max="23" width="11.421875" style="143" customWidth="1"/>
    <col min="24" max="24" width="12.28125" style="143" customWidth="1"/>
    <col min="25" max="16384" width="11.421875" style="143" customWidth="1"/>
  </cols>
  <sheetData>
    <row r="1" spans="1:5" ht="18.75">
      <c r="A1" s="142" t="s">
        <v>196</v>
      </c>
      <c r="B1" s="351"/>
      <c r="C1" s="351"/>
      <c r="D1" s="351"/>
      <c r="E1" s="351"/>
    </row>
    <row r="2" spans="1:5" ht="15">
      <c r="A2" s="337" t="s">
        <v>236</v>
      </c>
      <c r="B2" s="351"/>
      <c r="C2" s="351"/>
      <c r="D2" s="351"/>
      <c r="E2" s="351"/>
    </row>
    <row r="3" spans="1:5" ht="15">
      <c r="A3" s="337" t="s">
        <v>131</v>
      </c>
      <c r="B3" s="351"/>
      <c r="C3" s="351"/>
      <c r="D3" s="351"/>
      <c r="E3" s="351"/>
    </row>
    <row r="4" spans="1:5" ht="15">
      <c r="A4" s="146" t="s">
        <v>132</v>
      </c>
      <c r="B4" s="351"/>
      <c r="C4" s="351"/>
      <c r="D4" s="351"/>
      <c r="E4" s="351"/>
    </row>
    <row r="5" spans="2:5" ht="15.75" thickBot="1">
      <c r="B5" s="351"/>
      <c r="C5" s="351"/>
      <c r="D5" s="351"/>
      <c r="E5" s="351"/>
    </row>
    <row r="6" spans="1:10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220</v>
      </c>
      <c r="F6" s="336" t="s">
        <v>221</v>
      </c>
      <c r="G6" s="273" t="s">
        <v>92</v>
      </c>
      <c r="H6" s="272" t="s">
        <v>220</v>
      </c>
      <c r="I6" s="336" t="s">
        <v>233</v>
      </c>
      <c r="J6" s="273" t="s">
        <v>92</v>
      </c>
    </row>
    <row r="7" spans="1:10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</row>
    <row r="8" spans="1:10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</row>
    <row r="9" spans="1:10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  <c r="H9" s="157">
        <v>219322</v>
      </c>
      <c r="I9" s="281">
        <v>244514</v>
      </c>
      <c r="J9" s="282">
        <f>(I9-H9)/H9</f>
        <v>0.11486307803138764</v>
      </c>
    </row>
    <row r="10" spans="1:10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  <c r="H10" s="157">
        <v>889197</v>
      </c>
      <c r="I10" s="281">
        <v>997236</v>
      </c>
      <c r="J10" s="282">
        <f aca="true" t="shared" si="2" ref="J10:J15">(I10-H10)/H10</f>
        <v>0.12150175945262973</v>
      </c>
    </row>
    <row r="11" spans="1:10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  <c r="H11" s="157">
        <v>1028417</v>
      </c>
      <c r="I11" s="281">
        <v>1041736</v>
      </c>
      <c r="J11" s="282">
        <f t="shared" si="2"/>
        <v>0.012950972222357273</v>
      </c>
    </row>
    <row r="12" spans="1:10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  <c r="H12" s="157">
        <v>75677</v>
      </c>
      <c r="I12" s="281">
        <v>85823</v>
      </c>
      <c r="J12" s="282">
        <f t="shared" si="2"/>
        <v>0.13406979663570173</v>
      </c>
    </row>
    <row r="13" spans="1:10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  <c r="H13" s="157">
        <v>246832</v>
      </c>
      <c r="I13" s="281">
        <v>295692</v>
      </c>
      <c r="J13" s="282">
        <f t="shared" si="2"/>
        <v>0.19794840215207105</v>
      </c>
    </row>
    <row r="14" spans="1:10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  <c r="E14" s="162">
        <v>100330</v>
      </c>
      <c r="F14" s="283">
        <v>35803</v>
      </c>
      <c r="G14" s="282">
        <f t="shared" si="1"/>
        <v>-0.6431476128775042</v>
      </c>
      <c r="H14" s="162">
        <v>100330</v>
      </c>
      <c r="I14" s="283">
        <v>40926</v>
      </c>
      <c r="J14" s="282">
        <f t="shared" si="2"/>
        <v>-0.5920861158178012</v>
      </c>
    </row>
    <row r="15" spans="1:10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  <c r="E15" s="165">
        <f>SUM(E9:E14)</f>
        <v>2559775</v>
      </c>
      <c r="F15" s="284">
        <f>SUM(F9:F14)</f>
        <v>2642128</v>
      </c>
      <c r="G15" s="282">
        <f t="shared" si="1"/>
        <v>0.03217196823939604</v>
      </c>
      <c r="H15" s="165">
        <f>SUM(H9:H14)</f>
        <v>2559775</v>
      </c>
      <c r="I15" s="284">
        <f>SUM(I9:I14)</f>
        <v>2705927</v>
      </c>
      <c r="J15" s="282">
        <f t="shared" si="2"/>
        <v>0.05709564317176314</v>
      </c>
    </row>
    <row r="16" spans="1:10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</row>
    <row r="17" spans="1:10" ht="15.75" thickBot="1">
      <c r="A17" s="155" t="s">
        <v>135</v>
      </c>
      <c r="B17" s="157">
        <v>23495</v>
      </c>
      <c r="C17" s="281">
        <v>21943</v>
      </c>
      <c r="D17" s="282">
        <f aca="true" t="shared" si="3" ref="D17:D28">(C17-B17)/B17</f>
        <v>-0.06605660778889125</v>
      </c>
      <c r="E17" s="157">
        <v>23495</v>
      </c>
      <c r="F17" s="281">
        <v>23944</v>
      </c>
      <c r="G17" s="282">
        <f aca="true" t="shared" si="4" ref="G17:G28">(F17-E17)/E17</f>
        <v>0.019110449031708873</v>
      </c>
      <c r="H17" s="157">
        <v>23495</v>
      </c>
      <c r="I17" s="281">
        <v>24864</v>
      </c>
      <c r="J17" s="282">
        <f aca="true" t="shared" si="5" ref="J17:J28">(I17-H17)/H17</f>
        <v>0.05826771653543307</v>
      </c>
    </row>
    <row r="18" spans="1:10" ht="15.75" thickBot="1">
      <c r="A18" s="155" t="s">
        <v>136</v>
      </c>
      <c r="B18" s="157">
        <v>7433</v>
      </c>
      <c r="C18" s="281">
        <v>8040</v>
      </c>
      <c r="D18" s="282">
        <f t="shared" si="3"/>
        <v>0.08166285483653976</v>
      </c>
      <c r="E18" s="157">
        <v>7433</v>
      </c>
      <c r="F18" s="281">
        <v>8563</v>
      </c>
      <c r="G18" s="282">
        <f t="shared" si="4"/>
        <v>0.15202475447329478</v>
      </c>
      <c r="H18" s="157">
        <v>7433</v>
      </c>
      <c r="I18" s="281">
        <v>8823</v>
      </c>
      <c r="J18" s="282">
        <f t="shared" si="5"/>
        <v>0.18700390152024754</v>
      </c>
    </row>
    <row r="19" spans="1:10" ht="15.75" thickBot="1">
      <c r="A19" s="155" t="s">
        <v>141</v>
      </c>
      <c r="B19" s="157">
        <v>164510</v>
      </c>
      <c r="C19" s="281">
        <v>162693</v>
      </c>
      <c r="D19" s="282">
        <f t="shared" si="3"/>
        <v>-0.01104492128138107</v>
      </c>
      <c r="E19" s="157">
        <v>164510</v>
      </c>
      <c r="F19" s="281">
        <v>175634</v>
      </c>
      <c r="G19" s="282">
        <f t="shared" si="4"/>
        <v>0.06761898972706826</v>
      </c>
      <c r="H19" s="157">
        <v>164510</v>
      </c>
      <c r="I19" s="281">
        <v>171711</v>
      </c>
      <c r="J19" s="282">
        <f t="shared" si="5"/>
        <v>0.04377241505075679</v>
      </c>
    </row>
    <row r="20" spans="1:10" ht="15.75" thickBot="1">
      <c r="A20" s="155" t="s">
        <v>142</v>
      </c>
      <c r="B20" s="157">
        <v>3885206</v>
      </c>
      <c r="C20" s="281">
        <v>4010528</v>
      </c>
      <c r="D20" s="282">
        <f t="shared" si="3"/>
        <v>0.03225620469030471</v>
      </c>
      <c r="E20" s="157">
        <v>3885206</v>
      </c>
      <c r="F20" s="281">
        <v>4081768</v>
      </c>
      <c r="G20" s="282">
        <f t="shared" si="4"/>
        <v>0.0505924267593533</v>
      </c>
      <c r="H20" s="157">
        <v>3885206</v>
      </c>
      <c r="I20" s="281">
        <v>4186276</v>
      </c>
      <c r="J20" s="282">
        <f t="shared" si="5"/>
        <v>0.0774913865571092</v>
      </c>
    </row>
    <row r="21" spans="1:10" ht="15.75" thickBot="1">
      <c r="A21" s="155" t="s">
        <v>143</v>
      </c>
      <c r="B21" s="157">
        <v>3383513</v>
      </c>
      <c r="C21" s="281">
        <v>3334995</v>
      </c>
      <c r="D21" s="282">
        <f t="shared" si="3"/>
        <v>-0.014339534087795732</v>
      </c>
      <c r="E21" s="157">
        <v>3383513</v>
      </c>
      <c r="F21" s="281">
        <v>3377048</v>
      </c>
      <c r="G21" s="282">
        <f t="shared" si="4"/>
        <v>-0.0019107359717548003</v>
      </c>
      <c r="H21" s="157">
        <v>3383513</v>
      </c>
      <c r="I21" s="281">
        <v>3340223</v>
      </c>
      <c r="J21" s="282">
        <f t="shared" si="5"/>
        <v>-0.012794394465160914</v>
      </c>
    </row>
    <row r="22" spans="1:10" ht="15.75" thickBot="1">
      <c r="A22" s="155" t="s">
        <v>144</v>
      </c>
      <c r="B22" s="157">
        <v>71842</v>
      </c>
      <c r="C22" s="281">
        <v>71797</v>
      </c>
      <c r="D22" s="282">
        <f t="shared" si="3"/>
        <v>-0.0006263745441385262</v>
      </c>
      <c r="E22" s="157">
        <v>71842</v>
      </c>
      <c r="F22" s="281">
        <v>71751</v>
      </c>
      <c r="G22" s="282">
        <f t="shared" si="4"/>
        <v>-0.0012666685225912419</v>
      </c>
      <c r="H22" s="157">
        <v>71842</v>
      </c>
      <c r="I22" s="281">
        <v>72352</v>
      </c>
      <c r="J22" s="282">
        <f t="shared" si="5"/>
        <v>0.00709891150023663</v>
      </c>
    </row>
    <row r="23" spans="1:10" ht="15.75" thickBot="1">
      <c r="A23" s="155" t="s">
        <v>145</v>
      </c>
      <c r="B23" s="157">
        <v>2034454</v>
      </c>
      <c r="C23" s="281">
        <v>2003664</v>
      </c>
      <c r="D23" s="282">
        <f t="shared" si="3"/>
        <v>-0.015134281728660368</v>
      </c>
      <c r="E23" s="157">
        <v>2034454</v>
      </c>
      <c r="F23" s="281">
        <v>2059277</v>
      </c>
      <c r="G23" s="282">
        <f t="shared" si="4"/>
        <v>0.012201308065947915</v>
      </c>
      <c r="H23" s="157">
        <v>2034454</v>
      </c>
      <c r="I23" s="281">
        <v>2061972</v>
      </c>
      <c r="J23" s="282">
        <f t="shared" si="5"/>
        <v>0.01352598780803105</v>
      </c>
    </row>
    <row r="24" spans="1:10" ht="15.75" thickBot="1">
      <c r="A24" s="155" t="s">
        <v>146</v>
      </c>
      <c r="B24" s="157">
        <v>1163671</v>
      </c>
      <c r="C24" s="281">
        <v>1143667</v>
      </c>
      <c r="D24" s="282">
        <f t="shared" si="3"/>
        <v>-0.017190425816231564</v>
      </c>
      <c r="E24" s="157">
        <v>1163671</v>
      </c>
      <c r="F24" s="281">
        <v>1162725</v>
      </c>
      <c r="G24" s="282">
        <f t="shared" si="4"/>
        <v>-0.0008129445521973135</v>
      </c>
      <c r="H24" s="157">
        <v>1163671</v>
      </c>
      <c r="I24" s="281">
        <v>1158978</v>
      </c>
      <c r="J24" s="282">
        <f t="shared" si="5"/>
        <v>-0.004032926832412254</v>
      </c>
    </row>
    <row r="25" spans="1:10" ht="15.75" thickBot="1">
      <c r="A25" s="155" t="s">
        <v>147</v>
      </c>
      <c r="B25" s="157">
        <v>356994</v>
      </c>
      <c r="C25" s="281">
        <v>355573</v>
      </c>
      <c r="D25" s="282">
        <f t="shared" si="3"/>
        <v>-0.003980459055334264</v>
      </c>
      <c r="E25" s="157">
        <v>356994</v>
      </c>
      <c r="F25" s="281">
        <v>374942</v>
      </c>
      <c r="G25" s="282">
        <f t="shared" si="4"/>
        <v>0.05027535476786725</v>
      </c>
      <c r="H25" s="157">
        <v>356994</v>
      </c>
      <c r="I25" s="281">
        <v>380851</v>
      </c>
      <c r="J25" s="282">
        <f t="shared" si="5"/>
        <v>0.06682745368269495</v>
      </c>
    </row>
    <row r="26" spans="1:10" ht="15.75" thickBot="1">
      <c r="A26" s="160" t="s">
        <v>222</v>
      </c>
      <c r="B26" s="162">
        <v>48661</v>
      </c>
      <c r="C26" s="283">
        <v>49430</v>
      </c>
      <c r="D26" s="285">
        <f t="shared" si="3"/>
        <v>0.015803209962803887</v>
      </c>
      <c r="E26" s="162">
        <v>48661</v>
      </c>
      <c r="F26" s="283">
        <v>95978</v>
      </c>
      <c r="G26" s="285">
        <f t="shared" si="4"/>
        <v>0.9723803456566861</v>
      </c>
      <c r="H26" s="162">
        <v>48661</v>
      </c>
      <c r="I26" s="283">
        <v>97870</v>
      </c>
      <c r="J26" s="285">
        <f t="shared" si="5"/>
        <v>1.0112615852530775</v>
      </c>
    </row>
    <row r="27" spans="1:10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3"/>
        <v>0.0020243669106900595</v>
      </c>
      <c r="E27" s="165">
        <f>SUM(E17:E26)</f>
        <v>11139779</v>
      </c>
      <c r="F27" s="284">
        <f>SUM(F17:F26)</f>
        <v>11431630</v>
      </c>
      <c r="G27" s="286">
        <f t="shared" si="4"/>
        <v>0.026198993714327726</v>
      </c>
      <c r="H27" s="165">
        <f>SUM(H17:H26)</f>
        <v>11139779</v>
      </c>
      <c r="I27" s="284">
        <f>SUM(I17:I26)</f>
        <v>11503920</v>
      </c>
      <c r="J27" s="286">
        <f t="shared" si="5"/>
        <v>0.032688350460094405</v>
      </c>
    </row>
    <row r="28" spans="1:10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3"/>
        <v>0.009966674827516283</v>
      </c>
      <c r="E28" s="288">
        <f>+E15+E27</f>
        <v>13699554</v>
      </c>
      <c r="F28" s="289">
        <f>+F15+F27</f>
        <v>14073758</v>
      </c>
      <c r="G28" s="290">
        <f t="shared" si="4"/>
        <v>0.027315049818410146</v>
      </c>
      <c r="H28" s="288">
        <f>+H15+H27</f>
        <v>13699554</v>
      </c>
      <c r="I28" s="289">
        <f>+I15+I27</f>
        <v>14209847</v>
      </c>
      <c r="J28" s="290">
        <f t="shared" si="5"/>
        <v>0.03724887686124673</v>
      </c>
    </row>
    <row r="29" spans="1:10" ht="15">
      <c r="A29" s="274" t="s">
        <v>93</v>
      </c>
      <c r="B29" s="275"/>
      <c r="C29" s="276"/>
      <c r="D29" s="276"/>
      <c r="E29" s="275"/>
      <c r="F29" s="276"/>
      <c r="G29" s="276"/>
      <c r="H29" s="275"/>
      <c r="I29" s="276"/>
      <c r="J29" s="276"/>
    </row>
    <row r="30" spans="1:10" ht="15">
      <c r="A30" s="277" t="s">
        <v>150</v>
      </c>
      <c r="B30" s="278"/>
      <c r="C30" s="279"/>
      <c r="D30" s="280"/>
      <c r="E30" s="278"/>
      <c r="F30" s="279"/>
      <c r="G30" s="280"/>
      <c r="H30" s="278"/>
      <c r="I30" s="279"/>
      <c r="J30" s="280"/>
    </row>
    <row r="31" spans="1:10" ht="15.75" thickBot="1">
      <c r="A31" s="155" t="s">
        <v>151</v>
      </c>
      <c r="B31" s="157">
        <v>847689</v>
      </c>
      <c r="C31" s="281">
        <v>766418</v>
      </c>
      <c r="D31" s="282">
        <f aca="true" t="shared" si="6" ref="D31:D37">(C31-B31)/B31</f>
        <v>-0.09587360458847526</v>
      </c>
      <c r="E31" s="157">
        <v>847689</v>
      </c>
      <c r="F31" s="281">
        <v>656202</v>
      </c>
      <c r="G31" s="282">
        <f aca="true" t="shared" si="7" ref="G31:G37">(F31-E31)/E31</f>
        <v>-0.22589298669677205</v>
      </c>
      <c r="H31" s="157">
        <v>847689</v>
      </c>
      <c r="I31" s="281">
        <v>782255</v>
      </c>
      <c r="J31" s="282">
        <f aca="true" t="shared" si="8" ref="J31:J37">(I31-H31)/H31</f>
        <v>-0.07719104530081197</v>
      </c>
    </row>
    <row r="32" spans="1:10" ht="15.75" thickBot="1">
      <c r="A32" s="155" t="s">
        <v>152</v>
      </c>
      <c r="B32" s="157">
        <v>888840</v>
      </c>
      <c r="C32" s="281">
        <v>950671</v>
      </c>
      <c r="D32" s="282">
        <f t="shared" si="6"/>
        <v>0.06956370100355519</v>
      </c>
      <c r="E32" s="157">
        <v>888840</v>
      </c>
      <c r="F32" s="281">
        <v>930722</v>
      </c>
      <c r="G32" s="282">
        <f t="shared" si="7"/>
        <v>0.04711984159128752</v>
      </c>
      <c r="H32" s="157">
        <v>888840</v>
      </c>
      <c r="I32" s="281">
        <v>866238</v>
      </c>
      <c r="J32" s="282">
        <f t="shared" si="8"/>
        <v>-0.02542864857567166</v>
      </c>
    </row>
    <row r="33" spans="1:10" ht="15.75" thickBot="1">
      <c r="A33" s="155" t="s">
        <v>153</v>
      </c>
      <c r="B33" s="157">
        <v>163362</v>
      </c>
      <c r="C33" s="281">
        <v>156179</v>
      </c>
      <c r="D33" s="282">
        <f t="shared" si="6"/>
        <v>-0.04396983386589293</v>
      </c>
      <c r="E33" s="157">
        <v>163362</v>
      </c>
      <c r="F33" s="281">
        <v>200054</v>
      </c>
      <c r="G33" s="282">
        <f t="shared" si="7"/>
        <v>0.22460547740600628</v>
      </c>
      <c r="H33" s="157">
        <v>163362</v>
      </c>
      <c r="I33" s="281">
        <v>227088</v>
      </c>
      <c r="J33" s="282">
        <f t="shared" si="8"/>
        <v>0.3900907187718074</v>
      </c>
    </row>
    <row r="34" spans="1:10" ht="15.75" thickBot="1">
      <c r="A34" s="155" t="s">
        <v>154</v>
      </c>
      <c r="B34" s="157">
        <v>161592</v>
      </c>
      <c r="C34" s="281">
        <v>153375</v>
      </c>
      <c r="D34" s="282">
        <f t="shared" si="6"/>
        <v>-0.050850289618297934</v>
      </c>
      <c r="E34" s="157">
        <v>161592</v>
      </c>
      <c r="F34" s="281">
        <v>151445</v>
      </c>
      <c r="G34" s="282">
        <f t="shared" si="7"/>
        <v>-0.06279395019555424</v>
      </c>
      <c r="H34" s="157">
        <v>161592</v>
      </c>
      <c r="I34" s="281">
        <v>200062</v>
      </c>
      <c r="J34" s="282">
        <f t="shared" si="8"/>
        <v>0.23806871627308282</v>
      </c>
    </row>
    <row r="35" spans="1:10" ht="15.75" thickBot="1">
      <c r="A35" s="155" t="s">
        <v>155</v>
      </c>
      <c r="B35" s="157">
        <v>2734</v>
      </c>
      <c r="C35" s="281">
        <v>1360</v>
      </c>
      <c r="D35" s="282">
        <f t="shared" si="6"/>
        <v>-0.5025603511338698</v>
      </c>
      <c r="E35" s="157">
        <v>2734</v>
      </c>
      <c r="F35" s="281">
        <v>1139</v>
      </c>
      <c r="G35" s="282">
        <f t="shared" si="7"/>
        <v>-0.583394294074616</v>
      </c>
      <c r="H35" s="157">
        <v>2734</v>
      </c>
      <c r="I35" s="281">
        <v>1139</v>
      </c>
      <c r="J35" s="282">
        <f t="shared" si="8"/>
        <v>-0.583394294074616</v>
      </c>
    </row>
    <row r="36" spans="1:10" ht="15.75" thickBot="1">
      <c r="A36" s="160" t="s">
        <v>223</v>
      </c>
      <c r="B36" s="162">
        <v>49746</v>
      </c>
      <c r="C36" s="283">
        <v>49399</v>
      </c>
      <c r="D36" s="285">
        <f t="shared" si="6"/>
        <v>-0.006975435210871226</v>
      </c>
      <c r="E36" s="162">
        <v>49746</v>
      </c>
      <c r="F36" s="283">
        <v>43019</v>
      </c>
      <c r="G36" s="285">
        <f t="shared" si="7"/>
        <v>-0.13522695292083786</v>
      </c>
      <c r="H36" s="162">
        <v>49746</v>
      </c>
      <c r="I36" s="283">
        <v>52321</v>
      </c>
      <c r="J36" s="285">
        <f t="shared" si="8"/>
        <v>0.05176295581554296</v>
      </c>
    </row>
    <row r="37" spans="1:10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6"/>
        <v>-0.017295004690242925</v>
      </c>
      <c r="E37" s="165">
        <f>SUM(E31:E36)</f>
        <v>2113963</v>
      </c>
      <c r="F37" s="284">
        <f>SUM(F31:F36)</f>
        <v>1982581</v>
      </c>
      <c r="G37" s="286">
        <f t="shared" si="7"/>
        <v>-0.06214962135098864</v>
      </c>
      <c r="H37" s="165">
        <f>SUM(H31:H36)</f>
        <v>2113963</v>
      </c>
      <c r="I37" s="284">
        <f>SUM(I31:I36)</f>
        <v>2129103</v>
      </c>
      <c r="J37" s="286">
        <f t="shared" si="8"/>
        <v>0.007161903968990943</v>
      </c>
    </row>
    <row r="38" spans="1:10" ht="15">
      <c r="A38" s="277" t="s">
        <v>157</v>
      </c>
      <c r="B38" s="278"/>
      <c r="C38" s="279"/>
      <c r="D38" s="280"/>
      <c r="E38" s="278"/>
      <c r="F38" s="279"/>
      <c r="G38" s="280"/>
      <c r="H38" s="278"/>
      <c r="I38" s="279"/>
      <c r="J38" s="280"/>
    </row>
    <row r="39" spans="1:10" ht="15.75" thickBot="1">
      <c r="A39" s="155" t="s">
        <v>151</v>
      </c>
      <c r="B39" s="157">
        <v>2277429</v>
      </c>
      <c r="C39" s="281">
        <v>2521441</v>
      </c>
      <c r="D39" s="282">
        <f aca="true" t="shared" si="9" ref="D39:D45">(C39-B39)/B39</f>
        <v>0.10714362555320056</v>
      </c>
      <c r="E39" s="157">
        <v>2277429</v>
      </c>
      <c r="F39" s="281">
        <v>2514525</v>
      </c>
      <c r="G39" s="282">
        <f aca="true" t="shared" si="10" ref="G39:G45">(F39-E39)/E39</f>
        <v>0.10410686787601282</v>
      </c>
      <c r="H39" s="157">
        <v>2277429</v>
      </c>
      <c r="I39" s="281">
        <v>2353842</v>
      </c>
      <c r="J39" s="282">
        <f aca="true" t="shared" si="11" ref="J39:J45">(I39-H39)/H39</f>
        <v>0.03355230832662621</v>
      </c>
    </row>
    <row r="40" spans="1:10" ht="15.75" thickBot="1">
      <c r="A40" s="155" t="s">
        <v>152</v>
      </c>
      <c r="B40" s="156">
        <v>158</v>
      </c>
      <c r="C40" s="291">
        <v>158</v>
      </c>
      <c r="D40" s="282">
        <f t="shared" si="9"/>
        <v>0</v>
      </c>
      <c r="E40" s="156">
        <v>158</v>
      </c>
      <c r="F40" s="291">
        <v>158</v>
      </c>
      <c r="G40" s="282">
        <f t="shared" si="10"/>
        <v>0</v>
      </c>
      <c r="H40" s="156">
        <v>158</v>
      </c>
      <c r="I40" s="291">
        <v>158</v>
      </c>
      <c r="J40" s="282">
        <f t="shared" si="11"/>
        <v>0</v>
      </c>
    </row>
    <row r="41" spans="1:10" ht="15.75" thickBot="1">
      <c r="A41" s="155" t="s">
        <v>154</v>
      </c>
      <c r="B41" s="157">
        <v>216744</v>
      </c>
      <c r="C41" s="281">
        <v>221537</v>
      </c>
      <c r="D41" s="282">
        <f t="shared" si="9"/>
        <v>0.022113645591112095</v>
      </c>
      <c r="E41" s="157">
        <v>216744</v>
      </c>
      <c r="F41" s="281">
        <v>229319</v>
      </c>
      <c r="G41" s="282">
        <f t="shared" si="10"/>
        <v>0.058017753663307865</v>
      </c>
      <c r="H41" s="157">
        <v>216744</v>
      </c>
      <c r="I41" s="281">
        <v>234802</v>
      </c>
      <c r="J41" s="282">
        <f t="shared" si="11"/>
        <v>0.08331487838186985</v>
      </c>
    </row>
    <row r="42" spans="1:10" ht="15.75" thickBot="1">
      <c r="A42" s="155" t="s">
        <v>158</v>
      </c>
      <c r="B42" s="157">
        <v>705700</v>
      </c>
      <c r="C42" s="281">
        <v>700242</v>
      </c>
      <c r="D42" s="282">
        <f t="shared" si="9"/>
        <v>-0.007734164659203627</v>
      </c>
      <c r="E42" s="157">
        <v>705700</v>
      </c>
      <c r="F42" s="281">
        <v>701487</v>
      </c>
      <c r="G42" s="282">
        <f t="shared" si="10"/>
        <v>-0.00596995890605073</v>
      </c>
      <c r="H42" s="157">
        <v>705700</v>
      </c>
      <c r="I42" s="281">
        <v>690887</v>
      </c>
      <c r="J42" s="282">
        <f t="shared" si="11"/>
        <v>-0.020990505880685843</v>
      </c>
    </row>
    <row r="43" spans="1:10" ht="15.75" thickBot="1">
      <c r="A43" s="160" t="s">
        <v>224</v>
      </c>
      <c r="B43" s="161">
        <v>600</v>
      </c>
      <c r="C43" s="292">
        <v>618</v>
      </c>
      <c r="D43" s="282">
        <f t="shared" si="9"/>
        <v>0.03</v>
      </c>
      <c r="E43" s="161">
        <v>600</v>
      </c>
      <c r="F43" s="292">
        <v>657</v>
      </c>
      <c r="G43" s="282">
        <f>(F43-E43)/E43</f>
        <v>0.095</v>
      </c>
      <c r="H43" s="161">
        <v>600</v>
      </c>
      <c r="I43" s="292">
        <v>613</v>
      </c>
      <c r="J43" s="282">
        <f t="shared" si="11"/>
        <v>0.021666666666666667</v>
      </c>
    </row>
    <row r="44" spans="1:10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9"/>
        <v>0.07603656903904261</v>
      </c>
      <c r="E44" s="165">
        <f>SUM(E39:E43)</f>
        <v>3200631</v>
      </c>
      <c r="F44" s="284">
        <f>SUM(F39:F43)</f>
        <v>3446146</v>
      </c>
      <c r="G44" s="286">
        <f t="shared" si="10"/>
        <v>0.07670831157981035</v>
      </c>
      <c r="H44" s="165">
        <f>SUM(H39:H43)</f>
        <v>3200631</v>
      </c>
      <c r="I44" s="284">
        <f>SUM(I39:I43)</f>
        <v>3280302</v>
      </c>
      <c r="J44" s="286">
        <f t="shared" si="11"/>
        <v>0.024892279053724094</v>
      </c>
    </row>
    <row r="45" spans="1:10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9"/>
        <v>0.03891247384089923</v>
      </c>
      <c r="E45" s="288">
        <f>+E37+E44</f>
        <v>5314594</v>
      </c>
      <c r="F45" s="289">
        <f>+F37+F44</f>
        <v>5428727</v>
      </c>
      <c r="G45" s="290">
        <f t="shared" si="10"/>
        <v>0.021475393981177114</v>
      </c>
      <c r="H45" s="288">
        <f>+H37+H44</f>
        <v>5314594</v>
      </c>
      <c r="I45" s="289">
        <f>+I37+I44</f>
        <v>5409405</v>
      </c>
      <c r="J45" s="290">
        <f t="shared" si="11"/>
        <v>0.017839744672876235</v>
      </c>
    </row>
    <row r="46" spans="1:10" ht="15">
      <c r="A46" s="274" t="s">
        <v>162</v>
      </c>
      <c r="B46" s="275"/>
      <c r="C46" s="276"/>
      <c r="D46" s="276"/>
      <c r="E46" s="275"/>
      <c r="F46" s="276"/>
      <c r="G46" s="276"/>
      <c r="H46" s="275"/>
      <c r="I46" s="276"/>
      <c r="J46" s="276"/>
    </row>
    <row r="47" spans="1:10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  <c r="E47" s="165">
        <v>8346719</v>
      </c>
      <c r="F47" s="284">
        <v>8606275</v>
      </c>
      <c r="G47" s="286">
        <f>(F47-E47)/E47</f>
        <v>0.03109676988047639</v>
      </c>
      <c r="H47" s="165">
        <v>8346719</v>
      </c>
      <c r="I47" s="284">
        <v>8760740</v>
      </c>
      <c r="J47" s="286">
        <f>(I47-H47)/H47</f>
        <v>0.049602843943829904</v>
      </c>
    </row>
    <row r="48" spans="1:10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  <c r="E48" s="162">
        <v>38241</v>
      </c>
      <c r="F48" s="283">
        <v>38756</v>
      </c>
      <c r="G48" s="285">
        <f>(F48-E48)/E48</f>
        <v>0.013467221045474752</v>
      </c>
      <c r="H48" s="162">
        <v>38241</v>
      </c>
      <c r="I48" s="283">
        <v>39702</v>
      </c>
      <c r="J48" s="285">
        <f>(I48-H48)/H48</f>
        <v>0.0382050678591041</v>
      </c>
    </row>
    <row r="49" spans="1:10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  <c r="E49" s="288">
        <f>SUM(E47:E48)</f>
        <v>8384960</v>
      </c>
      <c r="F49" s="289">
        <f>SUM(F47:F48)</f>
        <v>8645031</v>
      </c>
      <c r="G49" s="290">
        <f>(F49-E49)/E49</f>
        <v>0.031016367400679312</v>
      </c>
      <c r="H49" s="288">
        <f>SUM(H47:H48)</f>
        <v>8384960</v>
      </c>
      <c r="I49" s="289">
        <f>SUM(I47:I48)</f>
        <v>8800442</v>
      </c>
      <c r="J49" s="290">
        <f>(I49-H49)/H49</f>
        <v>0.049550862496660686</v>
      </c>
    </row>
    <row r="50" spans="1:10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  <c r="E50" s="294">
        <f>+E45+E49</f>
        <v>13699554</v>
      </c>
      <c r="F50" s="295">
        <f>+F45+F49</f>
        <v>14073758</v>
      </c>
      <c r="G50" s="296">
        <f>(F50-E50)/E50</f>
        <v>0.027315049818410146</v>
      </c>
      <c r="H50" s="294">
        <f>+H45+H49</f>
        <v>13699554</v>
      </c>
      <c r="I50" s="295">
        <f>+I45+I49</f>
        <v>14209847</v>
      </c>
      <c r="J50" s="296">
        <f>(I50-H50)/H50</f>
        <v>0.03724887686124673</v>
      </c>
    </row>
    <row r="53" spans="1:5" ht="18.75">
      <c r="A53" s="179" t="s">
        <v>165</v>
      </c>
      <c r="B53" s="351"/>
      <c r="C53" s="351"/>
      <c r="D53" s="351"/>
      <c r="E53" s="351"/>
    </row>
    <row r="54" spans="1:5" ht="15">
      <c r="A54" s="247" t="s">
        <v>232</v>
      </c>
      <c r="B54" s="351"/>
      <c r="C54" s="351"/>
      <c r="D54" s="351"/>
      <c r="E54" s="351"/>
    </row>
    <row r="55" spans="1:5" ht="15">
      <c r="A55" s="337" t="s">
        <v>131</v>
      </c>
      <c r="B55" s="351"/>
      <c r="C55" s="351"/>
      <c r="D55" s="351"/>
      <c r="E55" s="351"/>
    </row>
    <row r="56" spans="1:5" ht="15">
      <c r="A56" s="146" t="s">
        <v>132</v>
      </c>
      <c r="B56" s="351"/>
      <c r="C56" s="351"/>
      <c r="D56" s="351"/>
      <c r="E56" s="351"/>
    </row>
    <row r="57" spans="2:5" ht="15.75" thickBot="1">
      <c r="B57" s="351"/>
      <c r="C57" s="351"/>
      <c r="D57" s="351"/>
      <c r="E57" s="351"/>
    </row>
    <row r="58" spans="1:25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  <c r="G58" s="298" t="s">
        <v>205</v>
      </c>
      <c r="H58" s="256" t="s">
        <v>98</v>
      </c>
      <c r="I58" s="299" t="s">
        <v>226</v>
      </c>
      <c r="J58" s="256" t="s">
        <v>98</v>
      </c>
      <c r="K58" s="256" t="s">
        <v>99</v>
      </c>
      <c r="L58" s="256" t="s">
        <v>193</v>
      </c>
      <c r="M58" s="299" t="s">
        <v>218</v>
      </c>
      <c r="N58" s="298" t="s">
        <v>204</v>
      </c>
      <c r="O58" s="299" t="s">
        <v>225</v>
      </c>
      <c r="P58" s="298" t="s">
        <v>209</v>
      </c>
      <c r="Q58" s="298" t="s">
        <v>98</v>
      </c>
      <c r="R58" s="299" t="s">
        <v>235</v>
      </c>
      <c r="S58" s="298" t="s">
        <v>98</v>
      </c>
      <c r="T58" s="298" t="s">
        <v>99</v>
      </c>
      <c r="U58" s="298" t="s">
        <v>207</v>
      </c>
      <c r="V58" s="298" t="s">
        <v>98</v>
      </c>
      <c r="W58" s="299" t="s">
        <v>234</v>
      </c>
      <c r="X58" s="299" t="s">
        <v>98</v>
      </c>
      <c r="Y58" s="298" t="s">
        <v>99</v>
      </c>
    </row>
    <row r="59" spans="1:25" ht="15.75" thickTop="1">
      <c r="A59" s="300" t="s">
        <v>168</v>
      </c>
      <c r="B59" s="301"/>
      <c r="C59" s="301"/>
      <c r="D59" s="302"/>
      <c r="E59" s="303"/>
      <c r="F59" s="301"/>
      <c r="G59" s="301"/>
      <c r="H59" s="301"/>
      <c r="I59" s="302"/>
      <c r="J59" s="301"/>
      <c r="K59" s="301"/>
      <c r="L59" s="301"/>
      <c r="M59" s="302"/>
      <c r="N59" s="301"/>
      <c r="O59" s="302"/>
      <c r="P59" s="301"/>
      <c r="Q59" s="301"/>
      <c r="R59" s="302"/>
      <c r="S59" s="301"/>
      <c r="T59" s="301"/>
      <c r="U59" s="301"/>
      <c r="V59" s="301"/>
      <c r="W59" s="302"/>
      <c r="X59" s="303"/>
      <c r="Y59" s="301"/>
    </row>
    <row r="60" spans="1:25" ht="15.75" thickBot="1">
      <c r="A60" s="304" t="s">
        <v>169</v>
      </c>
      <c r="B60" s="305">
        <v>2104216</v>
      </c>
      <c r="C60" s="306">
        <f aca="true" t="shared" si="12" ref="C60:C81">+B60/$B$60</f>
        <v>1</v>
      </c>
      <c r="D60" s="305">
        <v>2041823</v>
      </c>
      <c r="E60" s="306">
        <f aca="true" t="shared" si="13" ref="E60:E81">+D60/$D$60</f>
        <v>1</v>
      </c>
      <c r="F60" s="306">
        <f>(D60-B60)/B60</f>
        <v>-0.029651423618107648</v>
      </c>
      <c r="G60" s="305">
        <v>4205283</v>
      </c>
      <c r="H60" s="338">
        <f aca="true" t="shared" si="14" ref="H60:H81">+G60/$G$60</f>
        <v>1</v>
      </c>
      <c r="I60" s="305">
        <v>4159066</v>
      </c>
      <c r="J60" s="306">
        <f aca="true" t="shared" si="15" ref="J60:J81">+I60/$I$60</f>
        <v>1</v>
      </c>
      <c r="K60" s="306">
        <f>(I60-G60)/G60</f>
        <v>-0.010990223487931728</v>
      </c>
      <c r="L60" s="305">
        <v>2104216</v>
      </c>
      <c r="M60" s="305">
        <v>2041823</v>
      </c>
      <c r="N60" s="305">
        <v>2101067</v>
      </c>
      <c r="O60" s="305">
        <v>2117243</v>
      </c>
      <c r="P60" s="305">
        <v>2214012</v>
      </c>
      <c r="Q60" s="306">
        <f aca="true" t="shared" si="16" ref="Q60:Q81">+P60/$P$60</f>
        <v>1</v>
      </c>
      <c r="R60" s="305">
        <v>2232343</v>
      </c>
      <c r="S60" s="306">
        <f aca="true" t="shared" si="17" ref="S60:S81">+R60/$R$60</f>
        <v>1</v>
      </c>
      <c r="T60" s="306">
        <f>(R60-P60)/P60</f>
        <v>0.008279539586957974</v>
      </c>
      <c r="U60" s="305">
        <f>+L60+N60+P60</f>
        <v>6419295</v>
      </c>
      <c r="V60" s="306">
        <f aca="true" t="shared" si="18" ref="V60:V81">+U60/$U$60</f>
        <v>1</v>
      </c>
      <c r="W60" s="305">
        <f>+M60+O60+R60</f>
        <v>6391409</v>
      </c>
      <c r="X60" s="306">
        <f aca="true" t="shared" si="19" ref="X60:X81">+W60/$W$60</f>
        <v>1</v>
      </c>
      <c r="Y60" s="306">
        <f>(W60-U60)/U60</f>
        <v>-0.004344090745167499</v>
      </c>
    </row>
    <row r="61" spans="1:25" ht="15.75" thickBot="1">
      <c r="A61" s="307" t="s">
        <v>45</v>
      </c>
      <c r="B61" s="308">
        <v>-1196310</v>
      </c>
      <c r="C61" s="309">
        <f t="shared" si="12"/>
        <v>-0.5685300368403243</v>
      </c>
      <c r="D61" s="310">
        <v>-1150561</v>
      </c>
      <c r="E61" s="311">
        <f t="shared" si="13"/>
        <v>-0.5634969338674312</v>
      </c>
      <c r="F61" s="309">
        <f aca="true" t="shared" si="20" ref="F61:F81">(D61-B61)/B61</f>
        <v>-0.038241760078909316</v>
      </c>
      <c r="G61" s="308">
        <v>-2399295</v>
      </c>
      <c r="H61" s="339">
        <f t="shared" si="14"/>
        <v>-0.5705430526316541</v>
      </c>
      <c r="I61" s="310">
        <v>-2333030</v>
      </c>
      <c r="J61" s="309">
        <f t="shared" si="15"/>
        <v>-0.5609504633973108</v>
      </c>
      <c r="K61" s="309">
        <f aca="true" t="shared" si="21" ref="K61:K87">(I61-G61)/G61</f>
        <v>-0.02761852960973953</v>
      </c>
      <c r="L61" s="308">
        <v>-1196310</v>
      </c>
      <c r="M61" s="310">
        <v>-1150561</v>
      </c>
      <c r="N61" s="308">
        <v>-1202985</v>
      </c>
      <c r="O61" s="310">
        <v>-1182469</v>
      </c>
      <c r="P61" s="308">
        <v>-1279858</v>
      </c>
      <c r="Q61" s="309">
        <f t="shared" si="16"/>
        <v>-0.5780718442357132</v>
      </c>
      <c r="R61" s="310">
        <v>-1236124</v>
      </c>
      <c r="S61" s="309">
        <f t="shared" si="17"/>
        <v>-0.5537339020034108</v>
      </c>
      <c r="T61" s="309">
        <f aca="true" t="shared" si="22" ref="T61:T87">(R61-P61)/P61</f>
        <v>-0.03417097834290991</v>
      </c>
      <c r="U61" s="308">
        <f aca="true" t="shared" si="23" ref="U61:U87">+L61+N61+P61</f>
        <v>-3679153</v>
      </c>
      <c r="V61" s="309">
        <f t="shared" si="18"/>
        <v>-0.5731397295185842</v>
      </c>
      <c r="W61" s="310">
        <f aca="true" t="shared" si="24" ref="W61:W87">+M61+O61+R61</f>
        <v>-3569154</v>
      </c>
      <c r="X61" s="311">
        <f t="shared" si="19"/>
        <v>-0.5584299174094476</v>
      </c>
      <c r="Y61" s="309">
        <f aca="true" t="shared" si="25" ref="Y61:Y81">(W61-U61)/U61</f>
        <v>-0.029897914003576366</v>
      </c>
    </row>
    <row r="62" spans="1:25" ht="15.75" thickBot="1">
      <c r="A62" s="312" t="s">
        <v>95</v>
      </c>
      <c r="B62" s="313">
        <f>SUM(B60:B61)</f>
        <v>907906</v>
      </c>
      <c r="C62" s="314">
        <f t="shared" si="12"/>
        <v>0.4314699631596756</v>
      </c>
      <c r="D62" s="315">
        <f>SUM(D60:D61)</f>
        <v>891262</v>
      </c>
      <c r="E62" s="316">
        <f t="shared" si="13"/>
        <v>0.4365030661325688</v>
      </c>
      <c r="F62" s="314">
        <f t="shared" si="20"/>
        <v>-0.01833229431240679</v>
      </c>
      <c r="G62" s="313">
        <v>1805988</v>
      </c>
      <c r="H62" s="340">
        <f t="shared" si="14"/>
        <v>0.42945694736834594</v>
      </c>
      <c r="I62" s="315">
        <v>1826036</v>
      </c>
      <c r="J62" s="314">
        <f t="shared" si="15"/>
        <v>0.43904953660268914</v>
      </c>
      <c r="K62" s="314">
        <f t="shared" si="21"/>
        <v>0.011100848953592162</v>
      </c>
      <c r="L62" s="313">
        <v>907906</v>
      </c>
      <c r="M62" s="315">
        <f>SUM(M60:M61)</f>
        <v>891262</v>
      </c>
      <c r="N62" s="313">
        <f>SUM(N60:N61)</f>
        <v>898082</v>
      </c>
      <c r="O62" s="315">
        <f>SUM(O60:O61)</f>
        <v>934774</v>
      </c>
      <c r="P62" s="313">
        <v>934154</v>
      </c>
      <c r="Q62" s="314">
        <f t="shared" si="16"/>
        <v>0.4219281557642867</v>
      </c>
      <c r="R62" s="315">
        <v>996219</v>
      </c>
      <c r="S62" s="314">
        <f t="shared" si="17"/>
        <v>0.44626609799658923</v>
      </c>
      <c r="T62" s="314">
        <f t="shared" si="22"/>
        <v>0.06643979472335397</v>
      </c>
      <c r="U62" s="313">
        <f t="shared" si="23"/>
        <v>2740142</v>
      </c>
      <c r="V62" s="314">
        <f t="shared" si="18"/>
        <v>0.4268602704814158</v>
      </c>
      <c r="W62" s="315">
        <f t="shared" si="24"/>
        <v>2822255</v>
      </c>
      <c r="X62" s="316">
        <f t="shared" si="19"/>
        <v>0.4415700825905524</v>
      </c>
      <c r="Y62" s="314">
        <f t="shared" si="25"/>
        <v>0.029966695156674363</v>
      </c>
    </row>
    <row r="63" spans="1:25" ht="15.75" thickBot="1">
      <c r="A63" s="307" t="s">
        <v>170</v>
      </c>
      <c r="B63" s="308">
        <v>-97009</v>
      </c>
      <c r="C63" s="309">
        <f t="shared" si="12"/>
        <v>-0.046102206237382475</v>
      </c>
      <c r="D63" s="310">
        <v>-100251</v>
      </c>
      <c r="E63" s="311">
        <f t="shared" si="13"/>
        <v>-0.049098771049204556</v>
      </c>
      <c r="F63" s="309">
        <f t="shared" si="20"/>
        <v>0.03341957962663258</v>
      </c>
      <c r="G63" s="308">
        <v>-193987</v>
      </c>
      <c r="H63" s="339">
        <f t="shared" si="14"/>
        <v>-0.0461293568114203</v>
      </c>
      <c r="I63" s="310">
        <v>-195591</v>
      </c>
      <c r="J63" s="309">
        <f t="shared" si="15"/>
        <v>-0.04702762591408744</v>
      </c>
      <c r="K63" s="309">
        <f t="shared" si="21"/>
        <v>0.008268595318242975</v>
      </c>
      <c r="L63" s="308">
        <v>-97009</v>
      </c>
      <c r="M63" s="310">
        <v>-100251</v>
      </c>
      <c r="N63" s="308">
        <v>-96978</v>
      </c>
      <c r="O63" s="310">
        <v>-95340</v>
      </c>
      <c r="P63" s="308">
        <v>-99902</v>
      </c>
      <c r="Q63" s="309">
        <f t="shared" si="16"/>
        <v>-0.04512260999488711</v>
      </c>
      <c r="R63" s="310">
        <v>-97458</v>
      </c>
      <c r="S63" s="309">
        <f t="shared" si="17"/>
        <v>-0.04365726951458625</v>
      </c>
      <c r="T63" s="309">
        <f t="shared" si="22"/>
        <v>-0.0244639746952013</v>
      </c>
      <c r="U63" s="308">
        <f t="shared" si="23"/>
        <v>-293889</v>
      </c>
      <c r="V63" s="309">
        <f t="shared" si="18"/>
        <v>-0.045782130280661665</v>
      </c>
      <c r="W63" s="310">
        <f t="shared" si="24"/>
        <v>-293049</v>
      </c>
      <c r="X63" s="311">
        <f t="shared" si="19"/>
        <v>-0.04585045331944803</v>
      </c>
      <c r="Y63" s="309">
        <f t="shared" si="25"/>
        <v>-0.002858221981768627</v>
      </c>
    </row>
    <row r="64" spans="1:25" ht="15.75" thickBot="1">
      <c r="A64" s="307" t="s">
        <v>171</v>
      </c>
      <c r="B64" s="308">
        <v>-547935</v>
      </c>
      <c r="C64" s="309">
        <f t="shared" si="12"/>
        <v>-0.2603986472871606</v>
      </c>
      <c r="D64" s="310">
        <v>-563544</v>
      </c>
      <c r="E64" s="311">
        <f t="shared" si="13"/>
        <v>-0.2760004172741712</v>
      </c>
      <c r="F64" s="309">
        <f t="shared" si="20"/>
        <v>0.028486955569547483</v>
      </c>
      <c r="G64" s="308">
        <v>-1128655</v>
      </c>
      <c r="H64" s="339">
        <f t="shared" si="14"/>
        <v>-0.26838978494431887</v>
      </c>
      <c r="I64" s="310">
        <v>-1188495</v>
      </c>
      <c r="J64" s="309">
        <f t="shared" si="15"/>
        <v>-0.2857600720931094</v>
      </c>
      <c r="K64" s="309">
        <f t="shared" si="21"/>
        <v>0.05301885873008138</v>
      </c>
      <c r="L64" s="308">
        <v>-547935</v>
      </c>
      <c r="M64" s="310">
        <v>-563544</v>
      </c>
      <c r="N64" s="308">
        <v>-580720</v>
      </c>
      <c r="O64" s="310">
        <v>-624951</v>
      </c>
      <c r="P64" s="308">
        <v>-596608</v>
      </c>
      <c r="Q64" s="309">
        <f t="shared" si="16"/>
        <v>-0.2694691808355149</v>
      </c>
      <c r="R64" s="310">
        <v>-656668</v>
      </c>
      <c r="S64" s="309">
        <f t="shared" si="17"/>
        <v>-0.2941608883581063</v>
      </c>
      <c r="T64" s="309">
        <f t="shared" si="22"/>
        <v>0.10066911606951298</v>
      </c>
      <c r="U64" s="308">
        <f t="shared" si="23"/>
        <v>-1725263</v>
      </c>
      <c r="V64" s="309">
        <f t="shared" si="18"/>
        <v>-0.2687620681087253</v>
      </c>
      <c r="W64" s="310">
        <f t="shared" si="24"/>
        <v>-1845163</v>
      </c>
      <c r="X64" s="311">
        <f t="shared" si="19"/>
        <v>-0.2886942456663312</v>
      </c>
      <c r="Y64" s="309">
        <f t="shared" si="25"/>
        <v>0.06949665065558121</v>
      </c>
    </row>
    <row r="65" spans="1:25" ht="15.75" thickBot="1">
      <c r="A65" s="307" t="s">
        <v>172</v>
      </c>
      <c r="B65" s="308">
        <v>-34692</v>
      </c>
      <c r="C65" s="309">
        <f t="shared" si="12"/>
        <v>-0.016486900584350657</v>
      </c>
      <c r="D65" s="310">
        <v>-32942</v>
      </c>
      <c r="E65" s="311">
        <f t="shared" si="13"/>
        <v>-0.016133621768390307</v>
      </c>
      <c r="F65" s="309">
        <f t="shared" si="20"/>
        <v>-0.050443906376109765</v>
      </c>
      <c r="G65" s="308">
        <v>-69304</v>
      </c>
      <c r="H65" s="339">
        <f t="shared" si="14"/>
        <v>-0.01648022261521995</v>
      </c>
      <c r="I65" s="310">
        <v>-66382</v>
      </c>
      <c r="J65" s="309">
        <f t="shared" si="15"/>
        <v>-0.015960795043887258</v>
      </c>
      <c r="K65" s="309">
        <f t="shared" si="21"/>
        <v>-0.04216206856747085</v>
      </c>
      <c r="L65" s="308">
        <v>-34692</v>
      </c>
      <c r="M65" s="310">
        <v>-32942</v>
      </c>
      <c r="N65" s="308">
        <v>-34612</v>
      </c>
      <c r="O65" s="310">
        <v>-33440</v>
      </c>
      <c r="P65" s="308">
        <v>-37705</v>
      </c>
      <c r="Q65" s="309">
        <f t="shared" si="16"/>
        <v>-0.01703016966484373</v>
      </c>
      <c r="R65" s="310">
        <v>-35038</v>
      </c>
      <c r="S65" s="309">
        <f t="shared" si="17"/>
        <v>-0.01569561666822706</v>
      </c>
      <c r="T65" s="309">
        <f t="shared" si="22"/>
        <v>-0.07073332449277284</v>
      </c>
      <c r="U65" s="308">
        <f t="shared" si="23"/>
        <v>-107009</v>
      </c>
      <c r="V65" s="309">
        <f t="shared" si="18"/>
        <v>-0.01666989910885853</v>
      </c>
      <c r="W65" s="310">
        <f t="shared" si="24"/>
        <v>-101420</v>
      </c>
      <c r="X65" s="311">
        <f t="shared" si="19"/>
        <v>-0.015868175546268435</v>
      </c>
      <c r="Y65" s="309">
        <f t="shared" si="25"/>
        <v>-0.05222925174518031</v>
      </c>
    </row>
    <row r="66" spans="1:25" ht="15.75" thickBot="1">
      <c r="A66" s="307" t="s">
        <v>173</v>
      </c>
      <c r="B66" s="308">
        <v>3848</v>
      </c>
      <c r="C66" s="309">
        <f t="shared" si="12"/>
        <v>0.0018287096001551172</v>
      </c>
      <c r="D66" s="310">
        <v>2176</v>
      </c>
      <c r="E66" s="311">
        <f t="shared" si="13"/>
        <v>0.0010657143150997908</v>
      </c>
      <c r="F66" s="309">
        <f t="shared" si="20"/>
        <v>-0.43451143451143454</v>
      </c>
      <c r="G66" s="308">
        <v>15786</v>
      </c>
      <c r="H66" s="339">
        <f t="shared" si="14"/>
        <v>0.00375384962201117</v>
      </c>
      <c r="I66" s="310">
        <v>223</v>
      </c>
      <c r="J66" s="309">
        <f t="shared" si="15"/>
        <v>5.361780745965561E-05</v>
      </c>
      <c r="K66" s="309">
        <f t="shared" si="21"/>
        <v>-0.9858735588496136</v>
      </c>
      <c r="L66" s="308">
        <v>3848</v>
      </c>
      <c r="M66" s="310">
        <v>2176</v>
      </c>
      <c r="N66" s="308">
        <v>11938</v>
      </c>
      <c r="O66" s="310">
        <v>-1953</v>
      </c>
      <c r="P66" s="308">
        <v>1152</v>
      </c>
      <c r="Q66" s="309">
        <f t="shared" si="16"/>
        <v>0.0005203223830765144</v>
      </c>
      <c r="R66" s="310">
        <v>1107</v>
      </c>
      <c r="S66" s="309">
        <f t="shared" si="17"/>
        <v>0.0004958915363812819</v>
      </c>
      <c r="T66" s="309">
        <f t="shared" si="22"/>
        <v>-0.0390625</v>
      </c>
      <c r="U66" s="308">
        <f t="shared" si="23"/>
        <v>16938</v>
      </c>
      <c r="V66" s="309">
        <f t="shared" si="18"/>
        <v>0.0026386075106378504</v>
      </c>
      <c r="W66" s="310">
        <f t="shared" si="24"/>
        <v>1330</v>
      </c>
      <c r="X66" s="311">
        <f t="shared" si="19"/>
        <v>0.0002080918307684581</v>
      </c>
      <c r="Y66" s="309">
        <f t="shared" si="25"/>
        <v>-0.9214783327429449</v>
      </c>
    </row>
    <row r="67" spans="1:25" ht="15.75" thickBot="1">
      <c r="A67" s="307" t="s">
        <v>174</v>
      </c>
      <c r="B67" s="308">
        <v>1169</v>
      </c>
      <c r="C67" s="309">
        <f t="shared" si="12"/>
        <v>0.0005555513312321549</v>
      </c>
      <c r="D67" s="310">
        <v>7084</v>
      </c>
      <c r="E67" s="311">
        <f t="shared" si="13"/>
        <v>0.0034694486250767083</v>
      </c>
      <c r="F67" s="309">
        <f t="shared" si="20"/>
        <v>5.059880239520958</v>
      </c>
      <c r="G67" s="308">
        <v>8556</v>
      </c>
      <c r="H67" s="339">
        <f t="shared" si="14"/>
        <v>0.0020345836415765596</v>
      </c>
      <c r="I67" s="310">
        <v>21592</v>
      </c>
      <c r="J67" s="309">
        <f t="shared" si="15"/>
        <v>0.005191550218246116</v>
      </c>
      <c r="K67" s="309">
        <f t="shared" si="21"/>
        <v>1.5236091631603552</v>
      </c>
      <c r="L67" s="308">
        <v>1169</v>
      </c>
      <c r="M67" s="310">
        <v>7084</v>
      </c>
      <c r="N67" s="308">
        <v>7387</v>
      </c>
      <c r="O67" s="310">
        <v>14508</v>
      </c>
      <c r="P67" s="308">
        <v>8885</v>
      </c>
      <c r="Q67" s="309">
        <f t="shared" si="16"/>
        <v>0.00401307671322468</v>
      </c>
      <c r="R67" s="310">
        <v>-43</v>
      </c>
      <c r="S67" s="309">
        <f t="shared" si="17"/>
        <v>-1.9262272867565602E-05</v>
      </c>
      <c r="T67" s="309">
        <f t="shared" si="22"/>
        <v>-1.004839617332583</v>
      </c>
      <c r="U67" s="308">
        <f t="shared" si="23"/>
        <v>17441</v>
      </c>
      <c r="V67" s="309">
        <f t="shared" si="18"/>
        <v>0.002716965024975484</v>
      </c>
      <c r="W67" s="310">
        <f t="shared" si="24"/>
        <v>21549</v>
      </c>
      <c r="X67" s="311">
        <f t="shared" si="19"/>
        <v>0.0033715570385184235</v>
      </c>
      <c r="Y67" s="309">
        <f t="shared" si="25"/>
        <v>0.23553695315635573</v>
      </c>
    </row>
    <row r="68" spans="1:25" ht="15.75" thickBot="1">
      <c r="A68" s="304" t="s">
        <v>175</v>
      </c>
      <c r="B68" s="305">
        <f>SUM(B62:B67)</f>
        <v>233287</v>
      </c>
      <c r="C68" s="306">
        <f t="shared" si="12"/>
        <v>0.11086646998216913</v>
      </c>
      <c r="D68" s="305">
        <f>SUM(D62:D67)</f>
        <v>203785</v>
      </c>
      <c r="E68" s="306">
        <f t="shared" si="13"/>
        <v>0.09980541898097925</v>
      </c>
      <c r="F68" s="306">
        <f t="shared" si="20"/>
        <v>-0.1264622546477086</v>
      </c>
      <c r="G68" s="305">
        <v>438384</v>
      </c>
      <c r="H68" s="338">
        <f t="shared" si="14"/>
        <v>0.10424601626097459</v>
      </c>
      <c r="I68" s="305">
        <v>397383</v>
      </c>
      <c r="J68" s="306">
        <f t="shared" si="15"/>
        <v>0.09554621157731087</v>
      </c>
      <c r="K68" s="306">
        <f t="shared" si="21"/>
        <v>-0.09352759224789226</v>
      </c>
      <c r="L68" s="305">
        <v>233287</v>
      </c>
      <c r="M68" s="305">
        <f>SUM(M62:M67)</f>
        <v>203785</v>
      </c>
      <c r="N68" s="305">
        <f>SUM(N62:N67)</f>
        <v>205097</v>
      </c>
      <c r="O68" s="305">
        <f>SUM(O62:O67)</f>
        <v>193598</v>
      </c>
      <c r="P68" s="305">
        <v>209976</v>
      </c>
      <c r="Q68" s="306">
        <f t="shared" si="16"/>
        <v>0.09483959436534219</v>
      </c>
      <c r="R68" s="305">
        <v>208119</v>
      </c>
      <c r="S68" s="306">
        <f t="shared" si="17"/>
        <v>0.09322895271918338</v>
      </c>
      <c r="T68" s="306">
        <f t="shared" si="22"/>
        <v>-0.008843867870613784</v>
      </c>
      <c r="U68" s="305">
        <f t="shared" si="23"/>
        <v>648360</v>
      </c>
      <c r="V68" s="306">
        <f t="shared" si="18"/>
        <v>0.1010017455187836</v>
      </c>
      <c r="W68" s="305">
        <f t="shared" si="24"/>
        <v>605502</v>
      </c>
      <c r="X68" s="306">
        <f t="shared" si="19"/>
        <v>0.09473685692779167</v>
      </c>
      <c r="Y68" s="306">
        <f t="shared" si="25"/>
        <v>-0.06610216546363132</v>
      </c>
    </row>
    <row r="69" spans="1:25" ht="15.75" thickBot="1">
      <c r="A69" s="307" t="s">
        <v>176</v>
      </c>
      <c r="B69" s="308">
        <v>2165</v>
      </c>
      <c r="C69" s="309">
        <f t="shared" si="12"/>
        <v>0.0010288867682785418</v>
      </c>
      <c r="D69" s="310">
        <v>2452</v>
      </c>
      <c r="E69" s="311">
        <f t="shared" si="13"/>
        <v>0.0012008876381547275</v>
      </c>
      <c r="F69" s="309">
        <f t="shared" si="20"/>
        <v>0.1325635103926097</v>
      </c>
      <c r="G69" s="308">
        <v>4647</v>
      </c>
      <c r="H69" s="339">
        <f t="shared" si="14"/>
        <v>0.0011050385907440713</v>
      </c>
      <c r="I69" s="310">
        <v>6844</v>
      </c>
      <c r="J69" s="309">
        <f t="shared" si="15"/>
        <v>0.0016455617679546322</v>
      </c>
      <c r="K69" s="309">
        <f t="shared" si="21"/>
        <v>0.47277813643210675</v>
      </c>
      <c r="L69" s="308">
        <v>2165</v>
      </c>
      <c r="M69" s="310">
        <v>2452</v>
      </c>
      <c r="N69" s="308">
        <v>2482</v>
      </c>
      <c r="O69" s="310">
        <v>4392</v>
      </c>
      <c r="P69" s="308">
        <v>3061</v>
      </c>
      <c r="Q69" s="309">
        <f t="shared" si="16"/>
        <v>0.0013825579987823012</v>
      </c>
      <c r="R69" s="310">
        <v>3436</v>
      </c>
      <c r="S69" s="309">
        <f t="shared" si="17"/>
        <v>0.0015391899900687304</v>
      </c>
      <c r="T69" s="309">
        <f t="shared" si="22"/>
        <v>0.12250898399215943</v>
      </c>
      <c r="U69" s="308">
        <f t="shared" si="23"/>
        <v>7708</v>
      </c>
      <c r="V69" s="309">
        <f t="shared" si="18"/>
        <v>0.0012007549115596028</v>
      </c>
      <c r="W69" s="310">
        <f t="shared" si="24"/>
        <v>10280</v>
      </c>
      <c r="X69" s="311">
        <f t="shared" si="19"/>
        <v>0.0016084090378193604</v>
      </c>
      <c r="Y69" s="309">
        <f t="shared" si="25"/>
        <v>0.3336792942397509</v>
      </c>
    </row>
    <row r="70" spans="1:25" ht="15.75" thickBot="1">
      <c r="A70" s="307" t="s">
        <v>177</v>
      </c>
      <c r="B70" s="308">
        <v>-70846</v>
      </c>
      <c r="C70" s="309">
        <f t="shared" si="12"/>
        <v>-0.03366859676002844</v>
      </c>
      <c r="D70" s="310">
        <v>-82389</v>
      </c>
      <c r="E70" s="311">
        <f t="shared" si="13"/>
        <v>-0.0403507062071492</v>
      </c>
      <c r="F70" s="309">
        <f t="shared" si="20"/>
        <v>0.16293086412782656</v>
      </c>
      <c r="G70" s="308">
        <v>-152953</v>
      </c>
      <c r="H70" s="339">
        <f t="shared" si="14"/>
        <v>-0.036371630636986854</v>
      </c>
      <c r="I70" s="310">
        <v>-167973</v>
      </c>
      <c r="J70" s="309">
        <f t="shared" si="15"/>
        <v>-0.04038719270143826</v>
      </c>
      <c r="K70" s="309">
        <f t="shared" si="21"/>
        <v>0.098200100684524</v>
      </c>
      <c r="L70" s="308">
        <v>-70846</v>
      </c>
      <c r="M70" s="310">
        <v>-82389</v>
      </c>
      <c r="N70" s="308">
        <v>-82107</v>
      </c>
      <c r="O70" s="310">
        <v>-85584</v>
      </c>
      <c r="P70" s="308">
        <v>-85697</v>
      </c>
      <c r="Q70" s="309">
        <f t="shared" si="16"/>
        <v>-0.038706655609816024</v>
      </c>
      <c r="R70" s="310">
        <v>-71811</v>
      </c>
      <c r="S70" s="309">
        <f t="shared" si="17"/>
        <v>-0.032168443648668686</v>
      </c>
      <c r="T70" s="309">
        <f t="shared" si="22"/>
        <v>-0.1620360105954701</v>
      </c>
      <c r="U70" s="308">
        <f t="shared" si="23"/>
        <v>-238650</v>
      </c>
      <c r="V70" s="309">
        <f t="shared" si="18"/>
        <v>-0.03717697971506217</v>
      </c>
      <c r="W70" s="310">
        <f t="shared" si="24"/>
        <v>-239784</v>
      </c>
      <c r="X70" s="311">
        <f t="shared" si="19"/>
        <v>-0.037516610187205986</v>
      </c>
      <c r="Y70" s="309">
        <f t="shared" si="25"/>
        <v>0.004751728472658705</v>
      </c>
    </row>
    <row r="71" spans="1:25" ht="15.75" thickBot="1">
      <c r="A71" s="307" t="s">
        <v>228</v>
      </c>
      <c r="B71" s="308">
        <v>50453</v>
      </c>
      <c r="C71" s="309">
        <f t="shared" si="12"/>
        <v>0.023977101210141925</v>
      </c>
      <c r="D71" s="310">
        <v>54235</v>
      </c>
      <c r="E71" s="311">
        <f t="shared" si="13"/>
        <v>0.026562047738711927</v>
      </c>
      <c r="F71" s="309">
        <f t="shared" si="20"/>
        <v>0.07496085465680931</v>
      </c>
      <c r="G71" s="308">
        <v>50494</v>
      </c>
      <c r="H71" s="339">
        <f t="shared" si="14"/>
        <v>0.012007277512595466</v>
      </c>
      <c r="I71" s="310">
        <v>54321</v>
      </c>
      <c r="J71" s="309">
        <f t="shared" si="15"/>
        <v>0.013060865107694853</v>
      </c>
      <c r="K71" s="309">
        <f t="shared" si="21"/>
        <v>0.07579118311086466</v>
      </c>
      <c r="L71" s="308">
        <v>50453</v>
      </c>
      <c r="M71" s="310">
        <v>54235</v>
      </c>
      <c r="N71" s="308">
        <v>41</v>
      </c>
      <c r="O71" s="310">
        <v>86</v>
      </c>
      <c r="P71" s="308">
        <v>0</v>
      </c>
      <c r="Q71" s="309">
        <f t="shared" si="16"/>
        <v>0</v>
      </c>
      <c r="R71" s="310">
        <v>0</v>
      </c>
      <c r="S71" s="309">
        <f t="shared" si="17"/>
        <v>0</v>
      </c>
      <c r="T71" s="309" t="s">
        <v>88</v>
      </c>
      <c r="U71" s="308">
        <f t="shared" si="23"/>
        <v>50494</v>
      </c>
      <c r="V71" s="309">
        <f t="shared" si="18"/>
        <v>0.00786597282100293</v>
      </c>
      <c r="W71" s="310">
        <f t="shared" si="24"/>
        <v>54321</v>
      </c>
      <c r="X71" s="311">
        <f t="shared" si="19"/>
        <v>0.00849906491667174</v>
      </c>
      <c r="Y71" s="309">
        <f t="shared" si="25"/>
        <v>0.07579118311086466</v>
      </c>
    </row>
    <row r="72" spans="1:25" ht="15.75" thickBot="1">
      <c r="A72" s="307" t="s">
        <v>178</v>
      </c>
      <c r="B72" s="308">
        <v>-9738</v>
      </c>
      <c r="C72" s="309">
        <f t="shared" si="12"/>
        <v>-0.004627851893531843</v>
      </c>
      <c r="D72" s="310">
        <v>-3118</v>
      </c>
      <c r="E72" s="311">
        <f t="shared" si="13"/>
        <v>-0.001527066743787292</v>
      </c>
      <c r="F72" s="309">
        <f t="shared" si="20"/>
        <v>-0.6798110494968166</v>
      </c>
      <c r="G72" s="308">
        <v>-12353</v>
      </c>
      <c r="H72" s="339">
        <f t="shared" si="14"/>
        <v>-0.002937495526460407</v>
      </c>
      <c r="I72" s="310">
        <v>-4809</v>
      </c>
      <c r="J72" s="309">
        <f t="shared" si="15"/>
        <v>-0.0011562692200604654</v>
      </c>
      <c r="K72" s="309">
        <f t="shared" si="21"/>
        <v>-0.6107018538006962</v>
      </c>
      <c r="L72" s="308">
        <v>-9738</v>
      </c>
      <c r="M72" s="310">
        <v>-3118</v>
      </c>
      <c r="N72" s="308">
        <v>-2615</v>
      </c>
      <c r="O72" s="310">
        <v>-1691</v>
      </c>
      <c r="P72" s="308">
        <v>3685</v>
      </c>
      <c r="Q72" s="309">
        <f t="shared" si="16"/>
        <v>0.001664399289615413</v>
      </c>
      <c r="R72" s="310">
        <v>-10725</v>
      </c>
      <c r="S72" s="309">
        <f t="shared" si="17"/>
        <v>-0.0048043692210381645</v>
      </c>
      <c r="T72" s="309" t="s">
        <v>88</v>
      </c>
      <c r="U72" s="308">
        <f t="shared" si="23"/>
        <v>-8668</v>
      </c>
      <c r="V72" s="309">
        <f t="shared" si="18"/>
        <v>-0.0013503040442914682</v>
      </c>
      <c r="W72" s="310">
        <f t="shared" si="24"/>
        <v>-15534</v>
      </c>
      <c r="X72" s="311">
        <f t="shared" si="19"/>
        <v>-0.002430449999366337</v>
      </c>
      <c r="Y72" s="309">
        <f t="shared" si="25"/>
        <v>0.7921089063221043</v>
      </c>
    </row>
    <row r="73" spans="1:25" ht="15.75" thickBot="1">
      <c r="A73" s="307" t="s">
        <v>179</v>
      </c>
      <c r="B73" s="308">
        <v>-11041</v>
      </c>
      <c r="C73" s="309">
        <f t="shared" si="12"/>
        <v>-0.005247084900029274</v>
      </c>
      <c r="D73" s="310">
        <v>0</v>
      </c>
      <c r="E73" s="311">
        <f t="shared" si="13"/>
        <v>0</v>
      </c>
      <c r="F73" s="309">
        <f t="shared" si="20"/>
        <v>-1</v>
      </c>
      <c r="G73" s="308">
        <v>-18527</v>
      </c>
      <c r="H73" s="339">
        <f t="shared" si="14"/>
        <v>-0.004405648799379257</v>
      </c>
      <c r="I73" s="310">
        <v>0</v>
      </c>
      <c r="J73" s="309">
        <f t="shared" si="15"/>
        <v>0</v>
      </c>
      <c r="K73" s="309">
        <f t="shared" si="21"/>
        <v>-1</v>
      </c>
      <c r="L73" s="308">
        <v>-11041</v>
      </c>
      <c r="M73" s="310">
        <v>0</v>
      </c>
      <c r="N73" s="308">
        <v>-7486</v>
      </c>
      <c r="O73" s="310">
        <v>0</v>
      </c>
      <c r="P73" s="308">
        <v>-14419</v>
      </c>
      <c r="Q73" s="309">
        <f t="shared" si="16"/>
        <v>-0.006512611494427311</v>
      </c>
      <c r="R73" s="310">
        <v>0</v>
      </c>
      <c r="S73" s="309">
        <f t="shared" si="17"/>
        <v>0</v>
      </c>
      <c r="T73" s="309">
        <f t="shared" si="22"/>
        <v>-1</v>
      </c>
      <c r="U73" s="308">
        <f t="shared" si="23"/>
        <v>-32946</v>
      </c>
      <c r="V73" s="309">
        <f t="shared" si="18"/>
        <v>-0.005132339298941706</v>
      </c>
      <c r="W73" s="310">
        <f t="shared" si="24"/>
        <v>0</v>
      </c>
      <c r="X73" s="311">
        <f t="shared" si="19"/>
        <v>0</v>
      </c>
      <c r="Y73" s="309">
        <f t="shared" si="25"/>
        <v>-1</v>
      </c>
    </row>
    <row r="74" spans="1:25" ht="15.75" thickBot="1">
      <c r="A74" s="307" t="s">
        <v>180</v>
      </c>
      <c r="B74" s="317">
        <v>185</v>
      </c>
      <c r="C74" s="309">
        <f t="shared" si="12"/>
        <v>8.791873077668833E-05</v>
      </c>
      <c r="D74" s="318">
        <v>-1600</v>
      </c>
      <c r="E74" s="311">
        <f t="shared" si="13"/>
        <v>-0.0007836134669851403</v>
      </c>
      <c r="F74" s="309" t="s">
        <v>88</v>
      </c>
      <c r="G74" s="317">
        <v>804</v>
      </c>
      <c r="H74" s="339">
        <f t="shared" si="14"/>
        <v>0.00019118808413131768</v>
      </c>
      <c r="I74" s="341">
        <v>1216</v>
      </c>
      <c r="J74" s="309">
        <f t="shared" si="15"/>
        <v>0.000292373335744131</v>
      </c>
      <c r="K74" s="309">
        <f t="shared" si="21"/>
        <v>0.5124378109452736</v>
      </c>
      <c r="L74" s="317">
        <v>185</v>
      </c>
      <c r="M74" s="341">
        <v>-1600</v>
      </c>
      <c r="N74" s="317">
        <v>619</v>
      </c>
      <c r="O74" s="341">
        <v>2816</v>
      </c>
      <c r="P74" s="342">
        <v>1350</v>
      </c>
      <c r="Q74" s="309">
        <f t="shared" si="16"/>
        <v>0.0006097527926677904</v>
      </c>
      <c r="R74" s="341">
        <v>-1075</v>
      </c>
      <c r="S74" s="309">
        <f t="shared" si="17"/>
        <v>-0.0004815568216891401</v>
      </c>
      <c r="T74" s="309">
        <f t="shared" si="22"/>
        <v>-1.7962962962962963</v>
      </c>
      <c r="U74" s="342">
        <f t="shared" si="23"/>
        <v>2154</v>
      </c>
      <c r="V74" s="309">
        <f t="shared" si="18"/>
        <v>0.000335550866567123</v>
      </c>
      <c r="W74" s="318">
        <f t="shared" si="24"/>
        <v>141</v>
      </c>
      <c r="X74" s="311">
        <f t="shared" si="19"/>
        <v>2.2060863261919243E-05</v>
      </c>
      <c r="Y74" s="309">
        <f t="shared" si="25"/>
        <v>-0.9345403899721448</v>
      </c>
    </row>
    <row r="75" spans="1:25" ht="15.75" thickBot="1">
      <c r="A75" s="307" t="s">
        <v>229</v>
      </c>
      <c r="B75" s="317">
        <v>0</v>
      </c>
      <c r="C75" s="309">
        <f t="shared" si="12"/>
        <v>0</v>
      </c>
      <c r="D75" s="318">
        <v>0</v>
      </c>
      <c r="E75" s="311">
        <f t="shared" si="13"/>
        <v>0</v>
      </c>
      <c r="F75" s="309" t="s">
        <v>88</v>
      </c>
      <c r="G75" s="317">
        <v>0</v>
      </c>
      <c r="H75" s="339">
        <f t="shared" si="14"/>
        <v>0</v>
      </c>
      <c r="I75" s="318">
        <v>3313</v>
      </c>
      <c r="J75" s="309">
        <f t="shared" si="15"/>
        <v>0.0007965730767436727</v>
      </c>
      <c r="K75" s="309" t="s">
        <v>88</v>
      </c>
      <c r="L75" s="317">
        <v>0</v>
      </c>
      <c r="M75" s="318">
        <v>0</v>
      </c>
      <c r="N75" s="317">
        <v>0</v>
      </c>
      <c r="O75" s="318">
        <v>3313</v>
      </c>
      <c r="P75" s="317">
        <v>0</v>
      </c>
      <c r="Q75" s="309">
        <f t="shared" si="16"/>
        <v>0</v>
      </c>
      <c r="R75" s="318">
        <v>0</v>
      </c>
      <c r="S75" s="309">
        <f t="shared" si="17"/>
        <v>0</v>
      </c>
      <c r="T75" s="309" t="s">
        <v>88</v>
      </c>
      <c r="U75" s="317">
        <f t="shared" si="23"/>
        <v>0</v>
      </c>
      <c r="V75" s="309">
        <f t="shared" si="18"/>
        <v>0</v>
      </c>
      <c r="W75" s="318">
        <f t="shared" si="24"/>
        <v>3313</v>
      </c>
      <c r="X75" s="311">
        <f t="shared" si="19"/>
        <v>0.000518352056643535</v>
      </c>
      <c r="Y75" s="309" t="s">
        <v>88</v>
      </c>
    </row>
    <row r="76" spans="1:25" ht="15.75" thickBot="1">
      <c r="A76" s="312" t="s">
        <v>182</v>
      </c>
      <c r="B76" s="313">
        <f>SUM(B68:B75)</f>
        <v>194465</v>
      </c>
      <c r="C76" s="314">
        <f t="shared" si="12"/>
        <v>0.09241684313777673</v>
      </c>
      <c r="D76" s="315">
        <f>SUM(D68:D75)</f>
        <v>173365</v>
      </c>
      <c r="E76" s="316">
        <f t="shared" si="13"/>
        <v>0.08490696793992428</v>
      </c>
      <c r="F76" s="314">
        <f t="shared" si="20"/>
        <v>-0.10850281541665595</v>
      </c>
      <c r="G76" s="313">
        <v>310496</v>
      </c>
      <c r="H76" s="340">
        <f t="shared" si="14"/>
        <v>0.07383474548561893</v>
      </c>
      <c r="I76" s="315">
        <v>290295</v>
      </c>
      <c r="J76" s="314">
        <f t="shared" si="15"/>
        <v>0.06979812294394944</v>
      </c>
      <c r="K76" s="314">
        <f t="shared" si="21"/>
        <v>-0.06506041945789962</v>
      </c>
      <c r="L76" s="313">
        <v>194465</v>
      </c>
      <c r="M76" s="315">
        <f>SUM(M68:M75)</f>
        <v>173365</v>
      </c>
      <c r="N76" s="313">
        <f>SUM(N68:N75)</f>
        <v>116031</v>
      </c>
      <c r="O76" s="315">
        <f>SUM(O68:O75)</f>
        <v>116930</v>
      </c>
      <c r="P76" s="313">
        <v>117956</v>
      </c>
      <c r="Q76" s="314">
        <f t="shared" si="16"/>
        <v>0.05327703734216436</v>
      </c>
      <c r="R76" s="315">
        <v>127944</v>
      </c>
      <c r="S76" s="314">
        <f t="shared" si="17"/>
        <v>0.057313773017856125</v>
      </c>
      <c r="T76" s="314">
        <f t="shared" si="22"/>
        <v>0.08467564176472583</v>
      </c>
      <c r="U76" s="313">
        <f t="shared" si="23"/>
        <v>428452</v>
      </c>
      <c r="V76" s="314">
        <f t="shared" si="18"/>
        <v>0.06674440105961792</v>
      </c>
      <c r="W76" s="315">
        <f t="shared" si="24"/>
        <v>418239</v>
      </c>
      <c r="X76" s="316">
        <f t="shared" si="19"/>
        <v>0.0654376836156159</v>
      </c>
      <c r="Y76" s="314">
        <f t="shared" si="25"/>
        <v>-0.023836975903951903</v>
      </c>
    </row>
    <row r="77" spans="1:25" ht="15.75" thickBot="1">
      <c r="A77" s="307" t="s">
        <v>183</v>
      </c>
      <c r="B77" s="308">
        <v>-56024</v>
      </c>
      <c r="C77" s="309">
        <f t="shared" si="12"/>
        <v>-0.026624643097476686</v>
      </c>
      <c r="D77" s="310">
        <v>-40723</v>
      </c>
      <c r="E77" s="311">
        <f t="shared" si="13"/>
        <v>-0.019944432010022415</v>
      </c>
      <c r="F77" s="309">
        <f t="shared" si="20"/>
        <v>-0.2731150935313437</v>
      </c>
      <c r="G77" s="308">
        <v>-98207</v>
      </c>
      <c r="H77" s="339">
        <f t="shared" si="14"/>
        <v>-0.023353244002841188</v>
      </c>
      <c r="I77" s="310">
        <v>-70437</v>
      </c>
      <c r="J77" s="309">
        <f t="shared" si="15"/>
        <v>-0.016935773560698485</v>
      </c>
      <c r="K77" s="309">
        <f t="shared" si="21"/>
        <v>-0.28277006730681115</v>
      </c>
      <c r="L77" s="308">
        <v>-56024</v>
      </c>
      <c r="M77" s="310">
        <v>-40723</v>
      </c>
      <c r="N77" s="308">
        <v>-42183</v>
      </c>
      <c r="O77" s="310">
        <v>-29714</v>
      </c>
      <c r="P77" s="308">
        <v>-37516</v>
      </c>
      <c r="Q77" s="309">
        <f t="shared" si="16"/>
        <v>-0.01694480427387024</v>
      </c>
      <c r="R77" s="310">
        <v>-49440</v>
      </c>
      <c r="S77" s="309">
        <f t="shared" si="17"/>
        <v>-0.02214713419935915</v>
      </c>
      <c r="T77" s="309">
        <f t="shared" si="22"/>
        <v>0.31783772257170273</v>
      </c>
      <c r="U77" s="308">
        <f t="shared" si="23"/>
        <v>-135723</v>
      </c>
      <c r="V77" s="309">
        <f t="shared" si="18"/>
        <v>-0.02114297598100726</v>
      </c>
      <c r="W77" s="310">
        <f t="shared" si="24"/>
        <v>-119877</v>
      </c>
      <c r="X77" s="311">
        <f t="shared" si="19"/>
        <v>-0.018755958193255977</v>
      </c>
      <c r="Y77" s="309">
        <f t="shared" si="25"/>
        <v>-0.11675250326031697</v>
      </c>
    </row>
    <row r="78" spans="1:25" ht="15.75" thickBot="1">
      <c r="A78" s="319" t="s">
        <v>184</v>
      </c>
      <c r="B78" s="320">
        <v>14256</v>
      </c>
      <c r="C78" s="321">
        <f t="shared" si="12"/>
        <v>0.006774969870013345</v>
      </c>
      <c r="D78" s="322">
        <v>8078</v>
      </c>
      <c r="E78" s="323">
        <f t="shared" si="13"/>
        <v>0.003956268491441227</v>
      </c>
      <c r="F78" s="321">
        <f t="shared" si="20"/>
        <v>-0.43336139169472504</v>
      </c>
      <c r="G78" s="320">
        <v>20959</v>
      </c>
      <c r="H78" s="343">
        <f t="shared" si="14"/>
        <v>0.0049839689742640384</v>
      </c>
      <c r="I78" s="322">
        <v>18677</v>
      </c>
      <c r="J78" s="321">
        <f t="shared" si="15"/>
        <v>0.004490671703695012</v>
      </c>
      <c r="K78" s="321">
        <f t="shared" si="21"/>
        <v>-0.10887924042177585</v>
      </c>
      <c r="L78" s="320">
        <v>14256</v>
      </c>
      <c r="M78" s="322">
        <v>8078</v>
      </c>
      <c r="N78" s="320">
        <v>6703</v>
      </c>
      <c r="O78" s="322">
        <v>10599</v>
      </c>
      <c r="P78" s="320">
        <v>2620</v>
      </c>
      <c r="Q78" s="321">
        <f t="shared" si="16"/>
        <v>0.0011833720865108228</v>
      </c>
      <c r="R78" s="322">
        <v>11262</v>
      </c>
      <c r="S78" s="321">
        <f t="shared" si="17"/>
        <v>0.0050449236519656705</v>
      </c>
      <c r="T78" s="321" t="s">
        <v>88</v>
      </c>
      <c r="U78" s="320">
        <f t="shared" si="23"/>
        <v>23579</v>
      </c>
      <c r="V78" s="321">
        <f t="shared" si="18"/>
        <v>0.0036731447923798485</v>
      </c>
      <c r="W78" s="322">
        <f t="shared" si="24"/>
        <v>29939</v>
      </c>
      <c r="X78" s="323">
        <f t="shared" si="19"/>
        <v>0.004684256632614185</v>
      </c>
      <c r="Y78" s="321">
        <f t="shared" si="25"/>
        <v>0.26973154077781075</v>
      </c>
    </row>
    <row r="79" spans="1:25" ht="15.75" thickBot="1">
      <c r="A79" s="312" t="s">
        <v>185</v>
      </c>
      <c r="B79" s="313">
        <f>SUM(B76:B78)</f>
        <v>152697</v>
      </c>
      <c r="C79" s="314">
        <f t="shared" si="12"/>
        <v>0.0725671699103134</v>
      </c>
      <c r="D79" s="315">
        <f>SUM(D76:D78)</f>
        <v>140720</v>
      </c>
      <c r="E79" s="316">
        <f t="shared" si="13"/>
        <v>0.06891880442134309</v>
      </c>
      <c r="F79" s="314">
        <f t="shared" si="20"/>
        <v>-0.07843638054447698</v>
      </c>
      <c r="G79" s="313">
        <v>233248</v>
      </c>
      <c r="H79" s="340">
        <f t="shared" si="14"/>
        <v>0.055465470457041775</v>
      </c>
      <c r="I79" s="315">
        <v>238535</v>
      </c>
      <c r="J79" s="314">
        <f t="shared" si="15"/>
        <v>0.05735302108694596</v>
      </c>
      <c r="K79" s="314">
        <f t="shared" si="21"/>
        <v>0.022666861023460008</v>
      </c>
      <c r="L79" s="313">
        <v>152697</v>
      </c>
      <c r="M79" s="315">
        <f>SUM(M76:M78)</f>
        <v>140720</v>
      </c>
      <c r="N79" s="313">
        <f>SUM(N76:N78)</f>
        <v>80551</v>
      </c>
      <c r="O79" s="315">
        <f>SUM(O76:O78)</f>
        <v>97815</v>
      </c>
      <c r="P79" s="313">
        <v>83060</v>
      </c>
      <c r="Q79" s="314">
        <f t="shared" si="16"/>
        <v>0.03751560515480494</v>
      </c>
      <c r="R79" s="315">
        <v>89766</v>
      </c>
      <c r="S79" s="314">
        <f t="shared" si="17"/>
        <v>0.04021156247046265</v>
      </c>
      <c r="T79" s="314">
        <f t="shared" si="22"/>
        <v>0.08073681675896942</v>
      </c>
      <c r="U79" s="313">
        <f t="shared" si="23"/>
        <v>316308</v>
      </c>
      <c r="V79" s="314">
        <f t="shared" si="18"/>
        <v>0.049274569870990506</v>
      </c>
      <c r="W79" s="315">
        <f t="shared" si="24"/>
        <v>328301</v>
      </c>
      <c r="X79" s="316">
        <f t="shared" si="19"/>
        <v>0.051365982054974106</v>
      </c>
      <c r="Y79" s="314">
        <f t="shared" si="25"/>
        <v>0.037915575957610935</v>
      </c>
    </row>
    <row r="80" spans="1:25" ht="15.75" thickBot="1">
      <c r="A80" s="307" t="s">
        <v>186</v>
      </c>
      <c r="B80" s="317">
        <v>-164</v>
      </c>
      <c r="C80" s="309">
        <f t="shared" si="12"/>
        <v>-7.793876674257775E-05</v>
      </c>
      <c r="D80" s="318">
        <v>-892</v>
      </c>
      <c r="E80" s="311">
        <f t="shared" si="13"/>
        <v>-0.0004368645078442157</v>
      </c>
      <c r="F80" s="309" t="s">
        <v>88</v>
      </c>
      <c r="G80" s="317">
        <v>-247</v>
      </c>
      <c r="H80" s="339">
        <f t="shared" si="14"/>
        <v>-5.8735642761735654E-05</v>
      </c>
      <c r="I80" s="318">
        <v>-1034</v>
      </c>
      <c r="J80" s="309">
        <f t="shared" si="15"/>
        <v>-0.0002486135108219009</v>
      </c>
      <c r="K80" s="309">
        <f t="shared" si="21"/>
        <v>3.1862348178137654</v>
      </c>
      <c r="L80" s="317">
        <v>-164</v>
      </c>
      <c r="M80" s="318">
        <v>-892</v>
      </c>
      <c r="N80" s="317">
        <v>-83</v>
      </c>
      <c r="O80" s="318">
        <v>-142</v>
      </c>
      <c r="P80" s="317">
        <v>55</v>
      </c>
      <c r="Q80" s="309">
        <f t="shared" si="16"/>
        <v>2.4841780442021093E-05</v>
      </c>
      <c r="R80" s="318">
        <v>-141</v>
      </c>
      <c r="S80" s="309">
        <f t="shared" si="17"/>
        <v>-6.316233661225E-05</v>
      </c>
      <c r="T80" s="309" t="s">
        <v>88</v>
      </c>
      <c r="U80" s="317">
        <f t="shared" si="23"/>
        <v>-192</v>
      </c>
      <c r="V80" s="309">
        <f t="shared" si="18"/>
        <v>-2.9909826546373084E-05</v>
      </c>
      <c r="W80" s="318">
        <f t="shared" si="24"/>
        <v>-1175</v>
      </c>
      <c r="X80" s="311">
        <f t="shared" si="19"/>
        <v>-0.00018384052718266035</v>
      </c>
      <c r="Y80" s="309" t="s">
        <v>88</v>
      </c>
    </row>
    <row r="81" spans="1:25" ht="15.75" thickBot="1">
      <c r="A81" s="304" t="s">
        <v>230</v>
      </c>
      <c r="B81" s="305">
        <f>SUM(B79:B80)</f>
        <v>152533</v>
      </c>
      <c r="C81" s="306">
        <f t="shared" si="12"/>
        <v>0.07248923114357081</v>
      </c>
      <c r="D81" s="305">
        <f>SUM(D79:D80)</f>
        <v>139828</v>
      </c>
      <c r="E81" s="306">
        <f t="shared" si="13"/>
        <v>0.06848193991349887</v>
      </c>
      <c r="F81" s="306">
        <f t="shared" si="20"/>
        <v>-0.08329345125317145</v>
      </c>
      <c r="G81" s="305">
        <v>233001</v>
      </c>
      <c r="H81" s="338">
        <f t="shared" si="14"/>
        <v>0.05540673481428004</v>
      </c>
      <c r="I81" s="305">
        <v>237501</v>
      </c>
      <c r="J81" s="306">
        <f t="shared" si="15"/>
        <v>0.05710440757612406</v>
      </c>
      <c r="K81" s="306">
        <f t="shared" si="21"/>
        <v>0.019313221831665957</v>
      </c>
      <c r="L81" s="305">
        <v>152533</v>
      </c>
      <c r="M81" s="305">
        <f>SUM(M79:M80)</f>
        <v>139828</v>
      </c>
      <c r="N81" s="305">
        <f>SUM(N79:N80)</f>
        <v>80468</v>
      </c>
      <c r="O81" s="305">
        <f>SUM(O79:O80)</f>
        <v>97673</v>
      </c>
      <c r="P81" s="305">
        <v>83115</v>
      </c>
      <c r="Q81" s="306">
        <f t="shared" si="16"/>
        <v>0.03754044693524696</v>
      </c>
      <c r="R81" s="305">
        <v>89625</v>
      </c>
      <c r="S81" s="306">
        <f t="shared" si="17"/>
        <v>0.0401484001338504</v>
      </c>
      <c r="T81" s="306">
        <f t="shared" si="22"/>
        <v>0.07832521205558564</v>
      </c>
      <c r="U81" s="305">
        <f t="shared" si="23"/>
        <v>316116</v>
      </c>
      <c r="V81" s="306">
        <f t="shared" si="18"/>
        <v>0.04924466004444413</v>
      </c>
      <c r="W81" s="305">
        <f t="shared" si="24"/>
        <v>327126</v>
      </c>
      <c r="X81" s="306">
        <f t="shared" si="19"/>
        <v>0.05118214152779144</v>
      </c>
      <c r="Y81" s="306">
        <f t="shared" si="25"/>
        <v>0.03482898682762024</v>
      </c>
    </row>
    <row r="82" spans="1:13" ht="15">
      <c r="A82" s="204"/>
      <c r="B82" s="206"/>
      <c r="C82" s="207"/>
      <c r="D82" s="209"/>
      <c r="E82" s="207"/>
      <c r="F82" s="207"/>
      <c r="G82" s="206"/>
      <c r="H82" s="344"/>
      <c r="I82" s="209"/>
      <c r="M82" s="209"/>
    </row>
    <row r="83" spans="1:13" ht="15">
      <c r="A83" s="210" t="s">
        <v>188</v>
      </c>
      <c r="B83" s="212"/>
      <c r="C83" s="213"/>
      <c r="D83" s="215"/>
      <c r="E83" s="213"/>
      <c r="F83" s="213"/>
      <c r="G83" s="212"/>
      <c r="H83" s="345"/>
      <c r="I83" s="215"/>
      <c r="M83" s="215"/>
    </row>
    <row r="84" spans="1:25" ht="15.75" thickBot="1">
      <c r="A84" s="216" t="s">
        <v>189</v>
      </c>
      <c r="B84" s="188">
        <v>151672</v>
      </c>
      <c r="C84" s="309">
        <f>+B84/$B$60</f>
        <v>0.07208005261817228</v>
      </c>
      <c r="D84" s="324">
        <v>139150</v>
      </c>
      <c r="E84" s="325">
        <f>+D84/$D$60</f>
        <v>0.06814988370686391</v>
      </c>
      <c r="F84" s="309">
        <f>(D84-B84)/B84</f>
        <v>-0.08255973416319426</v>
      </c>
      <c r="G84" s="188">
        <v>231084</v>
      </c>
      <c r="H84" s="346">
        <f>+G84/$G$60</f>
        <v>0.054950879643534095</v>
      </c>
      <c r="I84" s="324">
        <v>235679</v>
      </c>
      <c r="J84" s="309">
        <f>+I84/$I$60</f>
        <v>0.05666632844970482</v>
      </c>
      <c r="K84" s="309">
        <f t="shared" si="21"/>
        <v>0.019884544148448185</v>
      </c>
      <c r="L84" s="188">
        <v>151672</v>
      </c>
      <c r="M84" s="324">
        <v>139150</v>
      </c>
      <c r="N84" s="188">
        <v>79412</v>
      </c>
      <c r="O84" s="324">
        <v>96529</v>
      </c>
      <c r="P84" s="188">
        <v>81993</v>
      </c>
      <c r="Q84" s="309">
        <f>+P84/$P$60</f>
        <v>0.03703367461422973</v>
      </c>
      <c r="R84" s="324">
        <v>88579</v>
      </c>
      <c r="S84" s="309">
        <f>+R84/$R$60</f>
        <v>0.03967983414735101</v>
      </c>
      <c r="T84" s="309">
        <f t="shared" si="22"/>
        <v>0.08032393009159318</v>
      </c>
      <c r="U84" s="188">
        <f t="shared" si="23"/>
        <v>313077</v>
      </c>
      <c r="V84" s="309">
        <f>+U84/$U$60</f>
        <v>0.04877124357113982</v>
      </c>
      <c r="W84" s="324">
        <f t="shared" si="24"/>
        <v>324258</v>
      </c>
      <c r="X84" s="325">
        <f>+W84/$W$60</f>
        <v>0.05073341418144262</v>
      </c>
      <c r="Y84" s="309">
        <f>(W84-U84)/U84</f>
        <v>0.035713259038511296</v>
      </c>
    </row>
    <row r="85" spans="1:25" ht="15.75" thickBot="1">
      <c r="A85" s="218" t="s">
        <v>96</v>
      </c>
      <c r="B85" s="219">
        <v>861</v>
      </c>
      <c r="C85" s="321">
        <f>+B85/$B$60</f>
        <v>0.0004091785253985332</v>
      </c>
      <c r="D85" s="326">
        <v>678</v>
      </c>
      <c r="E85" s="327">
        <f>+D85/$D$60</f>
        <v>0.0003320562066349532</v>
      </c>
      <c r="F85" s="321">
        <f>(D85-B85)/B85</f>
        <v>-0.21254355400696864</v>
      </c>
      <c r="G85" s="219">
        <v>1917</v>
      </c>
      <c r="H85" s="347">
        <f>+G85/$G$60</f>
        <v>0.0004558551707459403</v>
      </c>
      <c r="I85" s="326">
        <v>1822</v>
      </c>
      <c r="J85" s="321">
        <f>+I85/$I$60</f>
        <v>0.00043807912641924895</v>
      </c>
      <c r="K85" s="321">
        <f t="shared" si="21"/>
        <v>-0.0495565988523735</v>
      </c>
      <c r="L85" s="219">
        <v>861</v>
      </c>
      <c r="M85" s="326">
        <v>678</v>
      </c>
      <c r="N85" s="219">
        <v>1056</v>
      </c>
      <c r="O85" s="326">
        <v>1144</v>
      </c>
      <c r="P85" s="348">
        <v>1122</v>
      </c>
      <c r="Q85" s="321">
        <f>+P85/$P$60</f>
        <v>0.0005067723210172302</v>
      </c>
      <c r="R85" s="326">
        <v>1046</v>
      </c>
      <c r="S85" s="321">
        <f>+R85/$R$60</f>
        <v>0.0004685659864993865</v>
      </c>
      <c r="T85" s="321">
        <f t="shared" si="22"/>
        <v>-0.0677361853832442</v>
      </c>
      <c r="U85" s="219">
        <f t="shared" si="23"/>
        <v>3039</v>
      </c>
      <c r="V85" s="321">
        <f>+U85/$U$60</f>
        <v>0.00047341647330431143</v>
      </c>
      <c r="W85" s="326">
        <f t="shared" si="24"/>
        <v>2868</v>
      </c>
      <c r="X85" s="327">
        <f>+W85/$W$60</f>
        <v>0.00044872734634882544</v>
      </c>
      <c r="Y85" s="321">
        <f>(W85-U85)/U85</f>
        <v>-0.0562685093780849</v>
      </c>
    </row>
    <row r="86" spans="1:25" ht="15.75" thickBot="1">
      <c r="A86" s="221" t="s">
        <v>230</v>
      </c>
      <c r="B86" s="192">
        <f>SUM(B84:B85)</f>
        <v>152533</v>
      </c>
      <c r="C86" s="314">
        <f>+B86/$B$60</f>
        <v>0.07248923114357081</v>
      </c>
      <c r="D86" s="328">
        <f>SUM(D84:D85)</f>
        <v>139828</v>
      </c>
      <c r="E86" s="329">
        <f>+D86/$D$60</f>
        <v>0.06848193991349887</v>
      </c>
      <c r="F86" s="314">
        <f>(D86-B86)/B86</f>
        <v>-0.08329345125317145</v>
      </c>
      <c r="G86" s="192">
        <v>233001</v>
      </c>
      <c r="H86" s="349">
        <f>+G86/$G$60</f>
        <v>0.05540673481428004</v>
      </c>
      <c r="I86" s="328">
        <v>237501</v>
      </c>
      <c r="J86" s="314">
        <f>+I86/$I$60</f>
        <v>0.05710440757612406</v>
      </c>
      <c r="K86" s="314">
        <f t="shared" si="21"/>
        <v>0.019313221831665957</v>
      </c>
      <c r="L86" s="192">
        <v>152533</v>
      </c>
      <c r="M86" s="328">
        <f>SUM(M84:M85)</f>
        <v>139828</v>
      </c>
      <c r="N86" s="192">
        <f>SUM(N84:N85)</f>
        <v>80468</v>
      </c>
      <c r="O86" s="328">
        <f>SUM(O84:O85)</f>
        <v>97673</v>
      </c>
      <c r="P86" s="192">
        <v>83115</v>
      </c>
      <c r="Q86" s="314">
        <f>+P86/$P$60</f>
        <v>0.03754044693524696</v>
      </c>
      <c r="R86" s="328">
        <f>SUM(R84:R85)</f>
        <v>89625</v>
      </c>
      <c r="S86" s="314">
        <f>+R86/$R$60</f>
        <v>0.0401484001338504</v>
      </c>
      <c r="T86" s="314">
        <f t="shared" si="22"/>
        <v>0.07832521205558564</v>
      </c>
      <c r="U86" s="192">
        <f t="shared" si="23"/>
        <v>316116</v>
      </c>
      <c r="V86" s="314">
        <f>+U86/$U$60</f>
        <v>0.04924466004444413</v>
      </c>
      <c r="W86" s="328">
        <f t="shared" si="24"/>
        <v>327126</v>
      </c>
      <c r="X86" s="329">
        <f>+W86/$W$60</f>
        <v>0.05118214152779144</v>
      </c>
      <c r="Y86" s="314">
        <f>(W86-U86)/U86</f>
        <v>0.03482898682762024</v>
      </c>
    </row>
    <row r="87" spans="1:25" ht="15.75" thickBot="1">
      <c r="A87" s="330" t="s">
        <v>94</v>
      </c>
      <c r="B87" s="331">
        <v>280995</v>
      </c>
      <c r="C87" s="306">
        <f>+B87/$B$60</f>
        <v>0.13353904732213803</v>
      </c>
      <c r="D87" s="332">
        <v>264549</v>
      </c>
      <c r="E87" s="333">
        <f>+D87/$D$60</f>
        <v>0.1295650994234074</v>
      </c>
      <c r="F87" s="306">
        <f>(D87-B87)/B87</f>
        <v>-0.05852773181017456</v>
      </c>
      <c r="G87" s="331">
        <v>534203</v>
      </c>
      <c r="H87" s="350">
        <f>+G87/$G$60</f>
        <v>0.12703140311841082</v>
      </c>
      <c r="I87" s="332">
        <v>527210</v>
      </c>
      <c r="J87" s="306">
        <f>+I87/$I$60</f>
        <v>0.12676163350136785</v>
      </c>
      <c r="K87" s="306">
        <f t="shared" si="21"/>
        <v>-0.013090529255732371</v>
      </c>
      <c r="L87" s="331">
        <v>280995</v>
      </c>
      <c r="M87" s="332">
        <v>264549</v>
      </c>
      <c r="N87" s="331">
        <v>253208</v>
      </c>
      <c r="O87" s="332">
        <v>262661</v>
      </c>
      <c r="P87" s="331">
        <v>266125</v>
      </c>
      <c r="Q87" s="306">
        <f>+P87/$P$60</f>
        <v>0.12020034218423387</v>
      </c>
      <c r="R87" s="332">
        <v>273008</v>
      </c>
      <c r="S87" s="306">
        <f>+R87/$R$60</f>
        <v>0.12229661839600814</v>
      </c>
      <c r="T87" s="306">
        <f t="shared" si="22"/>
        <v>0.02586378581493659</v>
      </c>
      <c r="U87" s="331">
        <f t="shared" si="23"/>
        <v>800328</v>
      </c>
      <c r="V87" s="306">
        <f>+U87/$U$60</f>
        <v>0.1246753732302379</v>
      </c>
      <c r="W87" s="332">
        <f t="shared" si="24"/>
        <v>800218</v>
      </c>
      <c r="X87" s="333">
        <f>+W87/$W$60</f>
        <v>0.12520212679238646</v>
      </c>
      <c r="Y87" s="306">
        <f>(W87-U87)/U87</f>
        <v>-0.00013744364810427725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3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97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 t="s">
        <v>5</v>
      </c>
      <c r="M10" s="15" t="s">
        <v>81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183</v>
      </c>
      <c r="M11" s="18">
        <v>48</v>
      </c>
      <c r="N11" s="19">
        <f>IF(L11&lt;&gt;0,(M11-L11)/L11,0)</f>
        <v>-0.7377049180327869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3787717</v>
      </c>
      <c r="M12" s="18">
        <v>4152714</v>
      </c>
      <c r="N12" s="19">
        <f aca="true" t="shared" si="0" ref="N12:N17">IF(L12&lt;&gt;0,(M12-L12)/L12,0)</f>
        <v>0.09636332387028915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53661</v>
      </c>
      <c r="M13" s="18">
        <v>52249</v>
      </c>
      <c r="N13" s="19">
        <f t="shared" si="0"/>
        <v>-0.026313337433145116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5049</v>
      </c>
      <c r="M15" s="18">
        <v>13085</v>
      </c>
      <c r="N15" s="19">
        <f t="shared" si="0"/>
        <v>1.5916022974846504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3775560</v>
      </c>
      <c r="M16" s="18">
        <v>3617096</v>
      </c>
      <c r="N16" s="19">
        <f t="shared" si="0"/>
        <v>-0.041970992382586954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7622170</v>
      </c>
      <c r="M17" s="23">
        <f>SUM(M11:M16)</f>
        <v>7835192</v>
      </c>
      <c r="N17" s="24">
        <f t="shared" si="0"/>
        <v>0.02794768418967302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>
        <v>2011</v>
      </c>
      <c r="I19" s="26">
        <v>2012</v>
      </c>
      <c r="J19" s="26">
        <v>2013</v>
      </c>
      <c r="K19" s="27" t="s">
        <v>0</v>
      </c>
      <c r="L19" s="26" t="s">
        <v>81</v>
      </c>
      <c r="M19" s="26" t="s">
        <v>81</v>
      </c>
      <c r="N19" s="27" t="s">
        <v>0</v>
      </c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221819</v>
      </c>
      <c r="M21" s="18">
        <v>231256</v>
      </c>
      <c r="N21" s="19">
        <f t="shared" si="2"/>
        <v>0.04254369553554926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1015</v>
      </c>
      <c r="M22" s="18">
        <v>1234</v>
      </c>
      <c r="N22" s="19">
        <f t="shared" si="2"/>
        <v>0.21576354679802956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482</v>
      </c>
      <c r="M23" s="18">
        <v>22</v>
      </c>
      <c r="N23" s="19">
        <f t="shared" si="2"/>
        <v>-0.9543568464730291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2432</v>
      </c>
      <c r="M24" s="18">
        <v>131</v>
      </c>
      <c r="N24" s="19">
        <f t="shared" si="2"/>
        <v>-0.9461348684210527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38966</v>
      </c>
      <c r="M25" s="18">
        <v>43328</v>
      </c>
      <c r="N25" s="19">
        <f t="shared" si="2"/>
        <v>0.11194374582969768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264714</v>
      </c>
      <c r="M26" s="28">
        <f>SUM(M20:M25)</f>
        <v>275971</v>
      </c>
      <c r="N26" s="29">
        <f t="shared" si="2"/>
        <v>0.04252514034014068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7357456</v>
      </c>
      <c r="M27" s="32">
        <f>+M17-M26</f>
        <v>7559221</v>
      </c>
      <c r="N27" s="33">
        <f t="shared" si="2"/>
        <v>0.02742320171537553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7622170</v>
      </c>
      <c r="M28" s="23">
        <f>+M26+M27</f>
        <v>7835192</v>
      </c>
      <c r="N28" s="34">
        <f t="shared" si="2"/>
        <v>0.02794768418967302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15990.178010007045</v>
      </c>
      <c r="M30" s="36">
        <f>+M27/+(M29/1000000)</f>
        <v>16428.679887040227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114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6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40" t="s">
        <v>0</v>
      </c>
      <c r="L37" s="15" t="s">
        <v>5</v>
      </c>
      <c r="M37" s="15" t="s">
        <v>81</v>
      </c>
      <c r="N37" s="40" t="s">
        <v>0</v>
      </c>
      <c r="P37" s="38"/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19">
        <f>(J38-I38)/I38</f>
        <v>0.10207674366593182</v>
      </c>
      <c r="L38" s="28">
        <v>77093</v>
      </c>
      <c r="M38" s="28">
        <v>78232</v>
      </c>
      <c r="N38" s="19">
        <f>IF(L38&lt;&gt;0,(M38-L38)/L38,0)</f>
        <v>0.014774363431180522</v>
      </c>
      <c r="O38" s="43"/>
      <c r="P38" s="13"/>
      <c r="Q38" s="13"/>
      <c r="R38" s="13"/>
    </row>
    <row r="39" spans="1:15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21">
        <v>0</v>
      </c>
      <c r="L39" s="18">
        <v>0</v>
      </c>
      <c r="M39" s="18">
        <v>640</v>
      </c>
      <c r="N39" s="19">
        <f aca="true" t="shared" si="6" ref="N39:N49">IF(L39&lt;&gt;0,(M39-L39)/L39,0)</f>
        <v>0</v>
      </c>
      <c r="O39" s="43"/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9">
        <f aca="true" t="shared" si="7" ref="K40:K48">(J40-I40)/I40</f>
        <v>0.1230878792194844</v>
      </c>
      <c r="L40" s="18">
        <v>8803</v>
      </c>
      <c r="M40" s="18">
        <v>9622</v>
      </c>
      <c r="N40" s="19">
        <f t="shared" si="6"/>
        <v>0.0930364648415313</v>
      </c>
      <c r="O40" s="43"/>
      <c r="P40" s="13"/>
      <c r="Q40" s="13"/>
      <c r="R40" s="13"/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9">
        <f t="shared" si="7"/>
        <v>0.7263396586704858</v>
      </c>
      <c r="L41" s="18">
        <v>2650</v>
      </c>
      <c r="M41" s="18">
        <v>3254</v>
      </c>
      <c r="N41" s="19">
        <f t="shared" si="6"/>
        <v>0.22792452830188678</v>
      </c>
      <c r="O41" s="43"/>
      <c r="P41" s="13"/>
      <c r="Q41" s="13"/>
      <c r="R41" s="13"/>
    </row>
    <row r="42" spans="1:18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>SUM(H38:H41)</f>
        <v>275321</v>
      </c>
      <c r="I42" s="28">
        <f>SUM(I38:I41)</f>
        <v>356474</v>
      </c>
      <c r="J42" s="113">
        <f>SUM(J38:J41)</f>
        <v>398654</v>
      </c>
      <c r="K42" s="19">
        <f t="shared" si="7"/>
        <v>0.11832560018402465</v>
      </c>
      <c r="L42" s="28">
        <f>SUM(L38:L41)</f>
        <v>88546</v>
      </c>
      <c r="M42" s="28">
        <f>SUM(M38:M41)</f>
        <v>91748</v>
      </c>
      <c r="N42" s="19">
        <f t="shared" si="6"/>
        <v>0.036161994895308656</v>
      </c>
      <c r="O42" s="43"/>
      <c r="P42" s="13"/>
      <c r="Q42" s="13"/>
      <c r="R42" s="13"/>
    </row>
    <row r="43" spans="1:15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9">
        <f t="shared" si="7"/>
        <v>0.3430128840436075</v>
      </c>
      <c r="L43" s="18">
        <f>-2393-5938</f>
        <v>-8331</v>
      </c>
      <c r="M43" s="18">
        <v>-6805</v>
      </c>
      <c r="N43" s="19">
        <f t="shared" si="6"/>
        <v>-0.18317128796062898</v>
      </c>
      <c r="O43" s="43"/>
    </row>
    <row r="44" spans="1:18" s="30" customFormat="1" ht="15">
      <c r="A44" s="30" t="s">
        <v>70</v>
      </c>
      <c r="B44" s="8">
        <f aca="true" t="shared" si="9" ref="B44:G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>SUM(H42:H43)</f>
        <v>266317</v>
      </c>
      <c r="I44" s="28">
        <f>SUM(I42:I43)</f>
        <v>346384</v>
      </c>
      <c r="J44" s="113">
        <f>SUM(J42:J43)</f>
        <v>385103</v>
      </c>
      <c r="K44" s="19">
        <f t="shared" si="7"/>
        <v>0.1117805672317428</v>
      </c>
      <c r="L44" s="28">
        <f>SUM(L42:L43)</f>
        <v>80215</v>
      </c>
      <c r="M44" s="28">
        <f>SUM(M42:M43)</f>
        <v>84943</v>
      </c>
      <c r="N44" s="19">
        <f t="shared" si="6"/>
        <v>0.058941594464875645</v>
      </c>
      <c r="O44" s="43"/>
      <c r="P44" s="13"/>
      <c r="Q44" s="13"/>
      <c r="R44" s="13"/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9">
        <f t="shared" si="7"/>
        <v>-0.7614571092831962</v>
      </c>
      <c r="L45" s="18">
        <v>61</v>
      </c>
      <c r="M45" s="18">
        <v>7</v>
      </c>
      <c r="N45" s="19">
        <f t="shared" si="6"/>
        <v>-0.8852459016393442</v>
      </c>
      <c r="O45" s="43"/>
      <c r="P45" s="13"/>
      <c r="Q45" s="13"/>
      <c r="R45" s="13"/>
    </row>
    <row r="46" spans="1:15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9">
        <f t="shared" si="7"/>
        <v>1.139568345323741</v>
      </c>
      <c r="L46" s="18">
        <v>-127</v>
      </c>
      <c r="M46" s="18">
        <v>-10</v>
      </c>
      <c r="N46" s="19">
        <f t="shared" si="6"/>
        <v>-0.9212598425196851</v>
      </c>
      <c r="O46" s="43"/>
    </row>
    <row r="47" spans="1:18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>SUM(H44:H46)</f>
        <v>256109</v>
      </c>
      <c r="I47" s="28">
        <f>SUM(I44:I46)</f>
        <v>345845</v>
      </c>
      <c r="J47" s="113">
        <f>SUM(J44:J46)</f>
        <v>382332</v>
      </c>
      <c r="K47" s="19">
        <f t="shared" si="7"/>
        <v>0.10550101924272434</v>
      </c>
      <c r="L47" s="28">
        <f>SUM(L44:L46)</f>
        <v>80149</v>
      </c>
      <c r="M47" s="28">
        <f>SUM(M44:M46)</f>
        <v>84940</v>
      </c>
      <c r="N47" s="19">
        <f t="shared" si="6"/>
        <v>0.059776166889168925</v>
      </c>
      <c r="O47" s="43"/>
      <c r="P47" s="13"/>
      <c r="Q47" s="13"/>
      <c r="R47" s="13"/>
    </row>
    <row r="48" spans="1:15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9">
        <f t="shared" si="7"/>
        <v>5.747922437673131</v>
      </c>
      <c r="L48" s="18">
        <v>-2289</v>
      </c>
      <c r="M48" s="18">
        <v>-54</v>
      </c>
      <c r="N48" s="19">
        <f t="shared" si="6"/>
        <v>-0.9764089121887287</v>
      </c>
      <c r="O48" s="43"/>
    </row>
    <row r="49" spans="1:15" s="13" customFormat="1" ht="15.75" thickBot="1">
      <c r="A49" s="45" t="s">
        <v>75</v>
      </c>
      <c r="B49" s="46">
        <f aca="true" t="shared" si="11" ref="B49:G49">SUM(B47:B48)</f>
        <v>169411</v>
      </c>
      <c r="C49" s="46">
        <f t="shared" si="11"/>
        <v>210697</v>
      </c>
      <c r="D49" s="46">
        <f t="shared" si="11"/>
        <v>244292</v>
      </c>
      <c r="E49" s="46">
        <f t="shared" si="11"/>
        <v>291006</v>
      </c>
      <c r="F49" s="46">
        <f t="shared" si="11"/>
        <v>225496</v>
      </c>
      <c r="G49" s="46">
        <f t="shared" si="11"/>
        <v>278403</v>
      </c>
      <c r="H49" s="115">
        <f>SUM(H47:H48)</f>
        <v>255982</v>
      </c>
      <c r="I49" s="47">
        <f>SUM(I47:I48)</f>
        <v>345484</v>
      </c>
      <c r="J49" s="116">
        <f>SUM(J47:J48)</f>
        <v>379896</v>
      </c>
      <c r="K49" s="34">
        <f>(J49-I49)/I49</f>
        <v>0.09960519155735142</v>
      </c>
      <c r="L49" s="47">
        <f>SUM(L47:L48)</f>
        <v>77860</v>
      </c>
      <c r="M49" s="47">
        <f>SUM(M47:M48)</f>
        <v>84886</v>
      </c>
      <c r="N49" s="34">
        <f t="shared" si="6"/>
        <v>0.09023889031595171</v>
      </c>
      <c r="O49" s="43"/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97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 t="s">
        <v>5</v>
      </c>
      <c r="M10" s="15" t="s">
        <v>81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268522</v>
      </c>
      <c r="M11" s="55">
        <v>353987</v>
      </c>
      <c r="N11" s="19">
        <f>+(M11-L11)/L11</f>
        <v>0.31827932161983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356520</v>
      </c>
      <c r="M12" s="55">
        <v>376030</v>
      </c>
      <c r="N12" s="19">
        <f aca="true" t="shared" si="1" ref="N12:N19">+(M12-L12)/L12</f>
        <v>0.054723437675305735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721224</v>
      </c>
      <c r="M13" s="55">
        <v>901396</v>
      </c>
      <c r="N13" s="19">
        <f t="shared" si="1"/>
        <v>0.24981420474082947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565079</v>
      </c>
      <c r="M14" s="55">
        <v>759576</v>
      </c>
      <c r="N14" s="19">
        <f t="shared" si="1"/>
        <v>0.3441943515862384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1130203</v>
      </c>
      <c r="M15" s="55">
        <v>1481507</v>
      </c>
      <c r="N15" s="19">
        <f t="shared" si="1"/>
        <v>0.31083265572644914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1030021</v>
      </c>
      <c r="M16" s="55">
        <v>1979821</v>
      </c>
      <c r="N16" s="19">
        <f t="shared" si="1"/>
        <v>0.9221171218839228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53810</v>
      </c>
      <c r="M17" s="55">
        <v>110933</v>
      </c>
      <c r="N17" s="19">
        <f t="shared" si="1"/>
        <v>1.0615684816948523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6387</v>
      </c>
      <c r="M18" s="55">
        <v>18237</v>
      </c>
      <c r="N18" s="19">
        <f t="shared" si="1"/>
        <v>1.85533114138093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4924714</v>
      </c>
      <c r="M19" s="55">
        <v>4881634</v>
      </c>
      <c r="N19" s="19">
        <f t="shared" si="1"/>
        <v>-0.008747716111026956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9056480</v>
      </c>
      <c r="M20" s="61">
        <f>SUM(M11:M19)</f>
        <v>10863121</v>
      </c>
      <c r="N20" s="34">
        <f>+(M20-L20)/L20</f>
        <v>0.19948600339204636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 t="s">
        <v>5</v>
      </c>
      <c r="M22" s="65" t="s">
        <v>81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698237</v>
      </c>
      <c r="M23" s="55">
        <v>1990883</v>
      </c>
      <c r="N23" s="19">
        <f aca="true" t="shared" si="3" ref="N23:N34">+(M23-L23)/L23</f>
        <v>1.8512997735725836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166315</v>
      </c>
      <c r="M24" s="55">
        <v>224001</v>
      </c>
      <c r="N24" s="19">
        <f t="shared" si="3"/>
        <v>0.3468478489613084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349442</v>
      </c>
      <c r="M25" s="55">
        <v>440450</v>
      </c>
      <c r="N25" s="19">
        <f t="shared" si="3"/>
        <v>0.26043806983705453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103109</v>
      </c>
      <c r="M26" s="55">
        <v>114252</v>
      </c>
      <c r="N26" s="19">
        <f t="shared" si="3"/>
        <v>0.10807010057317984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67660</v>
      </c>
      <c r="M27" s="55">
        <v>75652</v>
      </c>
      <c r="N27" s="19">
        <f t="shared" si="3"/>
        <v>0.118120011823825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156784</v>
      </c>
      <c r="M28" s="55">
        <v>223600</v>
      </c>
      <c r="N28" s="19">
        <f t="shared" si="3"/>
        <v>0.42616593529952035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160397</v>
      </c>
      <c r="M29" s="55">
        <v>224405</v>
      </c>
      <c r="N29" s="19">
        <f t="shared" si="3"/>
        <v>0.3990598327898901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4320</v>
      </c>
      <c r="M30" s="55">
        <v>2502</v>
      </c>
      <c r="N30" s="19">
        <f t="shared" si="3"/>
        <v>-0.42083333333333334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1706264</v>
      </c>
      <c r="M31" s="69">
        <f>SUM(M23:M30)</f>
        <v>3295745</v>
      </c>
      <c r="N31" s="19">
        <f t="shared" si="3"/>
        <v>0.9315563125049816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5700</v>
      </c>
      <c r="M32" s="55">
        <v>19809</v>
      </c>
      <c r="N32" s="19">
        <f t="shared" si="3"/>
        <v>2.475263157894737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L20-L31-L32</f>
        <v>7344516</v>
      </c>
      <c r="M33" s="73">
        <f>M20-M31-M32</f>
        <v>7547567</v>
      </c>
      <c r="N33" s="33">
        <f t="shared" si="3"/>
        <v>0.02764661415401641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9056480</v>
      </c>
      <c r="M34" s="61">
        <f>+M31+M32+M33</f>
        <v>10863121</v>
      </c>
      <c r="N34" s="34">
        <f t="shared" si="3"/>
        <v>0.19948600339204636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114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19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104">
        <v>2011</v>
      </c>
      <c r="I39" s="15">
        <v>2012</v>
      </c>
      <c r="J39" s="51" t="s">
        <v>41</v>
      </c>
      <c r="K39" s="15">
        <v>2013</v>
      </c>
      <c r="L39" s="51" t="s">
        <v>41</v>
      </c>
      <c r="M39" s="76" t="s">
        <v>0</v>
      </c>
      <c r="N39" s="15" t="s">
        <v>5</v>
      </c>
      <c r="O39" s="51" t="s">
        <v>41</v>
      </c>
      <c r="P39" s="15" t="s">
        <v>81</v>
      </c>
      <c r="Q39" s="51" t="s">
        <v>41</v>
      </c>
      <c r="R39" s="76" t="s">
        <v>0</v>
      </c>
      <c r="S39" s="50"/>
    </row>
    <row r="40" spans="1:20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118">
        <v>5057382.61826627</v>
      </c>
      <c r="I40" s="82">
        <v>5305782</v>
      </c>
      <c r="J40" s="29">
        <v>1</v>
      </c>
      <c r="K40" s="82">
        <v>5898466</v>
      </c>
      <c r="L40" s="29">
        <v>1</v>
      </c>
      <c r="M40" s="19">
        <f aca="true" t="shared" si="4" ref="M40:M57">IF(I40&lt;&gt;0,(K40-I40)/I40,0)</f>
        <v>0.11170530564580301</v>
      </c>
      <c r="N40" s="81">
        <v>1242052</v>
      </c>
      <c r="O40" s="29">
        <v>1</v>
      </c>
      <c r="P40" s="81">
        <v>1572825</v>
      </c>
      <c r="Q40" s="29">
        <v>1</v>
      </c>
      <c r="R40" s="19">
        <f aca="true" t="shared" si="5" ref="R40:R57">IF(N40&lt;&gt;0,(P40-N40)/N40,0)</f>
        <v>0.2663117164176701</v>
      </c>
      <c r="S40" s="119"/>
      <c r="T40" s="13"/>
    </row>
    <row r="41" spans="1:19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120">
        <v>-3030201.8461819952</v>
      </c>
      <c r="I41" s="88">
        <v>-3064460</v>
      </c>
      <c r="J41" s="19">
        <f aca="true" t="shared" si="6" ref="J41:J59">+I41/$I$40</f>
        <v>-0.5775699039274512</v>
      </c>
      <c r="K41" s="88">
        <v>-3260968</v>
      </c>
      <c r="L41" s="19">
        <f aca="true" t="shared" si="7" ref="L41:L59">+K41/$K$40</f>
        <v>-0.5528501817252146</v>
      </c>
      <c r="M41" s="19">
        <f t="shared" si="4"/>
        <v>0.06412483765492126</v>
      </c>
      <c r="N41" s="87">
        <v>-682801</v>
      </c>
      <c r="O41" s="19">
        <f>+N41/$N$40</f>
        <v>-0.5497362429270272</v>
      </c>
      <c r="P41" s="87">
        <v>-875730</v>
      </c>
      <c r="Q41" s="19">
        <f>+P41/$P$40</f>
        <v>-0.5567879452577369</v>
      </c>
      <c r="R41" s="19">
        <f t="shared" si="5"/>
        <v>0.2825552393742833</v>
      </c>
      <c r="S41" s="100"/>
    </row>
    <row r="42" spans="1:20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109">
        <f>SUM(H40:H41)</f>
        <v>2027180.7720842743</v>
      </c>
      <c r="I42" s="42">
        <f>SUM(I40:I41)</f>
        <v>2241322</v>
      </c>
      <c r="J42" s="29">
        <f t="shared" si="6"/>
        <v>0.4224300960725488</v>
      </c>
      <c r="K42" s="42">
        <f>SUM(K40:K41)</f>
        <v>2637498</v>
      </c>
      <c r="L42" s="29">
        <f t="shared" si="7"/>
        <v>0.44714981827478534</v>
      </c>
      <c r="M42" s="19">
        <f t="shared" si="4"/>
        <v>0.1767599657702017</v>
      </c>
      <c r="N42" s="28">
        <f>SUM(N40:N41)</f>
        <v>559251</v>
      </c>
      <c r="O42" s="29">
        <f aca="true" t="shared" si="8" ref="O42:O59">+N42/$N$40</f>
        <v>0.4502637570729728</v>
      </c>
      <c r="P42" s="28">
        <f>SUM(P40:P41)</f>
        <v>697095</v>
      </c>
      <c r="Q42" s="29">
        <f aca="true" t="shared" si="9" ref="Q42:Q59">+P42/$P$40</f>
        <v>0.4432120547422631</v>
      </c>
      <c r="R42" s="19">
        <f t="shared" si="5"/>
        <v>0.24647966655401599</v>
      </c>
      <c r="S42" s="119"/>
      <c r="T42" s="13"/>
    </row>
    <row r="43" spans="1:19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106">
        <v>-250061.17590559012</v>
      </c>
      <c r="I43" s="44">
        <v>-270303</v>
      </c>
      <c r="J43" s="19">
        <f t="shared" si="6"/>
        <v>-0.05094498793957234</v>
      </c>
      <c r="K43" s="44">
        <v>-347578</v>
      </c>
      <c r="L43" s="19">
        <f t="shared" si="7"/>
        <v>-0.0589268464037938</v>
      </c>
      <c r="M43" s="19">
        <f t="shared" si="4"/>
        <v>0.28588287958328246</v>
      </c>
      <c r="N43" s="18">
        <v>-64873</v>
      </c>
      <c r="O43" s="19">
        <f t="shared" si="8"/>
        <v>-0.05223050242662948</v>
      </c>
      <c r="P43" s="18">
        <v>-103109</v>
      </c>
      <c r="Q43" s="19">
        <f t="shared" si="9"/>
        <v>-0.06555656223673963</v>
      </c>
      <c r="R43" s="19">
        <f t="shared" si="5"/>
        <v>0.5893977463659766</v>
      </c>
      <c r="S43" s="100"/>
    </row>
    <row r="44" spans="1:19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106">
        <v>-1221301.5797654777</v>
      </c>
      <c r="I44" s="44">
        <v>-1326976</v>
      </c>
      <c r="J44" s="19">
        <f t="shared" si="6"/>
        <v>-0.250099985261362</v>
      </c>
      <c r="K44" s="44">
        <v>-1505166</v>
      </c>
      <c r="L44" s="19">
        <f t="shared" si="7"/>
        <v>-0.25517922795520054</v>
      </c>
      <c r="M44" s="19">
        <f t="shared" si="4"/>
        <v>0.13428276020063665</v>
      </c>
      <c r="N44" s="18">
        <v>-325559</v>
      </c>
      <c r="O44" s="19">
        <f t="shared" si="8"/>
        <v>-0.26211382454196763</v>
      </c>
      <c r="P44" s="18">
        <v>-400920</v>
      </c>
      <c r="Q44" s="19">
        <f t="shared" si="9"/>
        <v>-0.25490439177912355</v>
      </c>
      <c r="R44" s="19">
        <f t="shared" si="5"/>
        <v>0.23148185121590864</v>
      </c>
      <c r="S44" s="100"/>
    </row>
    <row r="45" spans="1:19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106">
        <v>-123323</v>
      </c>
      <c r="I45" s="44">
        <v>-122931</v>
      </c>
      <c r="J45" s="19">
        <f t="shared" si="6"/>
        <v>-0.023169251959466106</v>
      </c>
      <c r="K45" s="44">
        <v>-134527</v>
      </c>
      <c r="L45" s="19">
        <f t="shared" si="7"/>
        <v>-0.022807116290913605</v>
      </c>
      <c r="M45" s="19">
        <f t="shared" si="4"/>
        <v>0.09432933922281606</v>
      </c>
      <c r="N45" s="18">
        <v>-27738</v>
      </c>
      <c r="O45" s="19">
        <f t="shared" si="8"/>
        <v>-0.022332398321487344</v>
      </c>
      <c r="P45" s="18">
        <v>-29371</v>
      </c>
      <c r="Q45" s="19">
        <f t="shared" si="9"/>
        <v>-0.01867404193092048</v>
      </c>
      <c r="R45" s="19">
        <f t="shared" si="5"/>
        <v>0.05887230514096186</v>
      </c>
      <c r="S45" s="100"/>
    </row>
    <row r="46" spans="1:20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109">
        <f>SUM(H43:H45)</f>
        <v>-1594685.7556710679</v>
      </c>
      <c r="I46" s="42">
        <f>SUM(I43:I45)</f>
        <v>-1720210</v>
      </c>
      <c r="J46" s="29">
        <f t="shared" si="6"/>
        <v>-0.3242142251604005</v>
      </c>
      <c r="K46" s="42">
        <f>SUM(K43:K45)</f>
        <v>-1987271</v>
      </c>
      <c r="L46" s="29">
        <f t="shared" si="7"/>
        <v>-0.33691319064990793</v>
      </c>
      <c r="M46" s="19">
        <f t="shared" si="4"/>
        <v>0.15524906842769196</v>
      </c>
      <c r="N46" s="28">
        <f>SUM(N43:N45)</f>
        <v>-418170</v>
      </c>
      <c r="O46" s="29">
        <f t="shared" si="8"/>
        <v>-0.33667672529008447</v>
      </c>
      <c r="P46" s="28">
        <f>SUM(P43:P45)</f>
        <v>-533400</v>
      </c>
      <c r="Q46" s="29">
        <f t="shared" si="9"/>
        <v>-0.33913499594678365</v>
      </c>
      <c r="R46" s="19">
        <f t="shared" si="5"/>
        <v>0.2755577875026903</v>
      </c>
      <c r="S46" s="119"/>
      <c r="T46" s="13"/>
    </row>
    <row r="47" spans="1:20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109">
        <f>+H42+H46</f>
        <v>432495.01641320647</v>
      </c>
      <c r="I47" s="42">
        <f>+I42+I46</f>
        <v>521112</v>
      </c>
      <c r="J47" s="29">
        <f t="shared" si="6"/>
        <v>0.0982158709121483</v>
      </c>
      <c r="K47" s="42">
        <f>+K42+K46</f>
        <v>650227</v>
      </c>
      <c r="L47" s="29">
        <f t="shared" si="7"/>
        <v>0.11023662762487739</v>
      </c>
      <c r="M47" s="19">
        <f t="shared" si="4"/>
        <v>0.24776823408403567</v>
      </c>
      <c r="N47" s="28">
        <f>+N42+N46</f>
        <v>141081</v>
      </c>
      <c r="O47" s="29">
        <f t="shared" si="8"/>
        <v>0.11358703178288831</v>
      </c>
      <c r="P47" s="28">
        <f>+P42+P46</f>
        <v>163695</v>
      </c>
      <c r="Q47" s="29">
        <f t="shared" si="9"/>
        <v>0.10407705879547947</v>
      </c>
      <c r="R47" s="19">
        <f t="shared" si="5"/>
        <v>0.16029089671890617</v>
      </c>
      <c r="S47" s="119"/>
      <c r="T47" s="13"/>
    </row>
    <row r="48" spans="1:19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106">
        <v>7592</v>
      </c>
      <c r="I48" s="44">
        <v>12296</v>
      </c>
      <c r="J48" s="19">
        <f t="shared" si="6"/>
        <v>0.0023174717694771476</v>
      </c>
      <c r="K48" s="44">
        <v>12207</v>
      </c>
      <c r="L48" s="19">
        <f t="shared" si="7"/>
        <v>0.0020695211263403062</v>
      </c>
      <c r="M48" s="19">
        <f t="shared" si="4"/>
        <v>-0.007238126219908913</v>
      </c>
      <c r="N48" s="18">
        <v>2375</v>
      </c>
      <c r="O48" s="19">
        <f t="shared" si="8"/>
        <v>0.001912158267125692</v>
      </c>
      <c r="P48" s="18">
        <v>7447</v>
      </c>
      <c r="Q48" s="19">
        <f t="shared" si="9"/>
        <v>0.004734792491218031</v>
      </c>
      <c r="R48" s="19">
        <f t="shared" si="5"/>
        <v>2.1355789473684212</v>
      </c>
      <c r="S48" s="100"/>
    </row>
    <row r="49" spans="1:19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106">
        <v>-84666</v>
      </c>
      <c r="I49" s="44">
        <v>-70722</v>
      </c>
      <c r="J49" s="19">
        <f t="shared" si="6"/>
        <v>-0.013329232147117993</v>
      </c>
      <c r="K49" s="44">
        <v>-101111</v>
      </c>
      <c r="L49" s="19">
        <f t="shared" si="7"/>
        <v>-0.017141914524895118</v>
      </c>
      <c r="M49" s="19">
        <f t="shared" si="4"/>
        <v>0.4296965583552501</v>
      </c>
      <c r="N49" s="18">
        <v>-16818</v>
      </c>
      <c r="O49" s="19">
        <f t="shared" si="8"/>
        <v>-0.013540495889061005</v>
      </c>
      <c r="P49" s="18">
        <v>-39145</v>
      </c>
      <c r="Q49" s="19">
        <f t="shared" si="9"/>
        <v>-0.02488833786339866</v>
      </c>
      <c r="R49" s="19">
        <f t="shared" si="5"/>
        <v>1.32756570341301</v>
      </c>
      <c r="S49" s="100"/>
    </row>
    <row r="50" spans="1:19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106">
        <v>-3636</v>
      </c>
      <c r="I50" s="44">
        <v>1782</v>
      </c>
      <c r="J50" s="19">
        <f t="shared" si="6"/>
        <v>0.00033586001083346433</v>
      </c>
      <c r="K50" s="44">
        <v>8732</v>
      </c>
      <c r="L50" s="19">
        <f t="shared" si="7"/>
        <v>0.0014803849000740192</v>
      </c>
      <c r="M50" s="19">
        <f t="shared" si="4"/>
        <v>3.900112233445567</v>
      </c>
      <c r="N50" s="18">
        <v>-1758</v>
      </c>
      <c r="O50" s="19">
        <f t="shared" si="8"/>
        <v>-0.0014153996773081964</v>
      </c>
      <c r="P50" s="18">
        <v>7445</v>
      </c>
      <c r="Q50" s="19">
        <f t="shared" si="9"/>
        <v>0.004733520893932892</v>
      </c>
      <c r="R50" s="19">
        <f t="shared" si="5"/>
        <v>-5.234926052332196</v>
      </c>
      <c r="S50" s="100"/>
    </row>
    <row r="51" spans="1:19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106">
        <v>-26933</v>
      </c>
      <c r="I51" s="44">
        <v>-13536</v>
      </c>
      <c r="J51" s="19">
        <f t="shared" si="6"/>
        <v>-0.002551179072189547</v>
      </c>
      <c r="K51" s="44">
        <v>-54534</v>
      </c>
      <c r="L51" s="19">
        <f t="shared" si="7"/>
        <v>-0.009245454665670701</v>
      </c>
      <c r="M51" s="19">
        <f t="shared" si="4"/>
        <v>3.0288120567375887</v>
      </c>
      <c r="N51" s="18">
        <v>-7981</v>
      </c>
      <c r="O51" s="19">
        <f t="shared" si="8"/>
        <v>-0.006425656896812694</v>
      </c>
      <c r="P51" s="18">
        <v>-8069</v>
      </c>
      <c r="Q51" s="19">
        <f t="shared" si="9"/>
        <v>-0.005130259246896508</v>
      </c>
      <c r="R51" s="19">
        <f t="shared" si="5"/>
        <v>0.011026187194587145</v>
      </c>
      <c r="S51" s="100"/>
    </row>
    <row r="52" spans="1:19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106">
        <v>33531</v>
      </c>
      <c r="I52" s="44">
        <v>35188</v>
      </c>
      <c r="J52" s="19">
        <f t="shared" si="6"/>
        <v>0.006632010135357993</v>
      </c>
      <c r="K52" s="44">
        <v>39510</v>
      </c>
      <c r="L52" s="19">
        <f t="shared" si="7"/>
        <v>0.0066983517409441706</v>
      </c>
      <c r="M52" s="19">
        <f t="shared" si="4"/>
        <v>0.12282596339661248</v>
      </c>
      <c r="N52" s="18">
        <v>8803</v>
      </c>
      <c r="O52" s="19">
        <f t="shared" si="8"/>
        <v>0.007087464937055776</v>
      </c>
      <c r="P52" s="18">
        <v>9657</v>
      </c>
      <c r="Q52" s="19">
        <f t="shared" si="9"/>
        <v>0.006139907491297506</v>
      </c>
      <c r="R52" s="19">
        <f t="shared" si="5"/>
        <v>0.09701238214245143</v>
      </c>
      <c r="S52" s="100"/>
    </row>
    <row r="53" spans="1:19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106">
        <v>11185</v>
      </c>
      <c r="I53" s="44">
        <v>0</v>
      </c>
      <c r="J53" s="19">
        <f t="shared" si="6"/>
        <v>0</v>
      </c>
      <c r="K53" s="44">
        <v>107</v>
      </c>
      <c r="L53" s="19">
        <f t="shared" si="7"/>
        <v>1.8140309700861208E-05</v>
      </c>
      <c r="M53" s="19">
        <f t="shared" si="4"/>
        <v>0</v>
      </c>
      <c r="N53" s="18">
        <v>0</v>
      </c>
      <c r="O53" s="19">
        <f t="shared" si="8"/>
        <v>0</v>
      </c>
      <c r="P53" s="18">
        <v>0</v>
      </c>
      <c r="Q53" s="19">
        <f t="shared" si="9"/>
        <v>0</v>
      </c>
      <c r="R53" s="19">
        <f t="shared" si="5"/>
        <v>0</v>
      </c>
      <c r="S53" s="100"/>
    </row>
    <row r="54" spans="1:20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109">
        <f>SUM(H48:H53)</f>
        <v>-62927</v>
      </c>
      <c r="I54" s="42">
        <f>SUM(I48:I53)</f>
        <v>-34992</v>
      </c>
      <c r="J54" s="29">
        <f t="shared" si="6"/>
        <v>-0.0065950693036389355</v>
      </c>
      <c r="K54" s="42">
        <f>SUM(K48:K53)</f>
        <v>-95089</v>
      </c>
      <c r="L54" s="29">
        <f t="shared" si="7"/>
        <v>-0.016120971113506462</v>
      </c>
      <c r="M54" s="19">
        <f t="shared" si="4"/>
        <v>1.717449702789209</v>
      </c>
      <c r="N54" s="28">
        <f>SUM(N48:N53)</f>
        <v>-15379</v>
      </c>
      <c r="O54" s="29">
        <f t="shared" si="8"/>
        <v>-0.012381929259000429</v>
      </c>
      <c r="P54" s="28">
        <f>SUM(P48:P53)</f>
        <v>-22665</v>
      </c>
      <c r="Q54" s="29">
        <f t="shared" si="9"/>
        <v>-0.014410376233846741</v>
      </c>
      <c r="R54" s="19">
        <f t="shared" si="5"/>
        <v>0.4737629234670655</v>
      </c>
      <c r="S54" s="119"/>
      <c r="T54" s="13"/>
    </row>
    <row r="55" spans="1:20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109">
        <f>+H47+H54</f>
        <v>369568.01641320647</v>
      </c>
      <c r="I55" s="42">
        <f>+I47+I54</f>
        <v>486120</v>
      </c>
      <c r="J55" s="29">
        <f t="shared" si="6"/>
        <v>0.09162080160850936</v>
      </c>
      <c r="K55" s="42">
        <f>+K47+K54</f>
        <v>555138</v>
      </c>
      <c r="L55" s="29">
        <f t="shared" si="7"/>
        <v>0.09411565651137092</v>
      </c>
      <c r="M55" s="19">
        <f t="shared" si="4"/>
        <v>0.1419772895581338</v>
      </c>
      <c r="N55" s="28">
        <f>+N47+N54</f>
        <v>125702</v>
      </c>
      <c r="O55" s="29">
        <f t="shared" si="8"/>
        <v>0.10120510252388788</v>
      </c>
      <c r="P55" s="28">
        <f>+P47+P54</f>
        <v>141030</v>
      </c>
      <c r="Q55" s="29">
        <f t="shared" si="9"/>
        <v>0.08966668256163272</v>
      </c>
      <c r="R55" s="19">
        <f t="shared" si="5"/>
        <v>0.12193918951170228</v>
      </c>
      <c r="S55" s="119"/>
      <c r="T55" s="13"/>
    </row>
    <row r="56" spans="1:19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106">
        <v>-113919.04882074999</v>
      </c>
      <c r="I56" s="44">
        <v>-138457</v>
      </c>
      <c r="J56" s="19">
        <f t="shared" si="6"/>
        <v>-0.02609549355778281</v>
      </c>
      <c r="K56" s="44">
        <v>-174487</v>
      </c>
      <c r="L56" s="19">
        <f t="shared" si="7"/>
        <v>-0.0295817590539642</v>
      </c>
      <c r="M56" s="19">
        <f t="shared" si="4"/>
        <v>0.2602251962703222</v>
      </c>
      <c r="N56" s="18">
        <v>-46692</v>
      </c>
      <c r="O56" s="19">
        <f t="shared" si="8"/>
        <v>-0.03759262897205592</v>
      </c>
      <c r="P56" s="18">
        <v>-54819</v>
      </c>
      <c r="Q56" s="19">
        <f t="shared" si="9"/>
        <v>-0.03485384578703925</v>
      </c>
      <c r="R56" s="19">
        <f t="shared" si="5"/>
        <v>0.1740555127216654</v>
      </c>
      <c r="S56" s="100"/>
    </row>
    <row r="57" spans="1:19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106">
        <v>-2137.621693639999</v>
      </c>
      <c r="I57" s="44">
        <v>-2156</v>
      </c>
      <c r="J57" s="19">
        <f t="shared" si="6"/>
        <v>-0.0004063491489096235</v>
      </c>
      <c r="K57" s="44">
        <v>-416</v>
      </c>
      <c r="L57" s="19">
        <f t="shared" si="7"/>
        <v>-7.052681154727348E-05</v>
      </c>
      <c r="M57" s="19">
        <f t="shared" si="4"/>
        <v>-0.8070500927643784</v>
      </c>
      <c r="N57" s="18">
        <v>276</v>
      </c>
      <c r="O57" s="19">
        <f t="shared" si="8"/>
        <v>0.00022221291862176463</v>
      </c>
      <c r="P57" s="18">
        <v>-1156</v>
      </c>
      <c r="Q57" s="19">
        <f t="shared" si="9"/>
        <v>-0.0007349832308108023</v>
      </c>
      <c r="R57" s="19">
        <f t="shared" si="5"/>
        <v>-5.188405797101449</v>
      </c>
      <c r="S57" s="100"/>
    </row>
    <row r="58" spans="1:20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121">
        <f>+H55+H56+H57</f>
        <v>253511.3458988165</v>
      </c>
      <c r="I58" s="95">
        <f>+I55+I56+I57</f>
        <v>345507</v>
      </c>
      <c r="J58" s="94">
        <f t="shared" si="6"/>
        <v>0.06511895890181692</v>
      </c>
      <c r="K58" s="95">
        <f>+K55+K56+K57</f>
        <v>380235</v>
      </c>
      <c r="L58" s="94">
        <f t="shared" si="7"/>
        <v>0.06446337064585946</v>
      </c>
      <c r="M58" s="94">
        <f>+(K58-I58)/I58</f>
        <v>0.10051315892297406</v>
      </c>
      <c r="N58" s="93">
        <f>+N55+N56+N57</f>
        <v>79286</v>
      </c>
      <c r="O58" s="94">
        <f t="shared" si="8"/>
        <v>0.06383468647045373</v>
      </c>
      <c r="P58" s="93">
        <f>+P55+P56+P57</f>
        <v>85055</v>
      </c>
      <c r="Q58" s="94">
        <f t="shared" si="9"/>
        <v>0.05407785354378268</v>
      </c>
      <c r="R58" s="94">
        <f>+(P58-N58)/N58</f>
        <v>0.07276189995711727</v>
      </c>
      <c r="S58" s="119"/>
      <c r="T58" s="13"/>
    </row>
    <row r="59" spans="1:20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107">
        <v>568131.170418807</v>
      </c>
      <c r="I59" s="60">
        <v>671095</v>
      </c>
      <c r="J59" s="34">
        <f t="shared" si="6"/>
        <v>0.1264837115433691</v>
      </c>
      <c r="K59" s="60">
        <v>832827</v>
      </c>
      <c r="L59" s="34">
        <f t="shared" si="7"/>
        <v>0.1411938290396181</v>
      </c>
      <c r="M59" s="34">
        <f>+(K59-I59)/I59</f>
        <v>0.24099717625671477</v>
      </c>
      <c r="N59" s="23">
        <v>179705</v>
      </c>
      <c r="O59" s="34">
        <f t="shared" si="8"/>
        <v>0.14468395848160948</v>
      </c>
      <c r="P59" s="23">
        <v>218965</v>
      </c>
      <c r="Q59" s="34">
        <f t="shared" si="9"/>
        <v>0.13921764977031775</v>
      </c>
      <c r="R59" s="34">
        <f>+(P59-N59)/N59</f>
        <v>0.2184691577863721</v>
      </c>
      <c r="S59" s="119"/>
      <c r="T59" s="13"/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6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112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54</v>
      </c>
      <c r="M11" s="18">
        <v>54</v>
      </c>
      <c r="N11" s="19">
        <f>IF(L11&lt;&gt;0,(M11-L11)/L11,0)</f>
        <v>0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3874040</v>
      </c>
      <c r="M12" s="18">
        <v>3881179</v>
      </c>
      <c r="N12" s="19">
        <f aca="true" t="shared" si="0" ref="N12:N17">IF(L12&lt;&gt;0,(M12-L12)/L12,0)</f>
        <v>0.0018427791143096096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38038</v>
      </c>
      <c r="M13" s="18">
        <v>39341</v>
      </c>
      <c r="N13" s="19">
        <f t="shared" si="0"/>
        <v>0.03425521846574478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4843</v>
      </c>
      <c r="M15" s="18">
        <v>10373</v>
      </c>
      <c r="N15" s="19">
        <f t="shared" si="0"/>
        <v>1.1418542225893042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3555923</v>
      </c>
      <c r="M16" s="18">
        <v>3949667</v>
      </c>
      <c r="N16" s="19">
        <f t="shared" si="0"/>
        <v>0.11072905684403178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7472898</v>
      </c>
      <c r="M17" s="23">
        <f>SUM(M11:M16)</f>
        <v>7880614</v>
      </c>
      <c r="N17" s="24">
        <f t="shared" si="0"/>
        <v>0.05455928877926609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174106</v>
      </c>
      <c r="M21" s="18">
        <v>173606</v>
      </c>
      <c r="N21" s="19">
        <f t="shared" si="2"/>
        <v>-0.0028718137226746926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1200</v>
      </c>
      <c r="M22" s="18">
        <v>1103</v>
      </c>
      <c r="N22" s="19">
        <f t="shared" si="2"/>
        <v>-0.08083333333333333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1719</v>
      </c>
      <c r="M24" s="18">
        <v>803</v>
      </c>
      <c r="N24" s="19">
        <f t="shared" si="2"/>
        <v>-0.532867946480512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30384</v>
      </c>
      <c r="M25" s="18">
        <v>32402</v>
      </c>
      <c r="N25" s="19">
        <f t="shared" si="2"/>
        <v>0.06641653501843076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207520</v>
      </c>
      <c r="M26" s="28">
        <f>SUM(M20:M25)</f>
        <v>207986</v>
      </c>
      <c r="N26" s="29">
        <f t="shared" si="2"/>
        <v>0.0022455666923670006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7265378</v>
      </c>
      <c r="M27" s="32">
        <f>+M17-M26</f>
        <v>7672628</v>
      </c>
      <c r="N27" s="33">
        <f t="shared" si="2"/>
        <v>0.056053518481763785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7472898</v>
      </c>
      <c r="M28" s="23">
        <f>+M26+M27</f>
        <v>7880614</v>
      </c>
      <c r="N28" s="34">
        <f t="shared" si="2"/>
        <v>0.05455928877926609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15790.062153275392</v>
      </c>
      <c r="M30" s="36">
        <f>+M27/+(M29/1000000)</f>
        <v>16675.150694012213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113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8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40" t="s">
        <v>0</v>
      </c>
      <c r="P37" s="15" t="s">
        <v>43</v>
      </c>
      <c r="Q37" s="15" t="s">
        <v>87</v>
      </c>
      <c r="R37" s="40" t="s">
        <v>0</v>
      </c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f aca="true" t="shared" si="6" ref="M38:N41">+P38-K38</f>
        <v>88356</v>
      </c>
      <c r="N38" s="28">
        <f t="shared" si="6"/>
        <v>74755</v>
      </c>
      <c r="O38" s="19">
        <f>(N38-M38)/M38</f>
        <v>-0.15393408483860746</v>
      </c>
      <c r="P38" s="28">
        <v>165449</v>
      </c>
      <c r="Q38" s="28">
        <v>152987</v>
      </c>
      <c r="R38" s="19">
        <f>IF(P38&lt;&gt;0,(Q38-P38)/P38,0)</f>
        <v>-0.07532230475856608</v>
      </c>
    </row>
    <row r="39" spans="1:18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f t="shared" si="6"/>
        <v>-176</v>
      </c>
      <c r="N39" s="18">
        <f t="shared" si="6"/>
        <v>0</v>
      </c>
      <c r="O39" s="19">
        <f aca="true" t="shared" si="7" ref="O39:O49">(N39-M39)/M39</f>
        <v>-1</v>
      </c>
      <c r="P39" s="18">
        <v>-176</v>
      </c>
      <c r="Q39" s="18">
        <v>640</v>
      </c>
      <c r="R39" s="19">
        <f aca="true" t="shared" si="8" ref="R39:R49">IF(P39&lt;&gt;0,(Q39-P39)/P39,0)</f>
        <v>-4.636363636363637</v>
      </c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f t="shared" si="6"/>
        <v>9861</v>
      </c>
      <c r="N40" s="18">
        <f t="shared" si="6"/>
        <v>10926</v>
      </c>
      <c r="O40" s="19">
        <f t="shared" si="7"/>
        <v>0.10800121691512017</v>
      </c>
      <c r="P40" s="18">
        <v>18664</v>
      </c>
      <c r="Q40" s="18">
        <v>20548</v>
      </c>
      <c r="R40" s="19">
        <f t="shared" si="8"/>
        <v>0.10094299185597942</v>
      </c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f t="shared" si="6"/>
        <v>2920</v>
      </c>
      <c r="N41" s="18">
        <f t="shared" si="6"/>
        <v>3379</v>
      </c>
      <c r="O41" s="19">
        <f t="shared" si="7"/>
        <v>0.15719178082191781</v>
      </c>
      <c r="P41" s="18">
        <v>5570</v>
      </c>
      <c r="Q41" s="18">
        <v>6633</v>
      </c>
      <c r="R41" s="19">
        <f t="shared" si="8"/>
        <v>0.19084380610412927</v>
      </c>
    </row>
    <row r="42" spans="1:18" s="30" customFormat="1" ht="15">
      <c r="A42" s="30" t="s">
        <v>68</v>
      </c>
      <c r="B42" s="8">
        <f aca="true" t="shared" si="9" ref="B42:G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aca="true" t="shared" si="10" ref="H42:N42">SUM(H38:H41)</f>
        <v>275321</v>
      </c>
      <c r="I42" s="28">
        <f t="shared" si="10"/>
        <v>356474</v>
      </c>
      <c r="J42" s="113">
        <f t="shared" si="10"/>
        <v>398654</v>
      </c>
      <c r="K42" s="28">
        <f t="shared" si="10"/>
        <v>88546</v>
      </c>
      <c r="L42" s="28">
        <f t="shared" si="10"/>
        <v>91748</v>
      </c>
      <c r="M42" s="28">
        <f t="shared" si="10"/>
        <v>100961</v>
      </c>
      <c r="N42" s="28">
        <f t="shared" si="10"/>
        <v>89060</v>
      </c>
      <c r="O42" s="19">
        <f t="shared" si="7"/>
        <v>-0.117877200106972</v>
      </c>
      <c r="P42" s="28">
        <f>SUM(P38:P41)</f>
        <v>189507</v>
      </c>
      <c r="Q42" s="28">
        <f>SUM(Q38:Q41)</f>
        <v>180808</v>
      </c>
      <c r="R42" s="19">
        <f t="shared" si="8"/>
        <v>-0.04590331755555204</v>
      </c>
    </row>
    <row r="43" spans="1:18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f>+P43-K43</f>
        <v>1646</v>
      </c>
      <c r="N43" s="18">
        <f>+Q43-L43</f>
        <v>-6216</v>
      </c>
      <c r="O43" s="19">
        <f t="shared" si="7"/>
        <v>-4.7764277035236935</v>
      </c>
      <c r="P43" s="18">
        <v>-6685</v>
      </c>
      <c r="Q43" s="18">
        <v>-13021</v>
      </c>
      <c r="R43" s="19">
        <f t="shared" si="8"/>
        <v>0.9477935676888557</v>
      </c>
    </row>
    <row r="44" spans="1:18" s="30" customFormat="1" ht="15">
      <c r="A44" s="30" t="s">
        <v>70</v>
      </c>
      <c r="B44" s="8">
        <f aca="true" t="shared" si="11" ref="B44:G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aca="true" t="shared" si="12" ref="H44:N44">SUM(H42:H43)</f>
        <v>266317</v>
      </c>
      <c r="I44" s="28">
        <f t="shared" si="12"/>
        <v>346384</v>
      </c>
      <c r="J44" s="113">
        <f t="shared" si="12"/>
        <v>385103</v>
      </c>
      <c r="K44" s="28">
        <f t="shared" si="12"/>
        <v>80215</v>
      </c>
      <c r="L44" s="28">
        <f t="shared" si="12"/>
        <v>84943</v>
      </c>
      <c r="M44" s="28">
        <f t="shared" si="12"/>
        <v>102607</v>
      </c>
      <c r="N44" s="28">
        <f t="shared" si="12"/>
        <v>82844</v>
      </c>
      <c r="O44" s="19">
        <f t="shared" si="7"/>
        <v>-0.19260869141481576</v>
      </c>
      <c r="P44" s="28">
        <f>SUM(P42:P43)</f>
        <v>182822</v>
      </c>
      <c r="Q44" s="28">
        <f>SUM(Q42:Q43)</f>
        <v>167787</v>
      </c>
      <c r="R44" s="19">
        <f t="shared" si="8"/>
        <v>-0.08223846145431075</v>
      </c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f>+P45-K45</f>
        <v>51</v>
      </c>
      <c r="N45" s="18">
        <f>+Q45-L45</f>
        <v>1655</v>
      </c>
      <c r="O45" s="21" t="s">
        <v>88</v>
      </c>
      <c r="P45" s="18">
        <v>112</v>
      </c>
      <c r="Q45" s="18">
        <v>1662</v>
      </c>
      <c r="R45" s="21" t="s">
        <v>88</v>
      </c>
    </row>
    <row r="46" spans="1:18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f>+P46-K46</f>
        <v>-2839</v>
      </c>
      <c r="N46" s="18">
        <f>+Q46-L46</f>
        <v>-8</v>
      </c>
      <c r="O46" s="19">
        <f t="shared" si="7"/>
        <v>-0.9971821063754843</v>
      </c>
      <c r="P46" s="18">
        <v>-2966</v>
      </c>
      <c r="Q46" s="18">
        <v>-18</v>
      </c>
      <c r="R46" s="19">
        <f t="shared" si="8"/>
        <v>-0.9939312204989885</v>
      </c>
    </row>
    <row r="47" spans="1:18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N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19">
        <f t="shared" si="7"/>
        <v>-0.1535579398711668</v>
      </c>
      <c r="P47" s="28">
        <f>SUM(P44:P46)</f>
        <v>179968</v>
      </c>
      <c r="Q47" s="28">
        <f>SUM(Q44:Q46)</f>
        <v>169431</v>
      </c>
      <c r="R47" s="19">
        <f t="shared" si="8"/>
        <v>-0.058549297652916076</v>
      </c>
    </row>
    <row r="48" spans="1:18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f>+P48-K48</f>
        <v>911</v>
      </c>
      <c r="N48" s="18">
        <f>+Q48-L48</f>
        <v>-26</v>
      </c>
      <c r="O48" s="19">
        <f t="shared" si="7"/>
        <v>-1.0285400658616906</v>
      </c>
      <c r="P48" s="18">
        <v>-1378</v>
      </c>
      <c r="Q48" s="18">
        <v>-80</v>
      </c>
      <c r="R48" s="19">
        <f t="shared" si="8"/>
        <v>-0.941944847605225</v>
      </c>
    </row>
    <row r="49" spans="1:18" s="13" customFormat="1" ht="15.75" thickBot="1">
      <c r="A49" s="45" t="s">
        <v>75</v>
      </c>
      <c r="B49" s="46">
        <f aca="true" t="shared" si="15" ref="B49:G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aca="true" t="shared" si="16" ref="H49:N49">SUM(H47:H48)</f>
        <v>255982</v>
      </c>
      <c r="I49" s="47">
        <f t="shared" si="16"/>
        <v>345484</v>
      </c>
      <c r="J49" s="116">
        <f t="shared" si="16"/>
        <v>379896</v>
      </c>
      <c r="K49" s="47">
        <f t="shared" si="16"/>
        <v>77860</v>
      </c>
      <c r="L49" s="47">
        <f t="shared" si="16"/>
        <v>84886</v>
      </c>
      <c r="M49" s="47">
        <f t="shared" si="16"/>
        <v>100730</v>
      </c>
      <c r="N49" s="47">
        <f t="shared" si="16"/>
        <v>84465</v>
      </c>
      <c r="O49" s="34">
        <f t="shared" si="7"/>
        <v>-0.16147125980343494</v>
      </c>
      <c r="P49" s="47">
        <f>SUM(P47:P48)</f>
        <v>178590</v>
      </c>
      <c r="Q49" s="47">
        <f>SUM(Q47:Q48)</f>
        <v>169351</v>
      </c>
      <c r="R49" s="34">
        <f t="shared" si="8"/>
        <v>-0.05173301976594434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V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112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313031</v>
      </c>
      <c r="M11" s="55">
        <v>224898</v>
      </c>
      <c r="N11" s="19">
        <f>+(M11-L11)/L11</f>
        <v>-0.28154719500624537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357100</v>
      </c>
      <c r="M12" s="55">
        <v>377411</v>
      </c>
      <c r="N12" s="19">
        <f aca="true" t="shared" si="1" ref="N12:N19">+(M12-L12)/L12</f>
        <v>0.0568776253150378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709725</v>
      </c>
      <c r="M13" s="55">
        <v>871888</v>
      </c>
      <c r="N13" s="19">
        <f t="shared" si="1"/>
        <v>0.22848709007009757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629949</v>
      </c>
      <c r="M14" s="55">
        <v>806820</v>
      </c>
      <c r="N14" s="19">
        <f t="shared" si="1"/>
        <v>0.2807703480757966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1171045</v>
      </c>
      <c r="M15" s="55">
        <v>1352509</v>
      </c>
      <c r="N15" s="19">
        <f t="shared" si="1"/>
        <v>0.15495903231728925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1027805</v>
      </c>
      <c r="M16" s="55">
        <v>1902487</v>
      </c>
      <c r="N16" s="19">
        <f t="shared" si="1"/>
        <v>0.8510194054319642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56987</v>
      </c>
      <c r="M17" s="55">
        <v>86392</v>
      </c>
      <c r="N17" s="19">
        <f t="shared" si="1"/>
        <v>0.5159948760243565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6728</v>
      </c>
      <c r="M18" s="55">
        <v>19791</v>
      </c>
      <c r="N18" s="19">
        <f t="shared" si="1"/>
        <v>1.9415873959571939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4679552</v>
      </c>
      <c r="M19" s="55">
        <v>5216883</v>
      </c>
      <c r="N19" s="19">
        <f t="shared" si="1"/>
        <v>0.1148253080636779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8951922</v>
      </c>
      <c r="M20" s="61">
        <f>SUM(M11:M19)</f>
        <v>10859079</v>
      </c>
      <c r="N20" s="34">
        <f>+(M20-L20)/L20</f>
        <v>0.21304441660684711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682715</v>
      </c>
      <c r="M23" s="55">
        <v>2005211</v>
      </c>
      <c r="N23" s="19">
        <f aca="true" t="shared" si="3" ref="N23:N34">+(M23-L23)/L23</f>
        <v>1.9371128508967872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170685</v>
      </c>
      <c r="M24" s="55">
        <v>201252</v>
      </c>
      <c r="N24" s="19">
        <f t="shared" si="3"/>
        <v>0.1790842780560682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300091</v>
      </c>
      <c r="M25" s="55">
        <v>376963</v>
      </c>
      <c r="N25" s="19">
        <f t="shared" si="3"/>
        <v>0.25616229743644425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97757</v>
      </c>
      <c r="M26" s="55">
        <v>68781</v>
      </c>
      <c r="N26" s="19">
        <f t="shared" si="3"/>
        <v>-0.29640844133923916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56009</v>
      </c>
      <c r="M27" s="55">
        <v>50970</v>
      </c>
      <c r="N27" s="19">
        <f t="shared" si="3"/>
        <v>-0.08996768376510918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237495</v>
      </c>
      <c r="M28" s="55">
        <v>261277</v>
      </c>
      <c r="N28" s="19">
        <f t="shared" si="3"/>
        <v>0.10013684498621024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149022</v>
      </c>
      <c r="M29" s="55">
        <v>228427</v>
      </c>
      <c r="N29" s="19">
        <f t="shared" si="3"/>
        <v>0.5328407886083933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2354</v>
      </c>
      <c r="M30" s="55">
        <v>440</v>
      </c>
      <c r="N30" s="19">
        <f t="shared" si="3"/>
        <v>-0.8130841121495327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1696128</v>
      </c>
      <c r="M31" s="69">
        <f>SUM(M23:M30)</f>
        <v>3193321</v>
      </c>
      <c r="N31" s="19">
        <f t="shared" si="3"/>
        <v>0.8827122717153423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3799</v>
      </c>
      <c r="M32" s="55">
        <v>19512</v>
      </c>
      <c r="N32" s="19">
        <f t="shared" si="3"/>
        <v>4.136088444327455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v>7251995</v>
      </c>
      <c r="M33" s="73">
        <f>M20-M31-M32</f>
        <v>7646246</v>
      </c>
      <c r="N33" s="33">
        <f t="shared" si="3"/>
        <v>0.054364488668290585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8951922</v>
      </c>
      <c r="M34" s="61">
        <f>+M31+M32+M33</f>
        <v>10859079</v>
      </c>
      <c r="N34" s="34">
        <f t="shared" si="3"/>
        <v>0.21304441660684711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113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2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51" t="s">
        <v>41</v>
      </c>
      <c r="O39" s="15" t="s">
        <v>86</v>
      </c>
      <c r="P39" s="51" t="s">
        <v>41</v>
      </c>
      <c r="Q39" s="76" t="s">
        <v>0</v>
      </c>
      <c r="R39" s="129" t="s">
        <v>43</v>
      </c>
      <c r="S39" s="130" t="s">
        <v>41</v>
      </c>
      <c r="T39" s="129" t="s">
        <v>87</v>
      </c>
      <c r="U39" s="130" t="s">
        <v>41</v>
      </c>
      <c r="V39" s="131" t="s">
        <v>0</v>
      </c>
    </row>
    <row r="40" spans="1:22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29">
        <v>1</v>
      </c>
      <c r="O40" s="81">
        <v>1429566</v>
      </c>
      <c r="P40" s="29">
        <v>1</v>
      </c>
      <c r="Q40" s="29">
        <f>(O40-M40)/M40</f>
        <v>0.04307987309963197</v>
      </c>
      <c r="R40" s="132">
        <v>2612576</v>
      </c>
      <c r="S40" s="133">
        <v>1</v>
      </c>
      <c r="T40" s="132">
        <v>3002391</v>
      </c>
      <c r="U40" s="133">
        <v>1</v>
      </c>
      <c r="V40" s="134">
        <f aca="true" t="shared" si="4" ref="V40:V57">IF(R40&lt;&gt;0,(T40-R40)/R40,0)</f>
        <v>0.14920714268216503</v>
      </c>
    </row>
    <row r="41" spans="1:22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19">
        <f>+M41/$M$40</f>
        <v>-0.5476591435100735</v>
      </c>
      <c r="O41" s="87">
        <v>-772014</v>
      </c>
      <c r="P41" s="19">
        <f>+O41/$O$40</f>
        <v>-0.540033828448634</v>
      </c>
      <c r="Q41" s="19">
        <f aca="true" t="shared" si="5" ref="Q41:Q59">(O41-M41)/M41</f>
        <v>0.028556582909216872</v>
      </c>
      <c r="R41" s="135">
        <v>-1433381</v>
      </c>
      <c r="S41" s="134">
        <f>+R41/$R$40</f>
        <v>-0.5486466231030217</v>
      </c>
      <c r="T41" s="135">
        <v>-1647744</v>
      </c>
      <c r="U41" s="134">
        <f>+T41/$T$40</f>
        <v>-0.5488105979534311</v>
      </c>
      <c r="V41" s="134">
        <f>IF(R41&lt;&gt;0,(T41-R41)/R41,0)</f>
        <v>0.14955060796815361</v>
      </c>
    </row>
    <row r="42" spans="1:22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M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9">
        <f>+M42/$M$40</f>
        <v>0.4523408564899265</v>
      </c>
      <c r="O42" s="28">
        <f>SUM(O40:O41)</f>
        <v>657552</v>
      </c>
      <c r="P42" s="29">
        <f>+O42/$O$40</f>
        <v>0.45996617155136593</v>
      </c>
      <c r="Q42" s="29">
        <f t="shared" si="5"/>
        <v>0.060663543803956485</v>
      </c>
      <c r="R42" s="136">
        <f>SUM(R40:R41)</f>
        <v>1179195</v>
      </c>
      <c r="S42" s="133">
        <f aca="true" t="shared" si="7" ref="S42:S59">+R42/$R$40</f>
        <v>0.4513533768969783</v>
      </c>
      <c r="T42" s="136">
        <f>SUM(T40:T41)</f>
        <v>1354647</v>
      </c>
      <c r="U42" s="133">
        <f aca="true" t="shared" si="8" ref="U42:U59">+T42/$T$40</f>
        <v>0.4511894020465689</v>
      </c>
      <c r="V42" s="134">
        <f t="shared" si="4"/>
        <v>0.14878964039026624</v>
      </c>
    </row>
    <row r="43" spans="1:22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9">
        <f aca="true" t="shared" si="9" ref="N43:N59">+M43/$M$40</f>
        <v>-0.05394943831702327</v>
      </c>
      <c r="O43" s="18">
        <v>-95056</v>
      </c>
      <c r="P43" s="19">
        <f>+O43/$O$40</f>
        <v>-0.06649290763770263</v>
      </c>
      <c r="Q43" s="19">
        <f t="shared" si="5"/>
        <v>0.285600292132704</v>
      </c>
      <c r="R43" s="137">
        <v>-138812</v>
      </c>
      <c r="S43" s="134">
        <f t="shared" si="7"/>
        <v>-0.05313223423931017</v>
      </c>
      <c r="T43" s="137">
        <v>-198165</v>
      </c>
      <c r="U43" s="134">
        <f t="shared" si="8"/>
        <v>-0.06600239609031602</v>
      </c>
      <c r="V43" s="134">
        <f t="shared" si="4"/>
        <v>0.4275783073509495</v>
      </c>
    </row>
    <row r="44" spans="1:22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9">
        <f t="shared" si="9"/>
        <v>-0.259423403019575</v>
      </c>
      <c r="O44" s="18">
        <v>-396371</v>
      </c>
      <c r="P44" s="19">
        <f aca="true" t="shared" si="10" ref="P44:P59">+O44/$O$40</f>
        <v>-0.27726666694647184</v>
      </c>
      <c r="Q44" s="19">
        <f t="shared" si="5"/>
        <v>0.11482339837883143</v>
      </c>
      <c r="R44" s="137">
        <v>-681105</v>
      </c>
      <c r="S44" s="134">
        <f t="shared" si="7"/>
        <v>-0.2607024637752165</v>
      </c>
      <c r="T44" s="137">
        <v>-797291</v>
      </c>
      <c r="U44" s="134">
        <f t="shared" si="8"/>
        <v>-0.2655520217053675</v>
      </c>
      <c r="V44" s="134">
        <f t="shared" si="4"/>
        <v>0.1705845647881017</v>
      </c>
    </row>
    <row r="45" spans="1:22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9">
        <f t="shared" si="9"/>
        <v>-0.024586946306668106</v>
      </c>
      <c r="O45" s="18">
        <v>-21941</v>
      </c>
      <c r="P45" s="19">
        <f t="shared" si="10"/>
        <v>-0.015348014712157396</v>
      </c>
      <c r="Q45" s="19">
        <f t="shared" si="5"/>
        <v>-0.3488737869840045</v>
      </c>
      <c r="R45" s="137">
        <v>-61435</v>
      </c>
      <c r="S45" s="134">
        <f t="shared" si="7"/>
        <v>-0.02351510539789082</v>
      </c>
      <c r="T45" s="137">
        <v>-51312</v>
      </c>
      <c r="U45" s="134">
        <f t="shared" si="8"/>
        <v>-0.017090378967962533</v>
      </c>
      <c r="V45" s="134">
        <f t="shared" si="4"/>
        <v>-0.16477577927891268</v>
      </c>
    </row>
    <row r="46" spans="1:22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M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9">
        <f t="shared" si="9"/>
        <v>-0.3379597876432664</v>
      </c>
      <c r="O46" s="28">
        <f>SUM(O43:O45)</f>
        <v>-513368</v>
      </c>
      <c r="P46" s="29">
        <f t="shared" si="10"/>
        <v>-0.3591075892963319</v>
      </c>
      <c r="Q46" s="29">
        <f t="shared" si="5"/>
        <v>0.1083504972127587</v>
      </c>
      <c r="R46" s="136">
        <f>SUM(R43:R45)</f>
        <v>-881352</v>
      </c>
      <c r="S46" s="133">
        <f t="shared" si="7"/>
        <v>-0.3373498034124175</v>
      </c>
      <c r="T46" s="136">
        <f>SUM(T43:T45)</f>
        <v>-1046768</v>
      </c>
      <c r="U46" s="133">
        <f t="shared" si="8"/>
        <v>-0.348644796763646</v>
      </c>
      <c r="V46" s="134">
        <f t="shared" si="4"/>
        <v>0.18768437582259984</v>
      </c>
    </row>
    <row r="47" spans="1:22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M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9">
        <f t="shared" si="9"/>
        <v>0.1143810688466601</v>
      </c>
      <c r="O47" s="28">
        <f>+O42+O46</f>
        <v>144184</v>
      </c>
      <c r="P47" s="29">
        <f t="shared" si="10"/>
        <v>0.10085858225503405</v>
      </c>
      <c r="Q47" s="29">
        <f t="shared" si="5"/>
        <v>-0.0802362817519552</v>
      </c>
      <c r="R47" s="136">
        <f>+R42+R46</f>
        <v>297843</v>
      </c>
      <c r="S47" s="133">
        <f t="shared" si="7"/>
        <v>0.11400357348456083</v>
      </c>
      <c r="T47" s="136">
        <f>+T42+T46</f>
        <v>307879</v>
      </c>
      <c r="U47" s="133">
        <f t="shared" si="8"/>
        <v>0.10254460528292285</v>
      </c>
      <c r="V47" s="134">
        <f t="shared" si="4"/>
        <v>0.033695604731351754</v>
      </c>
    </row>
    <row r="48" spans="1:22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9">
        <f t="shared" si="9"/>
        <v>0.0020211247668774864</v>
      </c>
      <c r="O48" s="18">
        <v>2628</v>
      </c>
      <c r="P48" s="19">
        <f t="shared" si="10"/>
        <v>0.0018383201615035612</v>
      </c>
      <c r="Q48" s="19">
        <f t="shared" si="5"/>
        <v>-0.051263537906137184</v>
      </c>
      <c r="R48" s="137">
        <v>5145</v>
      </c>
      <c r="S48" s="134">
        <f t="shared" si="7"/>
        <v>0.0019693207011011356</v>
      </c>
      <c r="T48" s="137">
        <v>10075</v>
      </c>
      <c r="U48" s="134">
        <f t="shared" si="8"/>
        <v>0.003355658873211384</v>
      </c>
      <c r="V48" s="134">
        <f t="shared" si="4"/>
        <v>0.9582118561710399</v>
      </c>
    </row>
    <row r="49" spans="1:22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9">
        <f t="shared" si="9"/>
        <v>-0.012625098137646623</v>
      </c>
      <c r="O49" s="18">
        <v>-38121</v>
      </c>
      <c r="P49" s="19">
        <f t="shared" si="10"/>
        <v>-0.02666613503678739</v>
      </c>
      <c r="Q49" s="19">
        <f t="shared" si="5"/>
        <v>1.203143963474542</v>
      </c>
      <c r="R49" s="137">
        <v>-34121</v>
      </c>
      <c r="S49" s="134">
        <f t="shared" si="7"/>
        <v>-0.013060289920752545</v>
      </c>
      <c r="T49" s="137">
        <v>-77266</v>
      </c>
      <c r="U49" s="134">
        <f t="shared" si="8"/>
        <v>-0.025734822679657647</v>
      </c>
      <c r="V49" s="134">
        <f t="shared" si="4"/>
        <v>1.264470560651798</v>
      </c>
    </row>
    <row r="50" spans="1:22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9">
        <f t="shared" si="9"/>
        <v>0.002947777638333951</v>
      </c>
      <c r="O50" s="18">
        <v>-2408</v>
      </c>
      <c r="P50" s="19">
        <f t="shared" si="10"/>
        <v>-0.0016844273017125478</v>
      </c>
      <c r="Q50" s="19">
        <f t="shared" si="5"/>
        <v>-1.5960396039603961</v>
      </c>
      <c r="R50" s="137">
        <v>2282</v>
      </c>
      <c r="S50" s="134">
        <f t="shared" si="7"/>
        <v>0.0008734674130054015</v>
      </c>
      <c r="T50" s="137">
        <v>5037</v>
      </c>
      <c r="U50" s="134">
        <f t="shared" si="8"/>
        <v>0.0016776629026665746</v>
      </c>
      <c r="V50" s="134">
        <f t="shared" si="4"/>
        <v>1.2072743207712533</v>
      </c>
    </row>
    <row r="51" spans="1:22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9">
        <f t="shared" si="9"/>
        <v>-0.011000172196911547</v>
      </c>
      <c r="O51" s="18">
        <v>-7510</v>
      </c>
      <c r="P51" s="19">
        <f t="shared" si="10"/>
        <v>-0.0052533426228659605</v>
      </c>
      <c r="Q51" s="19">
        <f t="shared" si="5"/>
        <v>-0.5018572565667285</v>
      </c>
      <c r="R51" s="137">
        <v>-23057</v>
      </c>
      <c r="S51" s="134">
        <f t="shared" si="7"/>
        <v>-0.008825389194419607</v>
      </c>
      <c r="T51" s="137">
        <v>-15579</v>
      </c>
      <c r="U51" s="134">
        <f t="shared" si="8"/>
        <v>-0.0051888644750134145</v>
      </c>
      <c r="V51" s="134">
        <f t="shared" si="4"/>
        <v>-0.32432666869063626</v>
      </c>
    </row>
    <row r="52" spans="1:22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9">
        <f t="shared" si="9"/>
        <v>0.007241026060105478</v>
      </c>
      <c r="O52" s="18">
        <v>10926</v>
      </c>
      <c r="P52" s="19">
        <f t="shared" si="10"/>
        <v>0.007642879027620971</v>
      </c>
      <c r="Q52" s="19">
        <f t="shared" si="5"/>
        <v>0.10096735187424426</v>
      </c>
      <c r="R52" s="137">
        <v>18727</v>
      </c>
      <c r="S52" s="134">
        <f t="shared" si="7"/>
        <v>0.007168021140820401</v>
      </c>
      <c r="T52" s="137">
        <v>20583</v>
      </c>
      <c r="U52" s="134">
        <f t="shared" si="8"/>
        <v>0.0068555361376982545</v>
      </c>
      <c r="V52" s="134">
        <f t="shared" si="4"/>
        <v>0.0991082394403802</v>
      </c>
    </row>
    <row r="53" spans="1:22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9">
        <f t="shared" si="9"/>
        <v>7.807232854003286E-05</v>
      </c>
      <c r="O53" s="18">
        <v>0</v>
      </c>
      <c r="P53" s="19">
        <f t="shared" si="10"/>
        <v>0</v>
      </c>
      <c r="Q53" s="19">
        <f t="shared" si="5"/>
        <v>-1</v>
      </c>
      <c r="R53" s="137">
        <v>107</v>
      </c>
      <c r="S53" s="134">
        <f t="shared" si="7"/>
        <v>4.095574635914898E-05</v>
      </c>
      <c r="T53" s="137">
        <v>0</v>
      </c>
      <c r="U53" s="134">
        <f t="shared" si="8"/>
        <v>0</v>
      </c>
      <c r="V53" s="134">
        <f t="shared" si="4"/>
        <v>-1</v>
      </c>
    </row>
    <row r="54" spans="1:22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M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9">
        <f t="shared" si="9"/>
        <v>-0.01133726954070122</v>
      </c>
      <c r="O54" s="28">
        <f>SUM(O48:O53)</f>
        <v>-34485</v>
      </c>
      <c r="P54" s="29">
        <f t="shared" si="10"/>
        <v>-0.024122705772241366</v>
      </c>
      <c r="Q54" s="29">
        <f t="shared" si="5"/>
        <v>1.2193976058694813</v>
      </c>
      <c r="R54" s="136">
        <f>SUM(R48:R53)</f>
        <v>-30917</v>
      </c>
      <c r="S54" s="133">
        <f t="shared" si="7"/>
        <v>-0.011833914113886065</v>
      </c>
      <c r="T54" s="136">
        <f>SUM(T48:T53)</f>
        <v>-57150</v>
      </c>
      <c r="U54" s="133">
        <f t="shared" si="8"/>
        <v>-0.01903482924109485</v>
      </c>
      <c r="V54" s="134">
        <f t="shared" si="4"/>
        <v>0.8484975903224763</v>
      </c>
    </row>
    <row r="55" spans="1:22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4" ref="H55:M55">+H47+H54</f>
        <v>369568.01641320647</v>
      </c>
      <c r="I55" s="8">
        <f t="shared" si="14"/>
        <v>486120</v>
      </c>
      <c r="J55" s="8">
        <f t="shared" si="14"/>
        <v>555138</v>
      </c>
      <c r="K55" s="28">
        <f t="shared" si="14"/>
        <v>125702</v>
      </c>
      <c r="L55" s="28">
        <f t="shared" si="14"/>
        <v>141030</v>
      </c>
      <c r="M55" s="28">
        <f t="shared" si="14"/>
        <v>141224</v>
      </c>
      <c r="N55" s="29">
        <f t="shared" si="9"/>
        <v>0.10304379930595889</v>
      </c>
      <c r="O55" s="28">
        <f>+O47+O54</f>
        <v>109699</v>
      </c>
      <c r="P55" s="29">
        <f t="shared" si="10"/>
        <v>0.07673587648279268</v>
      </c>
      <c r="Q55" s="29">
        <f t="shared" si="5"/>
        <v>-0.22322693026681018</v>
      </c>
      <c r="R55" s="136">
        <f>+R47+R54</f>
        <v>266926</v>
      </c>
      <c r="S55" s="133">
        <f t="shared" si="7"/>
        <v>0.10216965937067476</v>
      </c>
      <c r="T55" s="136">
        <f>+T47+T54</f>
        <v>250729</v>
      </c>
      <c r="U55" s="133">
        <f t="shared" si="8"/>
        <v>0.083509776041828</v>
      </c>
      <c r="V55" s="134">
        <f t="shared" si="4"/>
        <v>-0.060679738953867364</v>
      </c>
    </row>
    <row r="56" spans="1:22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9">
        <f t="shared" si="9"/>
        <v>-0.0321446395685154</v>
      </c>
      <c r="O56" s="18">
        <v>-25831</v>
      </c>
      <c r="P56" s="19">
        <f t="shared" si="10"/>
        <v>-0.018069120278462136</v>
      </c>
      <c r="Q56" s="19">
        <f t="shared" si="5"/>
        <v>-0.4136647372602429</v>
      </c>
      <c r="R56" s="137">
        <v>-90747</v>
      </c>
      <c r="S56" s="134">
        <f t="shared" si="7"/>
        <v>-0.034734683316389646</v>
      </c>
      <c r="T56" s="137">
        <v>-80650</v>
      </c>
      <c r="U56" s="134">
        <f t="shared" si="8"/>
        <v>-0.02686192437960279</v>
      </c>
      <c r="V56" s="134">
        <f t="shared" si="4"/>
        <v>-0.1112653861835653</v>
      </c>
    </row>
    <row r="57" spans="1:22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9">
        <f t="shared" si="9"/>
        <v>-3.648239651403405E-05</v>
      </c>
      <c r="O57" s="18">
        <v>-496</v>
      </c>
      <c r="P57" s="19">
        <f t="shared" si="10"/>
        <v>-0.0003469584475288304</v>
      </c>
      <c r="Q57" s="19">
        <f t="shared" si="5"/>
        <v>8.92</v>
      </c>
      <c r="R57" s="137">
        <v>226</v>
      </c>
      <c r="S57" s="134">
        <f t="shared" si="7"/>
        <v>8.650466053427728E-05</v>
      </c>
      <c r="T57" s="137">
        <v>-1652</v>
      </c>
      <c r="U57" s="134">
        <f t="shared" si="8"/>
        <v>-0.0005502281348431967</v>
      </c>
      <c r="V57" s="134">
        <f t="shared" si="4"/>
        <v>-8.309734513274336</v>
      </c>
    </row>
    <row r="58" spans="1:22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5" ref="H58:M58">+H55+H56+H57</f>
        <v>253511.3458988165</v>
      </c>
      <c r="I58" s="92">
        <f t="shared" si="15"/>
        <v>345507</v>
      </c>
      <c r="J58" s="92">
        <f t="shared" si="15"/>
        <v>380235</v>
      </c>
      <c r="K58" s="93">
        <f t="shared" si="15"/>
        <v>79286</v>
      </c>
      <c r="L58" s="93">
        <f t="shared" si="15"/>
        <v>85055</v>
      </c>
      <c r="M58" s="93">
        <f t="shared" si="15"/>
        <v>97119</v>
      </c>
      <c r="N58" s="94">
        <f t="shared" si="9"/>
        <v>0.07086267734092945</v>
      </c>
      <c r="O58" s="93">
        <f>+O55+O56+O57</f>
        <v>83372</v>
      </c>
      <c r="P58" s="94">
        <f t="shared" si="10"/>
        <v>0.05831979775680171</v>
      </c>
      <c r="Q58" s="94">
        <f t="shared" si="5"/>
        <v>-0.14154799781711097</v>
      </c>
      <c r="R58" s="138">
        <f>+R55+R56+R57</f>
        <v>176405</v>
      </c>
      <c r="S58" s="139">
        <f t="shared" si="7"/>
        <v>0.06752148071481939</v>
      </c>
      <c r="T58" s="138">
        <f>+T55+T56+T57</f>
        <v>168427</v>
      </c>
      <c r="U58" s="139">
        <f t="shared" si="8"/>
        <v>0.05609762352738201</v>
      </c>
      <c r="V58" s="139">
        <f>+(T58-R58)/R58</f>
        <v>-0.04522547546838242</v>
      </c>
    </row>
    <row r="59" spans="1:22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34">
        <f t="shared" si="9"/>
        <v>0.14309782243871688</v>
      </c>
      <c r="O59" s="23">
        <v>198720</v>
      </c>
      <c r="P59" s="34">
        <f t="shared" si="10"/>
        <v>0.13900722317122818</v>
      </c>
      <c r="Q59" s="34">
        <f t="shared" si="5"/>
        <v>0.013262356018539765</v>
      </c>
      <c r="R59" s="140">
        <v>375824</v>
      </c>
      <c r="S59" s="141">
        <f t="shared" si="7"/>
        <v>0.14385189177271782</v>
      </c>
      <c r="T59" s="140">
        <v>417685</v>
      </c>
      <c r="U59" s="141">
        <f t="shared" si="8"/>
        <v>0.13911745672032724</v>
      </c>
      <c r="V59" s="141">
        <f>+(T59-R59)/R59</f>
        <v>0.11138458427348971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22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110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186</v>
      </c>
      <c r="M11" s="18">
        <v>227</v>
      </c>
      <c r="N11" s="19">
        <f>IF(L11&lt;&gt;0,(M11-L11)/L11,0)</f>
        <v>0.22043010752688172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3944362</v>
      </c>
      <c r="M12" s="18">
        <v>3988589</v>
      </c>
      <c r="N12" s="19">
        <f aca="true" t="shared" si="0" ref="N12:N17">IF(L12&lt;&gt;0,(M12-L12)/L12,0)</f>
        <v>0.011212713234738596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27401</v>
      </c>
      <c r="M13" s="18">
        <v>28809</v>
      </c>
      <c r="N13" s="19">
        <f t="shared" si="0"/>
        <v>0.051384985949417906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4751</v>
      </c>
      <c r="M15" s="18">
        <v>7341</v>
      </c>
      <c r="N15" s="19">
        <f t="shared" si="0"/>
        <v>0.545148389812671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3866241</v>
      </c>
      <c r="M16" s="18">
        <v>4000383</v>
      </c>
      <c r="N16" s="19">
        <f t="shared" si="0"/>
        <v>0.03469571607150201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7842941</v>
      </c>
      <c r="M17" s="23">
        <f>SUM(M11:M16)</f>
        <v>8025349</v>
      </c>
      <c r="N17" s="24">
        <f t="shared" si="0"/>
        <v>0.02325760196334513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119625</v>
      </c>
      <c r="M21" s="18">
        <v>124033</v>
      </c>
      <c r="N21" s="19">
        <f t="shared" si="2"/>
        <v>0.036848484848484846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1901</v>
      </c>
      <c r="M22" s="18">
        <v>1425</v>
      </c>
      <c r="N22" s="19">
        <f t="shared" si="2"/>
        <v>-0.2503945291951604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2370</v>
      </c>
      <c r="M24" s="18">
        <v>1028</v>
      </c>
      <c r="N24" s="19">
        <f t="shared" si="2"/>
        <v>-0.5662447257383966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19244</v>
      </c>
      <c r="M25" s="18">
        <v>21476</v>
      </c>
      <c r="N25" s="19">
        <f t="shared" si="2"/>
        <v>0.11598420286842652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143251</v>
      </c>
      <c r="M26" s="28">
        <f>SUM(M20:M25)</f>
        <v>148034</v>
      </c>
      <c r="N26" s="29">
        <f t="shared" si="2"/>
        <v>0.033388946674019725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7699690</v>
      </c>
      <c r="M27" s="32">
        <f>+M17-M26</f>
        <v>7877315</v>
      </c>
      <c r="N27" s="33">
        <f t="shared" si="2"/>
        <v>0.023069110574581574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7842941</v>
      </c>
      <c r="M28" s="23">
        <f>+M26+M27</f>
        <v>8025349</v>
      </c>
      <c r="N28" s="34">
        <f t="shared" si="2"/>
        <v>0.02325760196334513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16733.96534370999</v>
      </c>
      <c r="M30" s="36">
        <f>+M27/+(M29/1000000)</f>
        <v>17120.00304057525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111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0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40" t="s">
        <v>0</v>
      </c>
      <c r="R37" s="15" t="s">
        <v>43</v>
      </c>
      <c r="S37" s="15" t="s">
        <v>87</v>
      </c>
      <c r="T37" s="40" t="s">
        <v>0</v>
      </c>
    </row>
    <row r="38" spans="1:20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19">
        <f>(P38-O38)/O38</f>
        <v>-0.07064119455423803</v>
      </c>
      <c r="R38" s="28">
        <v>256529</v>
      </c>
      <c r="S38" s="28">
        <v>237633</v>
      </c>
      <c r="T38" s="19">
        <f>IF(R38&lt;&gt;0,(S38-R38)/R38,0)</f>
        <v>-0.07366028792066394</v>
      </c>
    </row>
    <row r="39" spans="1:20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1" t="s">
        <v>88</v>
      </c>
      <c r="R39" s="18">
        <v>-176</v>
      </c>
      <c r="S39" s="18">
        <v>640</v>
      </c>
      <c r="T39" s="19">
        <f aca="true" t="shared" si="6" ref="T39:T49">IF(R39&lt;&gt;0,(S39-R39)/R39,0)</f>
        <v>-4.636363636363637</v>
      </c>
    </row>
    <row r="40" spans="1:20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19">
        <f aca="true" t="shared" si="7" ref="Q40:Q49">(P40-O40)/O40</f>
        <v>-0.019210053859964094</v>
      </c>
      <c r="R40" s="18">
        <v>29804</v>
      </c>
      <c r="S40" s="18">
        <v>31474</v>
      </c>
      <c r="T40" s="19">
        <f t="shared" si="6"/>
        <v>0.05603274728224399</v>
      </c>
    </row>
    <row r="41" spans="1:20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19">
        <f t="shared" si="7"/>
        <v>-0.2524738478936952</v>
      </c>
      <c r="R41" s="18">
        <v>9107</v>
      </c>
      <c r="S41" s="18">
        <v>9277</v>
      </c>
      <c r="T41" s="19">
        <f t="shared" si="6"/>
        <v>0.01866695948171736</v>
      </c>
    </row>
    <row r="42" spans="1:20" s="30" customFormat="1" ht="15">
      <c r="A42" s="30" t="s">
        <v>68</v>
      </c>
      <c r="B42" s="8">
        <f aca="true" t="shared" si="8" ref="B42:L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 t="shared" si="8"/>
        <v>275321</v>
      </c>
      <c r="I42" s="28">
        <f t="shared" si="8"/>
        <v>356474</v>
      </c>
      <c r="J42" s="113">
        <f t="shared" si="8"/>
        <v>398654</v>
      </c>
      <c r="K42" s="28">
        <f t="shared" si="8"/>
        <v>88546</v>
      </c>
      <c r="L42" s="28">
        <f t="shared" si="8"/>
        <v>91748</v>
      </c>
      <c r="M42" s="28">
        <f>SUM(M38:M41)</f>
        <v>100961</v>
      </c>
      <c r="N42" s="28">
        <f>SUM(N38:N41)</f>
        <v>89060</v>
      </c>
      <c r="O42" s="28">
        <f>SUM(O38:O41)</f>
        <v>105757</v>
      </c>
      <c r="P42" s="28">
        <f>SUM(P38:P41)</f>
        <v>98216</v>
      </c>
      <c r="Q42" s="19">
        <f t="shared" si="7"/>
        <v>-0.07130497272048186</v>
      </c>
      <c r="R42" s="28">
        <f>SUM(R38:R41)</f>
        <v>295264</v>
      </c>
      <c r="S42" s="28">
        <f>SUM(S38:S41)</f>
        <v>279024</v>
      </c>
      <c r="T42" s="19">
        <f t="shared" si="6"/>
        <v>-0.055001625663812725</v>
      </c>
    </row>
    <row r="43" spans="1:20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19">
        <f t="shared" si="7"/>
        <v>1.0193887610910286</v>
      </c>
      <c r="R43" s="18">
        <v>-9728</v>
      </c>
      <c r="S43" s="18">
        <v>-19166</v>
      </c>
      <c r="T43" s="19">
        <f t="shared" si="6"/>
        <v>0.9701891447368421</v>
      </c>
    </row>
    <row r="44" spans="1:20" s="30" customFormat="1" ht="15">
      <c r="A44" s="30" t="s">
        <v>70</v>
      </c>
      <c r="B44" s="8">
        <f aca="true" t="shared" si="9" ref="B44:L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 t="shared" si="9"/>
        <v>266317</v>
      </c>
      <c r="I44" s="28">
        <f t="shared" si="9"/>
        <v>346384</v>
      </c>
      <c r="J44" s="113">
        <f t="shared" si="9"/>
        <v>385103</v>
      </c>
      <c r="K44" s="28">
        <f t="shared" si="9"/>
        <v>80215</v>
      </c>
      <c r="L44" s="28">
        <f t="shared" si="9"/>
        <v>84943</v>
      </c>
      <c r="M44" s="28">
        <f>SUM(M42:M43)</f>
        <v>102607</v>
      </c>
      <c r="N44" s="28">
        <f>SUM(N42:N43)</f>
        <v>82844</v>
      </c>
      <c r="O44" s="28">
        <f>SUM(O42:O43)</f>
        <v>102714</v>
      </c>
      <c r="P44" s="28">
        <f>SUM(P42:P43)</f>
        <v>92071</v>
      </c>
      <c r="Q44" s="19">
        <f t="shared" si="7"/>
        <v>-0.10361781256693342</v>
      </c>
      <c r="R44" s="28">
        <f>SUM(R42:R43)</f>
        <v>285536</v>
      </c>
      <c r="S44" s="28">
        <f>SUM(S42:S43)</f>
        <v>259858</v>
      </c>
      <c r="T44" s="19">
        <f t="shared" si="6"/>
        <v>-0.08992911576823938</v>
      </c>
    </row>
    <row r="45" spans="1:20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1">
        <f t="shared" si="7"/>
        <v>-0.8153846153846154</v>
      </c>
      <c r="R45" s="18">
        <v>242</v>
      </c>
      <c r="S45" s="18">
        <v>1686</v>
      </c>
      <c r="T45" s="21" t="s">
        <v>88</v>
      </c>
    </row>
    <row r="46" spans="1:20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19">
        <f t="shared" si="7"/>
        <v>-1</v>
      </c>
      <c r="R46" s="18">
        <v>-2984</v>
      </c>
      <c r="S46" s="18">
        <v>-18</v>
      </c>
      <c r="T46" s="19">
        <f t="shared" si="6"/>
        <v>-0.9939678284182306</v>
      </c>
    </row>
    <row r="47" spans="1:20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 aca="true" t="shared" si="11" ref="H47:P47">SUM(H44:H46)</f>
        <v>256109</v>
      </c>
      <c r="I47" s="28">
        <f t="shared" si="11"/>
        <v>345845</v>
      </c>
      <c r="J47" s="113">
        <f t="shared" si="11"/>
        <v>382332</v>
      </c>
      <c r="K47" s="28">
        <f t="shared" si="11"/>
        <v>80149</v>
      </c>
      <c r="L47" s="28">
        <f t="shared" si="11"/>
        <v>84940</v>
      </c>
      <c r="M47" s="28">
        <f t="shared" si="11"/>
        <v>99819</v>
      </c>
      <c r="N47" s="28">
        <f t="shared" si="11"/>
        <v>84491</v>
      </c>
      <c r="O47" s="28">
        <f t="shared" si="11"/>
        <v>102826</v>
      </c>
      <c r="P47" s="28">
        <f t="shared" si="11"/>
        <v>92095</v>
      </c>
      <c r="Q47" s="19">
        <f t="shared" si="7"/>
        <v>-0.1043607647871161</v>
      </c>
      <c r="R47" s="28">
        <f>SUM(R44:R46)</f>
        <v>282794</v>
      </c>
      <c r="S47" s="28">
        <f>SUM(S44:S46)</f>
        <v>261526</v>
      </c>
      <c r="T47" s="19">
        <f t="shared" si="6"/>
        <v>-0.07520668755348416</v>
      </c>
    </row>
    <row r="48" spans="1:20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19">
        <f t="shared" si="7"/>
        <v>-0.9455645161290323</v>
      </c>
      <c r="R48" s="18">
        <v>-1874</v>
      </c>
      <c r="S48" s="18">
        <v>-107</v>
      </c>
      <c r="T48" s="19">
        <f t="shared" si="6"/>
        <v>-0.9429028815368197</v>
      </c>
    </row>
    <row r="49" spans="1:20" s="13" customFormat="1" ht="15.75" thickBot="1">
      <c r="A49" s="45" t="s">
        <v>75</v>
      </c>
      <c r="B49" s="46">
        <f aca="true" t="shared" si="12" ref="B49:L49">SUM(B47:B48)</f>
        <v>169411</v>
      </c>
      <c r="C49" s="46">
        <f t="shared" si="12"/>
        <v>210697</v>
      </c>
      <c r="D49" s="46">
        <f t="shared" si="12"/>
        <v>244292</v>
      </c>
      <c r="E49" s="46">
        <f t="shared" si="12"/>
        <v>291006</v>
      </c>
      <c r="F49" s="46">
        <f t="shared" si="12"/>
        <v>225496</v>
      </c>
      <c r="G49" s="46">
        <f t="shared" si="12"/>
        <v>278403</v>
      </c>
      <c r="H49" s="115">
        <f t="shared" si="12"/>
        <v>255982</v>
      </c>
      <c r="I49" s="47">
        <f t="shared" si="12"/>
        <v>345484</v>
      </c>
      <c r="J49" s="116">
        <f t="shared" si="12"/>
        <v>379896</v>
      </c>
      <c r="K49" s="47">
        <f t="shared" si="12"/>
        <v>77860</v>
      </c>
      <c r="L49" s="47">
        <f t="shared" si="12"/>
        <v>84886</v>
      </c>
      <c r="M49" s="47">
        <f>SUM(M47:M48)</f>
        <v>100730</v>
      </c>
      <c r="N49" s="47">
        <f>SUM(N47:N48)</f>
        <v>84465</v>
      </c>
      <c r="O49" s="47">
        <f>SUM(O47:O48)</f>
        <v>102330</v>
      </c>
      <c r="P49" s="47">
        <f>SUM(P47:P48)</f>
        <v>92068</v>
      </c>
      <c r="Q49" s="34">
        <f t="shared" si="7"/>
        <v>-0.10028339685331769</v>
      </c>
      <c r="R49" s="47">
        <f>SUM(R47:R48)</f>
        <v>280920</v>
      </c>
      <c r="S49" s="47">
        <f>SUM(S47:S48)</f>
        <v>261419</v>
      </c>
      <c r="T49" s="34">
        <f t="shared" si="6"/>
        <v>-0.06941833974085149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22">
      <selection activeCell="A37" sqref="A37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110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345435</v>
      </c>
      <c r="M11" s="55">
        <v>206875</v>
      </c>
      <c r="N11" s="19">
        <f>+(M11-L11)/L11</f>
        <v>-0.4011174316441588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357305</v>
      </c>
      <c r="M12" s="55">
        <v>382341</v>
      </c>
      <c r="N12" s="19">
        <f aca="true" t="shared" si="1" ref="N12:N19">+(M12-L12)/L12</f>
        <v>0.07006898867913967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931013</v>
      </c>
      <c r="M13" s="55">
        <v>939344</v>
      </c>
      <c r="N13" s="19">
        <f t="shared" si="1"/>
        <v>0.008948317585253912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751151</v>
      </c>
      <c r="M14" s="55">
        <v>830981</v>
      </c>
      <c r="N14" s="19">
        <f t="shared" si="1"/>
        <v>0.10627690038354472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1379531</v>
      </c>
      <c r="M15" s="55">
        <v>1428263</v>
      </c>
      <c r="N15" s="19">
        <f t="shared" si="1"/>
        <v>0.03532504887530617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2118695</v>
      </c>
      <c r="M16" s="55">
        <v>1879364</v>
      </c>
      <c r="N16" s="19">
        <f t="shared" si="1"/>
        <v>-0.11296151640514562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103310</v>
      </c>
      <c r="M17" s="55">
        <v>78501</v>
      </c>
      <c r="N17" s="19">
        <f t="shared" si="1"/>
        <v>-0.24014132223405285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14047</v>
      </c>
      <c r="M18" s="55">
        <v>24188</v>
      </c>
      <c r="N18" s="19">
        <f t="shared" si="1"/>
        <v>0.721933508934292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4989555</v>
      </c>
      <c r="M19" s="55">
        <v>5296045</v>
      </c>
      <c r="N19" s="19">
        <f t="shared" si="1"/>
        <v>0.06142631958160597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10990042</v>
      </c>
      <c r="M20" s="61">
        <f>SUM(M11:M19)</f>
        <v>11065902</v>
      </c>
      <c r="N20" s="34">
        <f>+(M20-L20)/L20</f>
        <v>0.006902612383100993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2021108</v>
      </c>
      <c r="M23" s="55">
        <v>2013963</v>
      </c>
      <c r="N23" s="19">
        <f aca="true" t="shared" si="3" ref="N23:N34">+(M23-L23)/L23</f>
        <v>-0.003535189608868007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206620</v>
      </c>
      <c r="M24" s="55">
        <v>219468</v>
      </c>
      <c r="N24" s="19">
        <f t="shared" si="3"/>
        <v>0.06218178298325428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358785</v>
      </c>
      <c r="M25" s="55">
        <v>333371</v>
      </c>
      <c r="N25" s="19">
        <f t="shared" si="3"/>
        <v>-0.07083350753236618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69570</v>
      </c>
      <c r="M26" s="55">
        <v>47144</v>
      </c>
      <c r="N26" s="19">
        <f t="shared" si="3"/>
        <v>-0.3223515883283024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56114</v>
      </c>
      <c r="M27" s="55">
        <v>49171</v>
      </c>
      <c r="N27" s="19">
        <f t="shared" si="3"/>
        <v>-0.1237302633923798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384377</v>
      </c>
      <c r="M28" s="55">
        <v>296239</v>
      </c>
      <c r="N28" s="19">
        <f t="shared" si="3"/>
        <v>-0.22930092071065647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162220</v>
      </c>
      <c r="M29" s="55">
        <v>203513</v>
      </c>
      <c r="N29" s="19">
        <f t="shared" si="3"/>
        <v>0.25454937738873135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22494</v>
      </c>
      <c r="M30" s="55">
        <v>6432</v>
      </c>
      <c r="N30" s="19">
        <f t="shared" si="3"/>
        <v>-0.7140570818885036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3281288</v>
      </c>
      <c r="M31" s="69">
        <f>SUM(M23:M30)</f>
        <v>3169301</v>
      </c>
      <c r="N31" s="19">
        <f t="shared" si="3"/>
        <v>-0.034128976182523446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20353</v>
      </c>
      <c r="M32" s="55">
        <v>19512</v>
      </c>
      <c r="N32" s="19">
        <f t="shared" si="3"/>
        <v>-0.041320689824595885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7688401</v>
      </c>
      <c r="M33" s="73">
        <f>M20-M31-M32</f>
        <v>7877089</v>
      </c>
      <c r="N33" s="33">
        <f t="shared" si="3"/>
        <v>0.02454190409683366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10990042</v>
      </c>
      <c r="M34" s="61">
        <f>+M31+M32+M33</f>
        <v>11065902</v>
      </c>
      <c r="N34" s="34">
        <f t="shared" si="3"/>
        <v>0.006902612383100993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111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51" t="s">
        <v>41</v>
      </c>
      <c r="Q39" s="15" t="s">
        <v>89</v>
      </c>
      <c r="R39" s="51" t="s">
        <v>41</v>
      </c>
      <c r="S39" s="76" t="s">
        <v>0</v>
      </c>
      <c r="T39" s="129" t="s">
        <v>43</v>
      </c>
      <c r="U39" s="130" t="s">
        <v>41</v>
      </c>
      <c r="V39" s="129" t="s">
        <v>87</v>
      </c>
      <c r="W39" s="130" t="s">
        <v>41</v>
      </c>
      <c r="X39" s="131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29">
        <v>1</v>
      </c>
      <c r="Q40" s="81">
        <f>+V40-L40-N40</f>
        <v>1643763</v>
      </c>
      <c r="R40" s="29">
        <v>1</v>
      </c>
      <c r="S40" s="29">
        <f>(Q40-O40)/O40</f>
        <v>0.1040146524673315</v>
      </c>
      <c r="T40" s="132">
        <v>4101472</v>
      </c>
      <c r="U40" s="133">
        <v>1</v>
      </c>
      <c r="V40" s="132">
        <v>4646154</v>
      </c>
      <c r="W40" s="133">
        <v>1</v>
      </c>
      <c r="X40" s="134">
        <f aca="true" t="shared" si="4" ref="X40:X57">IF(T40&lt;&gt;0,(V40-T40)/T40,0)</f>
        <v>0.13280158928306715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19">
        <f>+O41/$O$40</f>
        <v>-0.553342207917813</v>
      </c>
      <c r="Q41" s="87">
        <f aca="true" t="shared" si="5" ref="Q41:Q59">+V41-L41-N41</f>
        <v>-915716</v>
      </c>
      <c r="R41" s="19">
        <f aca="true" t="shared" si="6" ref="R41:R49">+Q41/$Q$40</f>
        <v>-0.5570851759043123</v>
      </c>
      <c r="S41" s="19">
        <f>(Q41-O41)/O41</f>
        <v>0.11148252938270525</v>
      </c>
      <c r="T41" s="135">
        <v>-2257250</v>
      </c>
      <c r="U41" s="134">
        <f>+T41/$T$40</f>
        <v>-0.5503511909870408</v>
      </c>
      <c r="V41" s="135">
        <v>-2563460</v>
      </c>
      <c r="W41" s="134">
        <f>+V41/$V$40</f>
        <v>-0.5517380612007264</v>
      </c>
      <c r="X41" s="134">
        <f>IF(T41&lt;&gt;0,(V41-T41)/T41,0)</f>
        <v>0.13565621885037102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O42">SUM(H40:H41)</f>
        <v>2027180.7720842743</v>
      </c>
      <c r="I42" s="8">
        <f t="shared" si="7"/>
        <v>2241322</v>
      </c>
      <c r="J42" s="8">
        <f t="shared" si="7"/>
        <v>2637498</v>
      </c>
      <c r="K42" s="28">
        <f t="shared" si="7"/>
        <v>559251</v>
      </c>
      <c r="L42" s="28">
        <f t="shared" si="7"/>
        <v>697095</v>
      </c>
      <c r="M42" s="28">
        <f t="shared" si="7"/>
        <v>619944</v>
      </c>
      <c r="N42" s="28">
        <f t="shared" si="7"/>
        <v>657552</v>
      </c>
      <c r="O42" s="28">
        <f t="shared" si="7"/>
        <v>665027</v>
      </c>
      <c r="P42" s="29">
        <f>+O42/$O$40</f>
        <v>0.4466577920821871</v>
      </c>
      <c r="Q42" s="28">
        <f>SUM(Q40:Q41)</f>
        <v>728047</v>
      </c>
      <c r="R42" s="29">
        <f t="shared" si="6"/>
        <v>0.4429148240956878</v>
      </c>
      <c r="S42" s="29">
        <f>(Q42-O42)/O42</f>
        <v>0.09476306977009956</v>
      </c>
      <c r="T42" s="136">
        <f>SUM(T40:T41)</f>
        <v>1844222</v>
      </c>
      <c r="U42" s="133">
        <f aca="true" t="shared" si="8" ref="U42:U59">+T42/$T$40</f>
        <v>0.4496488090129592</v>
      </c>
      <c r="V42" s="136">
        <f>SUM(V40:V41)</f>
        <v>2082694</v>
      </c>
      <c r="W42" s="133">
        <f aca="true" t="shared" si="9" ref="W42:W59">+V42/$V$40</f>
        <v>0.44826193879927356</v>
      </c>
      <c r="X42" s="134">
        <f t="shared" si="4"/>
        <v>0.1293076430061023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9">
        <f aca="true" t="shared" si="10" ref="P43:P58">+O43/$O$40</f>
        <v>-0.06946623538514443</v>
      </c>
      <c r="Q43" s="18">
        <f t="shared" si="5"/>
        <v>-99719</v>
      </c>
      <c r="R43" s="19">
        <f t="shared" si="6"/>
        <v>-0.06066507154620222</v>
      </c>
      <c r="S43" s="19">
        <f>(Q43-O43)/O43</f>
        <v>-0.03586069536295781</v>
      </c>
      <c r="T43" s="137">
        <v>-242240</v>
      </c>
      <c r="U43" s="134">
        <f t="shared" si="8"/>
        <v>-0.05906172223045775</v>
      </c>
      <c r="V43" s="137">
        <v>-297884</v>
      </c>
      <c r="W43" s="134">
        <f t="shared" si="9"/>
        <v>-0.06411410383728133</v>
      </c>
      <c r="X43" s="134">
        <f t="shared" si="4"/>
        <v>0.22970607661822987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9">
        <f t="shared" si="10"/>
        <v>-0.2521935716127923</v>
      </c>
      <c r="Q44" s="18">
        <f t="shared" si="5"/>
        <v>-427694</v>
      </c>
      <c r="R44" s="19">
        <f t="shared" si="6"/>
        <v>-0.2601920106487371</v>
      </c>
      <c r="S44" s="19">
        <f aca="true" t="shared" si="11" ref="S44:S59">(Q44-O44)/O44</f>
        <v>0.13902900210391755</v>
      </c>
      <c r="T44" s="137">
        <v>-1056595</v>
      </c>
      <c r="U44" s="134">
        <f t="shared" si="8"/>
        <v>-0.2576136079924476</v>
      </c>
      <c r="V44" s="137">
        <v>-1224985</v>
      </c>
      <c r="W44" s="134">
        <f t="shared" si="9"/>
        <v>-0.2636557031902085</v>
      </c>
      <c r="X44" s="134">
        <f t="shared" si="4"/>
        <v>0.1593704304866103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9">
        <f t="shared" si="10"/>
        <v>-0.021547509026822557</v>
      </c>
      <c r="Q45" s="18">
        <f t="shared" si="5"/>
        <v>-30812</v>
      </c>
      <c r="R45" s="19">
        <f t="shared" si="6"/>
        <v>-0.018744794717973332</v>
      </c>
      <c r="S45" s="19">
        <f t="shared" si="11"/>
        <v>-0.03958606071940652</v>
      </c>
      <c r="T45" s="137">
        <v>-93517</v>
      </c>
      <c r="U45" s="134">
        <f t="shared" si="8"/>
        <v>-0.022800838333164288</v>
      </c>
      <c r="V45" s="137">
        <v>-82124</v>
      </c>
      <c r="W45" s="134">
        <f t="shared" si="9"/>
        <v>-0.017675694778950504</v>
      </c>
      <c r="X45" s="134">
        <f t="shared" si="4"/>
        <v>-0.12182811681298587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2" ref="H46:O46">SUM(H43:H45)</f>
        <v>-1594685.7556710679</v>
      </c>
      <c r="I46" s="8">
        <f t="shared" si="12"/>
        <v>-1720210</v>
      </c>
      <c r="J46" s="8">
        <f t="shared" si="12"/>
        <v>-1987271</v>
      </c>
      <c r="K46" s="28">
        <f t="shared" si="12"/>
        <v>-418170</v>
      </c>
      <c r="L46" s="28">
        <f t="shared" si="12"/>
        <v>-533400</v>
      </c>
      <c r="M46" s="28">
        <f t="shared" si="12"/>
        <v>-463182</v>
      </c>
      <c r="N46" s="28">
        <f t="shared" si="12"/>
        <v>-513368</v>
      </c>
      <c r="O46" s="28">
        <f t="shared" si="12"/>
        <v>-511000</v>
      </c>
      <c r="P46" s="29">
        <f t="shared" si="10"/>
        <v>-0.3432073160247593</v>
      </c>
      <c r="Q46" s="28">
        <f>SUM(Q43:Q45)</f>
        <v>-558225</v>
      </c>
      <c r="R46" s="29">
        <f t="shared" si="6"/>
        <v>-0.3396018769129126</v>
      </c>
      <c r="S46" s="29">
        <f t="shared" si="11"/>
        <v>0.09241682974559687</v>
      </c>
      <c r="T46" s="136">
        <f>SUM(T43:T45)</f>
        <v>-1392352</v>
      </c>
      <c r="U46" s="133">
        <f t="shared" si="8"/>
        <v>-0.3394761685560696</v>
      </c>
      <c r="V46" s="136">
        <f>SUM(V43:V45)</f>
        <v>-1604993</v>
      </c>
      <c r="W46" s="133">
        <f t="shared" si="9"/>
        <v>-0.34544550180644035</v>
      </c>
      <c r="X46" s="134">
        <f t="shared" si="4"/>
        <v>0.15272072004780401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3" ref="H47:O47">+H42+H46</f>
        <v>432495.01641320647</v>
      </c>
      <c r="I47" s="8">
        <f t="shared" si="13"/>
        <v>521112</v>
      </c>
      <c r="J47" s="8">
        <f t="shared" si="13"/>
        <v>650227</v>
      </c>
      <c r="K47" s="28">
        <f t="shared" si="13"/>
        <v>141081</v>
      </c>
      <c r="L47" s="28">
        <f t="shared" si="13"/>
        <v>163695</v>
      </c>
      <c r="M47" s="28">
        <f t="shared" si="13"/>
        <v>156762</v>
      </c>
      <c r="N47" s="28">
        <f t="shared" si="13"/>
        <v>144184</v>
      </c>
      <c r="O47" s="28">
        <f t="shared" si="13"/>
        <v>154027</v>
      </c>
      <c r="P47" s="29">
        <f t="shared" si="10"/>
        <v>0.10345047605742778</v>
      </c>
      <c r="Q47" s="28">
        <f>+Q42+Q46</f>
        <v>169822</v>
      </c>
      <c r="R47" s="29">
        <f t="shared" si="6"/>
        <v>0.10331294718277513</v>
      </c>
      <c r="S47" s="29">
        <f t="shared" si="11"/>
        <v>0.10254695605315951</v>
      </c>
      <c r="T47" s="136">
        <f>+T42+T46</f>
        <v>451870</v>
      </c>
      <c r="U47" s="133">
        <f t="shared" si="8"/>
        <v>0.11017264045688963</v>
      </c>
      <c r="V47" s="136">
        <f>+V42+V46</f>
        <v>477701</v>
      </c>
      <c r="W47" s="133">
        <f t="shared" si="9"/>
        <v>0.10281643699283322</v>
      </c>
      <c r="X47" s="134">
        <f t="shared" si="4"/>
        <v>0.057164671255006974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9">
        <f t="shared" si="10"/>
        <v>0.0020592438961485556</v>
      </c>
      <c r="Q48" s="18">
        <f t="shared" si="5"/>
        <v>834.2066727099991</v>
      </c>
      <c r="R48" s="19">
        <f t="shared" si="6"/>
        <v>0.0005074981446291218</v>
      </c>
      <c r="S48" s="19">
        <f t="shared" si="11"/>
        <v>-0.7279169364938033</v>
      </c>
      <c r="T48" s="137">
        <v>8211</v>
      </c>
      <c r="U48" s="134">
        <f t="shared" si="8"/>
        <v>0.0020019641728628162</v>
      </c>
      <c r="V48" s="137">
        <v>10909.20667271</v>
      </c>
      <c r="W48" s="134">
        <f t="shared" si="9"/>
        <v>0.0023480079809472523</v>
      </c>
      <c r="X48" s="134">
        <f t="shared" si="4"/>
        <v>0.3286087775800754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9">
        <f t="shared" si="10"/>
        <v>-0.01831155433287483</v>
      </c>
      <c r="Q49" s="18">
        <f t="shared" si="5"/>
        <v>-39692.202476859995</v>
      </c>
      <c r="R49" s="19">
        <f t="shared" si="6"/>
        <v>-0.024147156540730016</v>
      </c>
      <c r="S49" s="19">
        <f t="shared" si="11"/>
        <v>0.4558466284059564</v>
      </c>
      <c r="T49" s="137">
        <v>-61385</v>
      </c>
      <c r="U49" s="134">
        <f t="shared" si="8"/>
        <v>-0.014966577853024476</v>
      </c>
      <c r="V49" s="137">
        <v>-116958.20247686</v>
      </c>
      <c r="W49" s="134">
        <f t="shared" si="9"/>
        <v>-0.025173122216108203</v>
      </c>
      <c r="X49" s="134">
        <f t="shared" si="4"/>
        <v>0.9053221874539382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9">
        <f t="shared" si="10"/>
        <v>0.007088473607290234</v>
      </c>
      <c r="Q50" s="18">
        <f t="shared" si="5"/>
        <v>-676</v>
      </c>
      <c r="R50" s="19">
        <f aca="true" t="shared" si="14" ref="R50:R59">+Q50/$Q$40</f>
        <v>-0.0004112515003683621</v>
      </c>
      <c r="S50" s="19">
        <f t="shared" si="11"/>
        <v>-1.0640515444381278</v>
      </c>
      <c r="T50" s="137">
        <v>12836</v>
      </c>
      <c r="U50" s="134">
        <f t="shared" si="8"/>
        <v>0.0031296081016766665</v>
      </c>
      <c r="V50" s="137">
        <v>4361</v>
      </c>
      <c r="W50" s="134">
        <f t="shared" si="9"/>
        <v>0.0009386257967342451</v>
      </c>
      <c r="X50" s="134">
        <f t="shared" si="4"/>
        <v>-0.6602524150825803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9">
        <f t="shared" si="10"/>
        <v>-0.0017214096887895461</v>
      </c>
      <c r="Q51" s="18">
        <f t="shared" si="5"/>
        <v>-16362.488190450102</v>
      </c>
      <c r="R51" s="19">
        <f t="shared" si="14"/>
        <v>-0.009954286713139365</v>
      </c>
      <c r="S51" s="19">
        <f t="shared" si="11"/>
        <v>5.384115563968046</v>
      </c>
      <c r="T51" s="137">
        <v>-25620</v>
      </c>
      <c r="U51" s="134">
        <f t="shared" si="8"/>
        <v>-0.006246537828369912</v>
      </c>
      <c r="V51" s="137">
        <v>-31941.4881904501</v>
      </c>
      <c r="W51" s="134">
        <f t="shared" si="9"/>
        <v>-0.006874823389506698</v>
      </c>
      <c r="X51" s="134">
        <f t="shared" si="4"/>
        <v>0.24674036652810702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9">
        <f t="shared" si="10"/>
        <v>0.007482053817056396</v>
      </c>
      <c r="Q52" s="18">
        <f t="shared" si="5"/>
        <v>10928.03778847</v>
      </c>
      <c r="R52" s="19">
        <f t="shared" si="14"/>
        <v>0.006648183338151546</v>
      </c>
      <c r="S52" s="19">
        <f t="shared" si="11"/>
        <v>-0.019027128503590736</v>
      </c>
      <c r="T52" s="137">
        <v>29867</v>
      </c>
      <c r="U52" s="134">
        <f t="shared" si="8"/>
        <v>0.007282019723650435</v>
      </c>
      <c r="V52" s="137">
        <v>31511.03778847</v>
      </c>
      <c r="W52" s="134">
        <f t="shared" si="9"/>
        <v>0.006782176782876762</v>
      </c>
      <c r="X52" s="134">
        <f t="shared" si="4"/>
        <v>0.055045293751297394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9">
        <f t="shared" si="10"/>
        <v>0</v>
      </c>
      <c r="Q53" s="18">
        <f t="shared" si="5"/>
        <v>0</v>
      </c>
      <c r="R53" s="19">
        <f t="shared" si="14"/>
        <v>0</v>
      </c>
      <c r="S53" s="21" t="s">
        <v>88</v>
      </c>
      <c r="T53" s="137">
        <v>107</v>
      </c>
      <c r="U53" s="134">
        <f t="shared" si="8"/>
        <v>2.608819467742313E-05</v>
      </c>
      <c r="V53" s="137">
        <v>0</v>
      </c>
      <c r="W53" s="134">
        <f t="shared" si="9"/>
        <v>0</v>
      </c>
      <c r="X53" s="134">
        <f t="shared" si="4"/>
        <v>-1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5" ref="H54:O54">SUM(H48:H53)</f>
        <v>-62927</v>
      </c>
      <c r="I54" s="8">
        <f t="shared" si="15"/>
        <v>-34992</v>
      </c>
      <c r="J54" s="8">
        <f t="shared" si="15"/>
        <v>-95089</v>
      </c>
      <c r="K54" s="28">
        <f t="shared" si="15"/>
        <v>-15379</v>
      </c>
      <c r="L54" s="28">
        <f t="shared" si="15"/>
        <v>-22665</v>
      </c>
      <c r="M54" s="28">
        <f t="shared" si="15"/>
        <v>-15538</v>
      </c>
      <c r="N54" s="28">
        <f t="shared" si="15"/>
        <v>-34485</v>
      </c>
      <c r="O54" s="28">
        <f t="shared" si="15"/>
        <v>-5067</v>
      </c>
      <c r="P54" s="29">
        <f t="shared" si="10"/>
        <v>-0.0034031927011691884</v>
      </c>
      <c r="Q54" s="28">
        <f>SUM(Q48:Q53)</f>
        <v>-44968.446206130095</v>
      </c>
      <c r="R54" s="29">
        <f t="shared" si="14"/>
        <v>-0.027357013271457075</v>
      </c>
      <c r="S54" s="29">
        <f t="shared" si="11"/>
        <v>7.874767358620504</v>
      </c>
      <c r="T54" s="136">
        <f>SUM(T48:T53)</f>
        <v>-35984</v>
      </c>
      <c r="U54" s="133">
        <f t="shared" si="8"/>
        <v>-0.008773435488527047</v>
      </c>
      <c r="V54" s="136">
        <f>SUM(V48:V53)</f>
        <v>-102118.4462061301</v>
      </c>
      <c r="W54" s="133">
        <f t="shared" si="9"/>
        <v>-0.021979135045056643</v>
      </c>
      <c r="X54" s="134">
        <f t="shared" si="4"/>
        <v>1.8378847878537712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6" ref="H55:O55">+H47+H54</f>
        <v>369568.01641320647</v>
      </c>
      <c r="I55" s="8">
        <f t="shared" si="16"/>
        <v>486120</v>
      </c>
      <c r="J55" s="8">
        <f t="shared" si="16"/>
        <v>555138</v>
      </c>
      <c r="K55" s="28">
        <f t="shared" si="16"/>
        <v>125702</v>
      </c>
      <c r="L55" s="28">
        <f t="shared" si="16"/>
        <v>141030</v>
      </c>
      <c r="M55" s="28">
        <f t="shared" si="16"/>
        <v>141224</v>
      </c>
      <c r="N55" s="28">
        <f t="shared" si="16"/>
        <v>109699</v>
      </c>
      <c r="O55" s="28">
        <f t="shared" si="16"/>
        <v>148960</v>
      </c>
      <c r="P55" s="29">
        <f t="shared" si="10"/>
        <v>0.10004728335625859</v>
      </c>
      <c r="Q55" s="28">
        <f>+Q47+Q54</f>
        <v>124853.55379386991</v>
      </c>
      <c r="R55" s="29">
        <f t="shared" si="14"/>
        <v>0.07595593391131807</v>
      </c>
      <c r="S55" s="29">
        <f t="shared" si="11"/>
        <v>-0.16183167431612572</v>
      </c>
      <c r="T55" s="136">
        <f>+T47+T54</f>
        <v>415886</v>
      </c>
      <c r="U55" s="133">
        <f t="shared" si="8"/>
        <v>0.10139920496836258</v>
      </c>
      <c r="V55" s="136">
        <f>+V47+V54</f>
        <v>375582.5537938699</v>
      </c>
      <c r="W55" s="133">
        <f t="shared" si="9"/>
        <v>0.08083730194777657</v>
      </c>
      <c r="X55" s="134">
        <f t="shared" si="4"/>
        <v>-0.0969098411731342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9">
        <f t="shared" si="10"/>
        <v>-0.030163288772352134</v>
      </c>
      <c r="Q56" s="18">
        <f t="shared" si="5"/>
        <v>-32829</v>
      </c>
      <c r="R56" s="19">
        <f t="shared" si="14"/>
        <v>-0.019971857256794318</v>
      </c>
      <c r="S56" s="19">
        <f t="shared" si="11"/>
        <v>-0.2690046760187041</v>
      </c>
      <c r="T56" s="137">
        <v>-135657</v>
      </c>
      <c r="U56" s="134">
        <f t="shared" si="8"/>
        <v>-0.03307519836780551</v>
      </c>
      <c r="V56" s="137">
        <v>-113479</v>
      </c>
      <c r="W56" s="134">
        <f t="shared" si="9"/>
        <v>-0.024424287270718964</v>
      </c>
      <c r="X56" s="134">
        <f t="shared" si="4"/>
        <v>-0.16348585034314483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9">
        <f t="shared" si="10"/>
        <v>-0.0002008199363823934</v>
      </c>
      <c r="Q57" s="18">
        <f t="shared" si="5"/>
        <v>-267</v>
      </c>
      <c r="R57" s="19">
        <f t="shared" si="14"/>
        <v>-0.00016243217544135012</v>
      </c>
      <c r="S57" s="19">
        <f t="shared" si="11"/>
        <v>-0.10702341137123746</v>
      </c>
      <c r="T57" s="137">
        <v>-73</v>
      </c>
      <c r="U57" s="134">
        <f t="shared" si="8"/>
        <v>-1.7798487957494284E-05</v>
      </c>
      <c r="V57" s="137">
        <v>-1919</v>
      </c>
      <c r="W57" s="134">
        <f t="shared" si="9"/>
        <v>-0.0004130297876480203</v>
      </c>
      <c r="X57" s="134">
        <f t="shared" si="4"/>
        <v>25.28767123287671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7" ref="H58:O58">+H55+H56+H57</f>
        <v>253511.3458988165</v>
      </c>
      <c r="I58" s="92">
        <f t="shared" si="17"/>
        <v>345507</v>
      </c>
      <c r="J58" s="92">
        <f t="shared" si="17"/>
        <v>380235</v>
      </c>
      <c r="K58" s="93">
        <f t="shared" si="17"/>
        <v>79286</v>
      </c>
      <c r="L58" s="93">
        <f t="shared" si="17"/>
        <v>85055</v>
      </c>
      <c r="M58" s="93">
        <f t="shared" si="17"/>
        <v>97119</v>
      </c>
      <c r="N58" s="93">
        <f t="shared" si="17"/>
        <v>83372</v>
      </c>
      <c r="O58" s="93">
        <f t="shared" si="17"/>
        <v>103751</v>
      </c>
      <c r="P58" s="94">
        <f t="shared" si="10"/>
        <v>0.06968317464752408</v>
      </c>
      <c r="Q58" s="93">
        <f>+Q55+Q56+Q57</f>
        <v>91757.55379386991</v>
      </c>
      <c r="R58" s="94">
        <f t="shared" si="14"/>
        <v>0.055821644479082395</v>
      </c>
      <c r="S58" s="94">
        <f t="shared" si="11"/>
        <v>-0.11559836730373767</v>
      </c>
      <c r="T58" s="138">
        <f>+T55+T56+T57</f>
        <v>280156</v>
      </c>
      <c r="U58" s="139">
        <f t="shared" si="8"/>
        <v>0.06830620811259958</v>
      </c>
      <c r="V58" s="138">
        <f>+V55+V56+V57</f>
        <v>260184.5537938699</v>
      </c>
      <c r="W58" s="139">
        <f t="shared" si="9"/>
        <v>0.05599998488940959</v>
      </c>
      <c r="X58" s="139">
        <f>+(V58-T58)/T58</f>
        <v>-0.07128687661920532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34">
        <f>+O59/$O$40</f>
        <v>0.13387771879298488</v>
      </c>
      <c r="Q59" s="23">
        <f t="shared" si="5"/>
        <v>224400</v>
      </c>
      <c r="R59" s="34">
        <f t="shared" si="14"/>
        <v>0.13651603059565157</v>
      </c>
      <c r="S59" s="34">
        <f t="shared" si="11"/>
        <v>0.12577133396879547</v>
      </c>
      <c r="T59" s="140">
        <v>575154</v>
      </c>
      <c r="U59" s="141">
        <f t="shared" si="8"/>
        <v>0.14023111702335161</v>
      </c>
      <c r="V59" s="140">
        <v>642085</v>
      </c>
      <c r="W59" s="141">
        <f t="shared" si="9"/>
        <v>0.13819709807294378</v>
      </c>
      <c r="X59" s="141">
        <f>+(V59-T59)/T59</f>
        <v>0.11637057205548428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9">
      <selection activeCell="A34" sqref="A34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108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21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  <c r="T9" s="12"/>
      <c r="U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58</v>
      </c>
      <c r="M11" s="18">
        <v>70</v>
      </c>
      <c r="N11" s="19">
        <f>IF(L11&lt;&gt;0,(M11-L11)/L11,0)</f>
        <v>0.20689655172413793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4126523</v>
      </c>
      <c r="M12" s="18">
        <v>4453792</v>
      </c>
      <c r="N12" s="19">
        <f aca="true" t="shared" si="0" ref="N12:N17">IF(L12&lt;&gt;0,(M12-L12)/L12,0)</f>
        <v>0.07930865767620827</v>
      </c>
      <c r="O12" s="10"/>
    </row>
    <row r="13" spans="1:22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18191</v>
      </c>
      <c r="M13" s="18">
        <v>24889</v>
      </c>
      <c r="N13" s="19">
        <f t="shared" si="0"/>
        <v>0.36820405695123964</v>
      </c>
      <c r="O13" s="10"/>
      <c r="P13" s="13"/>
      <c r="Q13" s="13"/>
      <c r="R13" s="13"/>
      <c r="T13" s="13"/>
      <c r="U13" s="13"/>
      <c r="V13" s="13"/>
    </row>
    <row r="14" spans="1:22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Q14" s="13"/>
      <c r="R14" s="13"/>
      <c r="T14" s="13"/>
      <c r="U14" s="13"/>
      <c r="V14" s="13"/>
    </row>
    <row r="15" spans="1:22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4612</v>
      </c>
      <c r="M15" s="18">
        <v>4364</v>
      </c>
      <c r="N15" s="19">
        <f t="shared" si="0"/>
        <v>-0.053772766695576756</v>
      </c>
      <c r="O15" s="10"/>
      <c r="P15" s="13"/>
      <c r="Q15" s="13"/>
      <c r="R15" s="13"/>
      <c r="T15" s="13"/>
      <c r="U15" s="13"/>
      <c r="V15" s="13"/>
    </row>
    <row r="16" spans="1:22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3357714</v>
      </c>
      <c r="M16" s="18">
        <v>3802056</v>
      </c>
      <c r="N16" s="19">
        <f t="shared" si="0"/>
        <v>0.132334677700364</v>
      </c>
      <c r="O16" s="10"/>
      <c r="P16" s="13"/>
      <c r="Q16" s="13"/>
      <c r="R16" s="13"/>
      <c r="T16" s="13"/>
      <c r="U16" s="13"/>
      <c r="V16" s="13"/>
    </row>
    <row r="17" spans="1:22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7507098</v>
      </c>
      <c r="M17" s="23">
        <f>SUM(M11:M16)</f>
        <v>8285171</v>
      </c>
      <c r="N17" s="24">
        <f t="shared" si="0"/>
        <v>0.10364497706037673</v>
      </c>
      <c r="O17" s="10"/>
      <c r="P17" s="13"/>
      <c r="Q17" s="13"/>
      <c r="R17" s="13"/>
      <c r="T17" s="13"/>
      <c r="U17" s="13"/>
      <c r="V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2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Q19" s="13"/>
      <c r="R19" s="13"/>
      <c r="T19" s="13"/>
      <c r="U19" s="13"/>
      <c r="V19" s="13"/>
    </row>
    <row r="20" spans="1:22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Q20" s="13"/>
      <c r="R20" s="13"/>
      <c r="T20" s="13"/>
      <c r="U20" s="13"/>
      <c r="V20" s="13"/>
    </row>
    <row r="21" spans="1:22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70701</v>
      </c>
      <c r="M21" s="18">
        <v>69194</v>
      </c>
      <c r="N21" s="19">
        <f t="shared" si="2"/>
        <v>-0.02131511576922533</v>
      </c>
      <c r="O21" s="10"/>
      <c r="P21" s="13"/>
      <c r="Q21" s="13"/>
      <c r="R21" s="13"/>
      <c r="T21" s="13"/>
      <c r="U21" s="13"/>
      <c r="V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2299</v>
      </c>
      <c r="M22" s="18">
        <v>918</v>
      </c>
      <c r="N22" s="19">
        <f t="shared" si="2"/>
        <v>-0.6006959547629404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932</v>
      </c>
      <c r="M23" s="18">
        <v>1164</v>
      </c>
      <c r="N23" s="19">
        <f t="shared" si="2"/>
        <v>0.24892703862660945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0</v>
      </c>
      <c r="M24" s="18">
        <v>0</v>
      </c>
      <c r="N24" s="19">
        <f t="shared" si="2"/>
        <v>0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9622</v>
      </c>
      <c r="M25" s="18">
        <v>0</v>
      </c>
      <c r="N25" s="19">
        <f t="shared" si="2"/>
        <v>-1</v>
      </c>
      <c r="O25" s="10"/>
    </row>
    <row r="26" spans="1:22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v>83554</v>
      </c>
      <c r="M26" s="28">
        <v>71276</v>
      </c>
      <c r="N26" s="29">
        <f t="shared" si="2"/>
        <v>-0.14694688464944827</v>
      </c>
      <c r="O26" s="10"/>
      <c r="P26" s="13"/>
      <c r="Q26" s="13"/>
      <c r="R26" s="13"/>
      <c r="T26" s="13"/>
      <c r="U26" s="13"/>
      <c r="V26" s="13"/>
    </row>
    <row r="27" spans="1:22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7423544</v>
      </c>
      <c r="M27" s="32">
        <f>+M17-M26</f>
        <v>8213895</v>
      </c>
      <c r="N27" s="33">
        <f t="shared" si="2"/>
        <v>0.1064654563911792</v>
      </c>
      <c r="O27" s="10"/>
      <c r="P27" s="13"/>
      <c r="Q27" s="13"/>
      <c r="R27" s="13"/>
      <c r="T27" s="13"/>
      <c r="U27" s="13"/>
      <c r="V27" s="13"/>
    </row>
    <row r="28" spans="1:22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7507098</v>
      </c>
      <c r="M28" s="23">
        <f>+M26+M27</f>
        <v>8285171</v>
      </c>
      <c r="N28" s="34">
        <f t="shared" si="2"/>
        <v>0.10364497706037673</v>
      </c>
      <c r="O28" s="10"/>
      <c r="P28" s="13"/>
      <c r="Q28" s="13"/>
      <c r="R28" s="13"/>
      <c r="T28" s="13"/>
      <c r="U28" s="13"/>
      <c r="V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16133.809026533047</v>
      </c>
      <c r="M30" s="36">
        <f>+M27/+(M29/1000000)</f>
        <v>17851.502367871017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109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2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15" t="s">
        <v>11</v>
      </c>
      <c r="R37" s="15" t="s">
        <v>90</v>
      </c>
      <c r="S37" s="40" t="s">
        <v>0</v>
      </c>
      <c r="T37" s="15" t="s">
        <v>43</v>
      </c>
      <c r="U37" s="15" t="s">
        <v>87</v>
      </c>
      <c r="V37" s="40" t="s">
        <v>0</v>
      </c>
    </row>
    <row r="38" spans="1:22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28">
        <f>+T38-K38-M38-O38</f>
        <v>88410</v>
      </c>
      <c r="R38" s="28">
        <f>+U38-L38-N38-P38</f>
        <v>86251</v>
      </c>
      <c r="S38" s="19">
        <f>(R38-Q38)/Q38</f>
        <v>-0.024420314444067413</v>
      </c>
      <c r="T38" s="28">
        <v>344939</v>
      </c>
      <c r="U38" s="28">
        <v>323884</v>
      </c>
      <c r="V38" s="19">
        <f>IF(T38&lt;&gt;0,(U38-T38)/T38,0)</f>
        <v>-0.06103977804771278</v>
      </c>
    </row>
    <row r="39" spans="1:22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8">
        <f aca="true" t="shared" si="6" ref="Q39:R48">+T39-K39-M39-O39</f>
        <v>0</v>
      </c>
      <c r="R39" s="28">
        <f t="shared" si="6"/>
        <v>0</v>
      </c>
      <c r="S39" s="19">
        <v>0</v>
      </c>
      <c r="T39" s="18">
        <v>-176</v>
      </c>
      <c r="U39" s="18">
        <v>640</v>
      </c>
      <c r="V39" s="19">
        <f aca="true" t="shared" si="7" ref="V39:V49">IF(T39&lt;&gt;0,(U39-T39)/T39,0)</f>
        <v>-4.636363636363637</v>
      </c>
    </row>
    <row r="40" spans="1:22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28">
        <f t="shared" si="6"/>
        <v>9622</v>
      </c>
      <c r="R40" s="28">
        <f t="shared" si="6"/>
        <v>21476</v>
      </c>
      <c r="S40" s="19">
        <f aca="true" t="shared" si="8" ref="S40:S49">(R40-Q40)/Q40</f>
        <v>1.231968405736853</v>
      </c>
      <c r="T40" s="18">
        <v>39426</v>
      </c>
      <c r="U40" s="18">
        <v>52950</v>
      </c>
      <c r="V40" s="19">
        <f t="shared" si="7"/>
        <v>0.34302237102419725</v>
      </c>
    </row>
    <row r="41" spans="1:22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28">
        <f t="shared" si="6"/>
        <v>5358</v>
      </c>
      <c r="R41" s="28">
        <f t="shared" si="6"/>
        <v>7820</v>
      </c>
      <c r="S41" s="19">
        <f t="shared" si="8"/>
        <v>0.45949981336319523</v>
      </c>
      <c r="T41" s="18">
        <v>14465</v>
      </c>
      <c r="U41" s="18">
        <v>17097</v>
      </c>
      <c r="V41" s="19">
        <f t="shared" si="7"/>
        <v>0.18195644659522986</v>
      </c>
    </row>
    <row r="42" spans="1:22" s="30" customFormat="1" ht="15">
      <c r="A42" s="30" t="s">
        <v>68</v>
      </c>
      <c r="B42" s="8">
        <f aca="true" t="shared" si="9" ref="B42:L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t="shared" si="9"/>
        <v>275321</v>
      </c>
      <c r="I42" s="28">
        <f t="shared" si="9"/>
        <v>356474</v>
      </c>
      <c r="J42" s="113">
        <f t="shared" si="9"/>
        <v>398654</v>
      </c>
      <c r="K42" s="28">
        <f t="shared" si="9"/>
        <v>88546</v>
      </c>
      <c r="L42" s="28">
        <f t="shared" si="9"/>
        <v>91748</v>
      </c>
      <c r="M42" s="28">
        <f aca="true" t="shared" si="10" ref="M42:R42">SUM(M38:M41)</f>
        <v>100961</v>
      </c>
      <c r="N42" s="28">
        <f t="shared" si="10"/>
        <v>89060</v>
      </c>
      <c r="O42" s="28">
        <f t="shared" si="10"/>
        <v>105757</v>
      </c>
      <c r="P42" s="28">
        <f t="shared" si="10"/>
        <v>98216</v>
      </c>
      <c r="Q42" s="28">
        <f t="shared" si="10"/>
        <v>103390</v>
      </c>
      <c r="R42" s="28">
        <f t="shared" si="10"/>
        <v>115547</v>
      </c>
      <c r="S42" s="19">
        <f t="shared" si="8"/>
        <v>0.11758390560015475</v>
      </c>
      <c r="T42" s="28">
        <f>SUM(T38:T41)</f>
        <v>398654</v>
      </c>
      <c r="U42" s="28">
        <f>SUM(U38:U41)</f>
        <v>394571</v>
      </c>
      <c r="V42" s="19">
        <f t="shared" si="7"/>
        <v>-0.010241964209565187</v>
      </c>
    </row>
    <row r="43" spans="1:22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28">
        <f>+T43-K43-M43-O43</f>
        <v>-3823</v>
      </c>
      <c r="R43" s="28">
        <f t="shared" si="6"/>
        <v>583</v>
      </c>
      <c r="S43" s="19">
        <f t="shared" si="8"/>
        <v>-1.1524980381899033</v>
      </c>
      <c r="T43" s="18">
        <v>-13551</v>
      </c>
      <c r="U43" s="18">
        <v>-18583</v>
      </c>
      <c r="V43" s="19">
        <f t="shared" si="7"/>
        <v>0.3713379086414287</v>
      </c>
    </row>
    <row r="44" spans="1:22" s="30" customFormat="1" ht="15">
      <c r="A44" s="30" t="s">
        <v>70</v>
      </c>
      <c r="B44" s="8">
        <f aca="true" t="shared" si="11" ref="B44:L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t="shared" si="11"/>
        <v>266317</v>
      </c>
      <c r="I44" s="28">
        <f t="shared" si="11"/>
        <v>346384</v>
      </c>
      <c r="J44" s="113">
        <f t="shared" si="11"/>
        <v>385103</v>
      </c>
      <c r="K44" s="28">
        <f t="shared" si="11"/>
        <v>80215</v>
      </c>
      <c r="L44" s="28">
        <f t="shared" si="11"/>
        <v>84943</v>
      </c>
      <c r="M44" s="28">
        <f aca="true" t="shared" si="12" ref="M44:R44">SUM(M42:M43)</f>
        <v>102607</v>
      </c>
      <c r="N44" s="28">
        <f t="shared" si="12"/>
        <v>82844</v>
      </c>
      <c r="O44" s="28">
        <f t="shared" si="12"/>
        <v>102714</v>
      </c>
      <c r="P44" s="28">
        <f t="shared" si="12"/>
        <v>92071</v>
      </c>
      <c r="Q44" s="28">
        <f t="shared" si="12"/>
        <v>99567</v>
      </c>
      <c r="R44" s="28">
        <f t="shared" si="12"/>
        <v>116130</v>
      </c>
      <c r="S44" s="19">
        <f t="shared" si="8"/>
        <v>0.1663502967850794</v>
      </c>
      <c r="T44" s="28">
        <f>SUM(T42:T43)</f>
        <v>385103</v>
      </c>
      <c r="U44" s="28">
        <f>SUM(U42:U43)</f>
        <v>375988</v>
      </c>
      <c r="V44" s="19">
        <f t="shared" si="7"/>
        <v>-0.023668992451370153</v>
      </c>
    </row>
    <row r="45" spans="1:22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8">
        <f>+T45-K45-M45-O45</f>
        <v>-39</v>
      </c>
      <c r="R45" s="28">
        <f t="shared" si="6"/>
        <v>28</v>
      </c>
      <c r="S45" s="21">
        <f t="shared" si="8"/>
        <v>-1.7179487179487178</v>
      </c>
      <c r="T45" s="18">
        <v>203</v>
      </c>
      <c r="U45" s="18">
        <v>1714</v>
      </c>
      <c r="V45" s="21" t="s">
        <v>88</v>
      </c>
    </row>
    <row r="46" spans="1:22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28">
        <f>+T46-K46-M46-O46</f>
        <v>10</v>
      </c>
      <c r="R46" s="28">
        <f t="shared" si="6"/>
        <v>-10</v>
      </c>
      <c r="S46" s="19">
        <f t="shared" si="8"/>
        <v>-2</v>
      </c>
      <c r="T46" s="18">
        <v>-2974</v>
      </c>
      <c r="U46" s="18">
        <v>-28</v>
      </c>
      <c r="V46" s="19">
        <f t="shared" si="7"/>
        <v>-0.9905850706119704</v>
      </c>
    </row>
    <row r="47" spans="1:22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P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28">
        <f t="shared" si="14"/>
        <v>102826</v>
      </c>
      <c r="P47" s="28">
        <f t="shared" si="14"/>
        <v>92095</v>
      </c>
      <c r="Q47" s="28">
        <f>SUM(Q44:Q46)</f>
        <v>99538</v>
      </c>
      <c r="R47" s="28">
        <f>SUM(R44:R46)</f>
        <v>116148</v>
      </c>
      <c r="S47" s="19">
        <f t="shared" si="8"/>
        <v>0.166870943760172</v>
      </c>
      <c r="T47" s="28">
        <f>SUM(T44:T46)</f>
        <v>382332</v>
      </c>
      <c r="U47" s="28">
        <f>SUM(U44:U46)</f>
        <v>377674</v>
      </c>
      <c r="V47" s="19">
        <f t="shared" si="7"/>
        <v>-0.012183128799054225</v>
      </c>
    </row>
    <row r="48" spans="1:22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28">
        <f>+T48-K48-M48-O48</f>
        <v>-562</v>
      </c>
      <c r="R48" s="28">
        <f t="shared" si="6"/>
        <v>-114</v>
      </c>
      <c r="S48" s="19">
        <f t="shared" si="8"/>
        <v>-0.797153024911032</v>
      </c>
      <c r="T48" s="18">
        <v>-2436</v>
      </c>
      <c r="U48" s="18">
        <v>-221</v>
      </c>
      <c r="V48" s="19">
        <f t="shared" si="7"/>
        <v>-0.9092775041050903</v>
      </c>
    </row>
    <row r="49" spans="1:22" s="13" customFormat="1" ht="15.75" thickBot="1">
      <c r="A49" s="45" t="s">
        <v>75</v>
      </c>
      <c r="B49" s="46">
        <f aca="true" t="shared" si="15" ref="B49:L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t="shared" si="15"/>
        <v>255982</v>
      </c>
      <c r="I49" s="47">
        <f t="shared" si="15"/>
        <v>345484</v>
      </c>
      <c r="J49" s="116">
        <f t="shared" si="15"/>
        <v>379896</v>
      </c>
      <c r="K49" s="47">
        <f t="shared" si="15"/>
        <v>77860</v>
      </c>
      <c r="L49" s="47">
        <f t="shared" si="15"/>
        <v>84886</v>
      </c>
      <c r="M49" s="47">
        <f aca="true" t="shared" si="16" ref="M49:R49">SUM(M47:M48)</f>
        <v>100730</v>
      </c>
      <c r="N49" s="47">
        <f t="shared" si="16"/>
        <v>84465</v>
      </c>
      <c r="O49" s="47">
        <f t="shared" si="16"/>
        <v>102330</v>
      </c>
      <c r="P49" s="47">
        <f t="shared" si="16"/>
        <v>92068</v>
      </c>
      <c r="Q49" s="47">
        <f t="shared" si="16"/>
        <v>98976</v>
      </c>
      <c r="R49" s="47">
        <f t="shared" si="16"/>
        <v>116034</v>
      </c>
      <c r="S49" s="34">
        <f t="shared" si="8"/>
        <v>0.17234481086323958</v>
      </c>
      <c r="T49" s="47">
        <f>SUM(T47:T48)</f>
        <v>379896</v>
      </c>
      <c r="U49" s="47">
        <f>SUM(U47:U48)</f>
        <v>377453</v>
      </c>
      <c r="V49" s="34">
        <f t="shared" si="7"/>
        <v>-0.0064307073514856695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sslmzuluaga</dc:creator>
  <cp:keywords/>
  <dc:description/>
  <cp:lastModifiedBy>Catherine Chacon Navarro</cp:lastModifiedBy>
  <dcterms:created xsi:type="dcterms:W3CDTF">2014-03-03T15:10:09Z</dcterms:created>
  <dcterms:modified xsi:type="dcterms:W3CDTF">2017-10-26T00:04:23Z</dcterms:modified>
  <cp:category/>
  <cp:version/>
  <cp:contentType/>
  <cp:contentStatus/>
</cp:coreProperties>
</file>